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defaultThemeVersion="124226"/>
  <mc:AlternateContent xmlns:mc="http://schemas.openxmlformats.org/markup-compatibility/2006">
    <mc:Choice Requires="x15">
      <x15ac:absPath xmlns:x15ac="http://schemas.microsoft.com/office/spreadsheetml/2010/11/ac" url="K:\1178 Sonora Court (Sonora Court 1)\Development\6 Financing\6.3 CDLAC\6.3.1 Application\1_2023 R1 Application\1. Working\40 - TCAC Excel Application\"/>
    </mc:Choice>
  </mc:AlternateContent>
  <xr:revisionPtr revIDLastSave="0" documentId="13_ncr:1_{E0BF47EE-F5FB-4C00-A1ED-C26C8C182938}" xr6:coauthVersionLast="47" xr6:coauthVersionMax="47" xr10:uidLastSave="{00000000-0000-0000-0000-000000000000}"/>
  <bookViews>
    <workbookView xWindow="56745" yWindow="600" windowWidth="15465" windowHeight="1435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 l="1"/>
  <c r="C30" i="4"/>
  <c r="E99" i="4" l="1"/>
  <c r="E94" i="4"/>
  <c r="E93" i="4"/>
  <c r="E92" i="4"/>
  <c r="E91" i="4"/>
  <c r="E90" i="4"/>
  <c r="E89" i="4"/>
  <c r="E88" i="4"/>
  <c r="E87" i="4"/>
  <c r="E86" i="4"/>
  <c r="E85" i="4"/>
  <c r="E84" i="4"/>
  <c r="E83" i="4"/>
  <c r="E80" i="4"/>
  <c r="E79" i="4"/>
  <c r="E75" i="4"/>
  <c r="E69" i="4"/>
  <c r="E68" i="4"/>
  <c r="E67" i="4"/>
  <c r="E66" i="4"/>
  <c r="E65" i="4"/>
  <c r="E61" i="4"/>
  <c r="E58" i="4"/>
  <c r="E56" i="4"/>
  <c r="E53" i="4"/>
  <c r="E52" i="4"/>
  <c r="E51" i="4"/>
  <c r="E50" i="4"/>
  <c r="E49" i="4"/>
  <c r="E48" i="4"/>
  <c r="E47" i="4"/>
  <c r="E46" i="4"/>
  <c r="E45" i="4"/>
  <c r="E43" i="4"/>
  <c r="E41" i="4"/>
  <c r="E40" i="4"/>
  <c r="E37" i="4"/>
  <c r="E36" i="4"/>
  <c r="E35" i="4"/>
  <c r="E34" i="4"/>
  <c r="E33" i="4"/>
  <c r="E32" i="4"/>
  <c r="E31" i="4"/>
  <c r="E30" i="4"/>
  <c r="E29" i="4"/>
  <c r="E13" i="4"/>
  <c r="E10" i="4"/>
  <c r="E6" i="4"/>
  <c r="E5" i="4"/>
  <c r="I30" i="4"/>
  <c r="H30" i="4"/>
  <c r="G30" i="4"/>
  <c r="F30" i="4"/>
  <c r="J94" i="4"/>
  <c r="K99" i="4"/>
  <c r="M30" i="4"/>
  <c r="L4" i="4"/>
  <c r="S10" i="4"/>
  <c r="S93" i="4"/>
  <c r="S92" i="4"/>
  <c r="S89" i="4"/>
  <c r="S87" i="4"/>
  <c r="S86" i="4"/>
  <c r="S85" i="4"/>
  <c r="S84" i="4"/>
  <c r="S80" i="4"/>
  <c r="S79" i="4"/>
  <c r="S52" i="4"/>
  <c r="S50" i="4"/>
  <c r="S43" i="4"/>
  <c r="S41" i="4"/>
  <c r="S40" i="4"/>
  <c r="S37" i="4"/>
  <c r="S36" i="4"/>
  <c r="S35" i="4"/>
  <c r="S34" i="4"/>
  <c r="S33" i="4"/>
  <c r="S32" i="4"/>
  <c r="S31" i="4"/>
  <c r="S30" i="4"/>
  <c r="S29" i="4"/>
  <c r="C94" i="4"/>
  <c r="S69" i="4"/>
  <c r="C69" i="4"/>
  <c r="C65" i="4"/>
  <c r="C45" i="4"/>
  <c r="C13" i="4"/>
  <c r="C32" i="4"/>
  <c r="C33" i="4" s="1"/>
  <c r="E41" i="7"/>
  <c r="A41" i="7"/>
  <c r="AA902" i="3"/>
  <c r="AA901" i="3"/>
  <c r="AC877" i="3"/>
  <c r="AO630" i="3"/>
  <c r="C630" i="3"/>
  <c r="AO629" i="3"/>
  <c r="C629" i="3"/>
  <c r="AO627" i="3"/>
  <c r="AO626" i="3"/>
  <c r="T623" i="3"/>
  <c r="T624" i="3" s="1"/>
  <c r="AF624" i="3" s="1"/>
  <c r="Q623" i="3"/>
  <c r="Q624" i="3" s="1"/>
  <c r="M931" i="3"/>
  <c r="M930" i="3"/>
  <c r="AF623" i="3" l="1"/>
  <c r="Z643" i="3"/>
  <c r="Z642" i="3"/>
  <c r="Z641" i="3"/>
  <c r="Z640" i="3"/>
  <c r="AA644" i="3"/>
  <c r="Z565" i="3"/>
  <c r="Z566" i="3"/>
  <c r="Z567" i="3"/>
  <c r="Z568" i="3"/>
  <c r="H308" i="3" l="1"/>
  <c r="P306" i="3"/>
  <c r="H307" i="3"/>
  <c r="H306" i="3"/>
  <c r="H305" i="3"/>
  <c r="H304" i="3"/>
  <c r="H303" i="3"/>
  <c r="H302" i="3"/>
  <c r="M928" i="3" l="1"/>
  <c r="AO625" i="3"/>
  <c r="AA918" i="3" s="1"/>
  <c r="Z797" i="3"/>
  <c r="AG448" i="3"/>
  <c r="AG442" i="3"/>
  <c r="I420" i="3" l="1"/>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DX608" i="3" s="1"/>
  <c r="BN609" i="3"/>
  <c r="DX609" i="3" s="1"/>
  <c r="BN610" i="3"/>
  <c r="DX610" i="3" s="1"/>
  <c r="BN611" i="3"/>
  <c r="BN612" i="3"/>
  <c r="BN613" i="3"/>
  <c r="DX613" i="3" s="1"/>
  <c r="BN614" i="3"/>
  <c r="DX614" i="3" s="1"/>
  <c r="BN615" i="3"/>
  <c r="BN616" i="3"/>
  <c r="DX616" i="3" s="1"/>
  <c r="BN617" i="3"/>
  <c r="DX617" i="3" s="1"/>
  <c r="BN618" i="3"/>
  <c r="BN619" i="3"/>
  <c r="BN620" i="3"/>
  <c r="BN626" i="3"/>
  <c r="BN627" i="3"/>
  <c r="BN628" i="3"/>
  <c r="BN629" i="3"/>
  <c r="BN634" i="3"/>
  <c r="CS634" i="3" s="1"/>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EC613" i="3" s="1"/>
  <c r="BS614" i="3"/>
  <c r="EC614" i="3" s="1"/>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EH599" i="3" s="1"/>
  <c r="BX600" i="3"/>
  <c r="EH600" i="3" s="1"/>
  <c r="BX601" i="3"/>
  <c r="BX602" i="3"/>
  <c r="BX603" i="3"/>
  <c r="EH603" i="3" s="1"/>
  <c r="BX604" i="3"/>
  <c r="BX605" i="3"/>
  <c r="EH605" i="3" s="1"/>
  <c r="BX606" i="3"/>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CC603" i="3"/>
  <c r="CC604" i="3"/>
  <c r="EM604" i="3" s="1"/>
  <c r="CC605" i="3"/>
  <c r="CC606" i="3"/>
  <c r="EM606" i="3" s="1"/>
  <c r="CC607" i="3"/>
  <c r="EM607" i="3" s="1"/>
  <c r="CC608" i="3"/>
  <c r="EM608" i="3" s="1"/>
  <c r="CC609" i="3"/>
  <c r="EM609" i="3" s="1"/>
  <c r="CC610" i="3"/>
  <c r="CC611" i="3"/>
  <c r="CC612" i="3"/>
  <c r="EM612" i="3" s="1"/>
  <c r="CC613" i="3"/>
  <c r="EM613" i="3" s="1"/>
  <c r="CC614" i="3"/>
  <c r="CC615" i="3"/>
  <c r="CC616" i="3"/>
  <c r="EM616" i="3" s="1"/>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CM603" i="3"/>
  <c r="EW603" i="3" s="1"/>
  <c r="CM604" i="3"/>
  <c r="EW604" i="3" s="1"/>
  <c r="CM605" i="3"/>
  <c r="CM606" i="3"/>
  <c r="EW606" i="3" s="1"/>
  <c r="CM607" i="3"/>
  <c r="EW607" i="3" s="1"/>
  <c r="CM608" i="3"/>
  <c r="EW608" i="3" s="1"/>
  <c r="CM609" i="3"/>
  <c r="CM610" i="3"/>
  <c r="CM611" i="3"/>
  <c r="EW611" i="3" s="1"/>
  <c r="CM612" i="3"/>
  <c r="EW612" i="3" s="1"/>
  <c r="CM613" i="3"/>
  <c r="EW613" i="3" s="1"/>
  <c r="CM614" i="3"/>
  <c r="EW614" i="3" s="1"/>
  <c r="CM615" i="3"/>
  <c r="EW615" i="3" s="1"/>
  <c r="CM616" i="3"/>
  <c r="CM617" i="3"/>
  <c r="CM618" i="3"/>
  <c r="EW618" i="3" s="1"/>
  <c r="CM619" i="3"/>
  <c r="EW619" i="3" s="1"/>
  <c r="CM620" i="3"/>
  <c r="EW620" i="3" s="1"/>
  <c r="CH596" i="3"/>
  <c r="CH597" i="3"/>
  <c r="CH598" i="3"/>
  <c r="ER598" i="3" s="1"/>
  <c r="CH599" i="3"/>
  <c r="CH600" i="3"/>
  <c r="CH601" i="3"/>
  <c r="ER601" i="3" s="1"/>
  <c r="CH602" i="3"/>
  <c r="ER602" i="3" s="1"/>
  <c r="CH603" i="3"/>
  <c r="ER603" i="3" s="1"/>
  <c r="CH604" i="3"/>
  <c r="CH605" i="3"/>
  <c r="CH606" i="3"/>
  <c r="ER606" i="3" s="1"/>
  <c r="CH607" i="3"/>
  <c r="ER607" i="3" s="1"/>
  <c r="CH608" i="3"/>
  <c r="CH609" i="3"/>
  <c r="ER609" i="3" s="1"/>
  <c r="CH610" i="3"/>
  <c r="ER610" i="3" s="1"/>
  <c r="CH611" i="3"/>
  <c r="ER611" i="3" s="1"/>
  <c r="CH612" i="3"/>
  <c r="ER612" i="3" s="1"/>
  <c r="CH613" i="3"/>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S641" i="3"/>
  <c r="CX636" i="3"/>
  <c r="CX638" i="3"/>
  <c r="CX641" i="3"/>
  <c r="DC634" i="3"/>
  <c r="DC635" i="3"/>
  <c r="DC639" i="3"/>
  <c r="DC643" i="3"/>
  <c r="DH636" i="3"/>
  <c r="DH638" i="3"/>
  <c r="DH640" i="3"/>
  <c r="DM635"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7" i="11" s="1"/>
  <c r="C90" i="11"/>
  <c r="D90" i="11" s="1"/>
  <c r="C91" i="11"/>
  <c r="C92" i="11"/>
  <c r="C93" i="11"/>
  <c r="C94" i="11"/>
  <c r="C95" i="11"/>
  <c r="C96" i="11"/>
  <c r="B85" i="11"/>
  <c r="D85" i="11" s="1"/>
  <c r="B86" i="11"/>
  <c r="B87" i="11"/>
  <c r="B88" i="11"/>
  <c r="B89" i="11"/>
  <c r="B90" i="11"/>
  <c r="B91" i="11"/>
  <c r="B92" i="11"/>
  <c r="B93" i="11"/>
  <c r="D93" i="11" s="1"/>
  <c r="B94" i="11"/>
  <c r="D94" i="11" s="1"/>
  <c r="B95" i="11"/>
  <c r="D95" i="11" s="1"/>
  <c r="B96" i="11"/>
  <c r="A70" i="11"/>
  <c r="C67" i="11"/>
  <c r="C68" i="11"/>
  <c r="C69" i="11"/>
  <c r="C70" i="11"/>
  <c r="B67" i="11"/>
  <c r="B68" i="11"/>
  <c r="B69" i="11"/>
  <c r="B70" i="11"/>
  <c r="D70" i="11" s="1"/>
  <c r="A62" i="11"/>
  <c r="A54" i="11"/>
  <c r="A38" i="11"/>
  <c r="A26" i="11"/>
  <c r="C31" i="11"/>
  <c r="C32" i="11"/>
  <c r="C33" i="11"/>
  <c r="C34" i="11"/>
  <c r="C35" i="11"/>
  <c r="C36" i="11"/>
  <c r="C37" i="11"/>
  <c r="C38" i="11"/>
  <c r="D38" i="11" s="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X722" i="3"/>
  <c r="AH722" i="3"/>
  <c r="BA665" i="3"/>
  <c r="X723" i="3"/>
  <c r="AH723" i="3"/>
  <c r="BA663" i="3"/>
  <c r="AH721" i="3" s="1"/>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2" i="11" s="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70" i="4" s="1"/>
  <c r="R61" i="4"/>
  <c r="R60" i="4"/>
  <c r="R59" i="4"/>
  <c r="R58" i="4"/>
  <c r="R57" i="4"/>
  <c r="R56" i="4"/>
  <c r="R62" i="4" s="1"/>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D5" i="11" s="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C41" i="11"/>
  <c r="C42" i="11"/>
  <c r="B42" i="11"/>
  <c r="B44" i="11"/>
  <c r="C44" i="11"/>
  <c r="D44" i="11" s="1"/>
  <c r="B46" i="11"/>
  <c r="C46" i="11"/>
  <c r="C55" i="11" s="1"/>
  <c r="B47" i="11"/>
  <c r="B55" i="11" s="1"/>
  <c r="C47" i="11"/>
  <c r="D47" i="11" s="1"/>
  <c r="B48" i="11"/>
  <c r="B49" i="11"/>
  <c r="B50" i="11"/>
  <c r="B51" i="11"/>
  <c r="D51" i="11"/>
  <c r="B52" i="11"/>
  <c r="B53" i="11"/>
  <c r="D53" i="11" s="1"/>
  <c r="C48" i="11"/>
  <c r="C49" i="11"/>
  <c r="C50" i="11"/>
  <c r="C51" i="11"/>
  <c r="C52" i="11"/>
  <c r="C53" i="11"/>
  <c r="B57" i="11"/>
  <c r="B63" i="11" s="1"/>
  <c r="C57" i="11"/>
  <c r="D57" i="11" s="1"/>
  <c r="B58" i="11"/>
  <c r="C58" i="11"/>
  <c r="B59" i="11"/>
  <c r="C59" i="11"/>
  <c r="B60" i="11"/>
  <c r="C60" i="11"/>
  <c r="B61" i="11"/>
  <c r="C61" i="11"/>
  <c r="B62" i="11"/>
  <c r="C62" i="11"/>
  <c r="D62" i="11" s="1"/>
  <c r="B66" i="11"/>
  <c r="C66" i="11"/>
  <c r="B73" i="11"/>
  <c r="C73" i="11"/>
  <c r="B74" i="11"/>
  <c r="C74" i="11"/>
  <c r="B75" i="11"/>
  <c r="C75" i="11"/>
  <c r="B76" i="11"/>
  <c r="C76" i="11"/>
  <c r="B77" i="11"/>
  <c r="C77" i="11"/>
  <c r="B84" i="11"/>
  <c r="C84" i="11"/>
  <c r="B100" i="11"/>
  <c r="C100" i="11"/>
  <c r="C105" i="11" s="1"/>
  <c r="D105" i="11" s="1"/>
  <c r="A4" i="8"/>
  <c r="D4" i="8"/>
  <c r="I4" i="8"/>
  <c r="J4" i="8" s="1"/>
  <c r="A5" i="8"/>
  <c r="D5" i="8"/>
  <c r="I5" i="8"/>
  <c r="J5" i="8" s="1"/>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J14" i="8" s="1"/>
  <c r="A15" i="8"/>
  <c r="D15" i="8"/>
  <c r="I15" i="8"/>
  <c r="J15" i="8" s="1"/>
  <c r="A16" i="8"/>
  <c r="D16" i="8"/>
  <c r="I16" i="8"/>
  <c r="J16" i="8" s="1"/>
  <c r="A17" i="8"/>
  <c r="D17" i="8"/>
  <c r="I17" i="8"/>
  <c r="J17" i="8" s="1"/>
  <c r="A18" i="8"/>
  <c r="D18" i="8"/>
  <c r="I18" i="8"/>
  <c r="A19" i="8"/>
  <c r="D19" i="8"/>
  <c r="I19" i="8" s="1"/>
  <c r="J19" i="8" s="1"/>
  <c r="A20" i="8"/>
  <c r="D20" i="8"/>
  <c r="I20" i="8"/>
  <c r="J20" i="8" s="1"/>
  <c r="A21" i="8"/>
  <c r="D21" i="8"/>
  <c r="I21" i="8" s="1"/>
  <c r="A22" i="8"/>
  <c r="D22" i="8"/>
  <c r="I22" i="8" s="1"/>
  <c r="A23" i="8"/>
  <c r="D23" i="8"/>
  <c r="I23" i="8" s="1"/>
  <c r="J23" i="8" s="1"/>
  <c r="A24" i="8"/>
  <c r="D24" i="8"/>
  <c r="I24" i="8"/>
  <c r="J24" i="8" s="1"/>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2" i="3"/>
  <c r="DX603" i="3"/>
  <c r="DX604" i="3"/>
  <c r="DX605" i="3"/>
  <c r="DX607" i="3"/>
  <c r="DX611" i="3"/>
  <c r="DX612" i="3"/>
  <c r="DX615" i="3"/>
  <c r="DX618" i="3"/>
  <c r="DX619" i="3"/>
  <c r="DX620" i="3"/>
  <c r="EC596" i="3"/>
  <c r="EC597" i="3"/>
  <c r="EC603" i="3"/>
  <c r="EC604" i="3"/>
  <c r="EC605" i="3"/>
  <c r="EC609" i="3"/>
  <c r="EC611" i="3"/>
  <c r="EC615" i="3"/>
  <c r="EC620" i="3"/>
  <c r="EH596" i="3"/>
  <c r="EH597" i="3"/>
  <c r="EH598" i="3"/>
  <c r="EH601" i="3"/>
  <c r="EH604" i="3"/>
  <c r="EH606" i="3"/>
  <c r="EH608" i="3"/>
  <c r="EH609" i="3"/>
  <c r="EH612" i="3"/>
  <c r="EH613" i="3"/>
  <c r="EH614" i="3"/>
  <c r="EH617" i="3"/>
  <c r="EH619" i="3"/>
  <c r="EH620" i="3"/>
  <c r="EM597" i="3"/>
  <c r="EM598" i="3"/>
  <c r="EM602" i="3"/>
  <c r="EM603" i="3"/>
  <c r="EM605" i="3"/>
  <c r="EM610" i="3"/>
  <c r="EM611" i="3"/>
  <c r="EM614" i="3"/>
  <c r="EM615" i="3"/>
  <c r="EM618" i="3"/>
  <c r="EM619" i="3"/>
  <c r="EW597" i="3"/>
  <c r="EW600" i="3"/>
  <c r="EW602" i="3"/>
  <c r="EW605" i="3"/>
  <c r="EW609" i="3"/>
  <c r="EW610" i="3"/>
  <c r="EW616" i="3"/>
  <c r="EW617" i="3"/>
  <c r="ER596" i="3"/>
  <c r="ER597" i="3"/>
  <c r="ER599" i="3"/>
  <c r="ER600" i="3"/>
  <c r="ER604" i="3"/>
  <c r="ER605" i="3"/>
  <c r="ER608" i="3"/>
  <c r="ER613" i="3"/>
  <c r="ER615" i="3"/>
  <c r="ER616" i="3"/>
  <c r="ER617" i="3"/>
  <c r="ER620" i="3"/>
  <c r="C11" i="4"/>
  <c r="C12" i="4" s="1"/>
  <c r="B12" i="13" s="1"/>
  <c r="B26" i="13"/>
  <c r="C38" i="4"/>
  <c r="B38" i="13"/>
  <c r="C54" i="4"/>
  <c r="B54" i="13"/>
  <c r="C62" i="4"/>
  <c r="B62" i="13" s="1"/>
  <c r="C77" i="4"/>
  <c r="B77" i="4" s="1"/>
  <c r="B77" i="13"/>
  <c r="C96" i="4"/>
  <c r="B96" i="4" s="1"/>
  <c r="B104" i="13"/>
  <c r="D8" i="4"/>
  <c r="D11" i="4"/>
  <c r="D26" i="4"/>
  <c r="D38" i="4"/>
  <c r="D42" i="4"/>
  <c r="D54" i="4"/>
  <c r="B54" i="4"/>
  <c r="D62" i="4"/>
  <c r="D77" i="4"/>
  <c r="D96" i="4"/>
  <c r="D104" i="4"/>
  <c r="B104" i="4"/>
  <c r="AO637" i="3"/>
  <c r="E26" i="13"/>
  <c r="S38" i="4"/>
  <c r="E38" i="13" s="1"/>
  <c r="S42" i="4"/>
  <c r="E42" i="13"/>
  <c r="S54" i="4"/>
  <c r="S63" i="4"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2"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AH726" i="3" s="1"/>
  <c r="BA669" i="3"/>
  <c r="BA670" i="3"/>
  <c r="BA671" i="3"/>
  <c r="BA672" i="3"/>
  <c r="BA673" i="3"/>
  <c r="BA674" i="3"/>
  <c r="BA675" i="3"/>
  <c r="G679" i="3"/>
  <c r="Z679" i="3"/>
  <c r="BA676" i="3"/>
  <c r="AH734" i="3" s="1"/>
  <c r="BA677" i="3"/>
  <c r="BA678" i="3"/>
  <c r="BA679" i="3"/>
  <c r="BA680" i="3"/>
  <c r="X714" i="3"/>
  <c r="X715" i="3"/>
  <c r="X716" i="3"/>
  <c r="X717" i="3"/>
  <c r="AH717" i="3" s="1"/>
  <c r="X718" i="3"/>
  <c r="X719" i="3"/>
  <c r="X720" i="3"/>
  <c r="X726" i="3"/>
  <c r="X727" i="3"/>
  <c r="X728" i="3"/>
  <c r="X729" i="3"/>
  <c r="AH729" i="3" s="1"/>
  <c r="X730" i="3"/>
  <c r="X731" i="3"/>
  <c r="X732" i="3"/>
  <c r="X733" i="3"/>
  <c r="X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D54" i="11"/>
  <c r="J63" i="13"/>
  <c r="J97" i="13"/>
  <c r="J105" i="13"/>
  <c r="J107" i="13"/>
  <c r="D48" i="11"/>
  <c r="AH715" i="3"/>
  <c r="AH718" i="3"/>
  <c r="D52" i="11"/>
  <c r="I12" i="4"/>
  <c r="G12" i="4"/>
  <c r="D46" i="11"/>
  <c r="D6" i="11"/>
  <c r="Q12" i="4"/>
  <c r="O63" i="4"/>
  <c r="O97" i="4"/>
  <c r="O105" i="4"/>
  <c r="D18" i="11"/>
  <c r="B8" i="4"/>
  <c r="N158" i="26" s="1"/>
  <c r="D10" i="11"/>
  <c r="D36" i="11"/>
  <c r="G63" i="13"/>
  <c r="G97" i="13"/>
  <c r="G105" i="13"/>
  <c r="G107" i="13"/>
  <c r="D61" i="11"/>
  <c r="D20" i="11"/>
  <c r="D8" i="11"/>
  <c r="B43" i="11"/>
  <c r="D102" i="11"/>
  <c r="K12" i="4"/>
  <c r="C43" i="11"/>
  <c r="D43" i="11" s="1"/>
  <c r="C12" i="13"/>
  <c r="D63" i="4"/>
  <c r="D97" i="4"/>
  <c r="D105" i="4"/>
  <c r="B78" i="11"/>
  <c r="D7" i="11"/>
  <c r="F63" i="4"/>
  <c r="F97" i="4" s="1"/>
  <c r="F105" i="4" s="1"/>
  <c r="J12" i="4"/>
  <c r="D22" i="11"/>
  <c r="O12" i="4"/>
  <c r="D25" i="11"/>
  <c r="B82" i="11"/>
  <c r="D12" i="4"/>
  <c r="R77" i="4"/>
  <c r="H12" i="4"/>
  <c r="B9" i="11"/>
  <c r="C39" i="11"/>
  <c r="D23" i="11"/>
  <c r="D19" i="11"/>
  <c r="D89" i="11"/>
  <c r="D73" i="11"/>
  <c r="D35" i="11"/>
  <c r="D76" i="11"/>
  <c r="D31" i="11"/>
  <c r="D32" i="11"/>
  <c r="D15" i="11"/>
  <c r="D63" i="13"/>
  <c r="D97" i="13"/>
  <c r="D105" i="13"/>
  <c r="D14" i="11"/>
  <c r="Q63" i="4"/>
  <c r="Q97" i="4"/>
  <c r="Q105" i="4"/>
  <c r="D87" i="11"/>
  <c r="N63" i="4"/>
  <c r="N97" i="4"/>
  <c r="N105" i="4"/>
  <c r="N12" i="4"/>
  <c r="H63" i="4"/>
  <c r="H97" i="4"/>
  <c r="H105" i="4" s="1"/>
  <c r="F12" i="4"/>
  <c r="D60" i="11"/>
  <c r="M12" i="4"/>
  <c r="R8" i="4"/>
  <c r="D84" i="11"/>
  <c r="D74" i="11"/>
  <c r="D59" i="11"/>
  <c r="R42" i="4"/>
  <c r="P63" i="4"/>
  <c r="P97" i="4"/>
  <c r="P105" i="4"/>
  <c r="B38" i="4"/>
  <c r="C63" i="11"/>
  <c r="D63" i="11" s="1"/>
  <c r="D12" i="13"/>
  <c r="D58" i="11"/>
  <c r="D24" i="11"/>
  <c r="D101" i="11"/>
  <c r="D66" i="11"/>
  <c r="C63" i="13"/>
  <c r="C97" i="13"/>
  <c r="C105" i="13"/>
  <c r="D92" i="11"/>
  <c r="D75" i="11"/>
  <c r="B71" i="11"/>
  <c r="D28" i="11"/>
  <c r="D103" i="11"/>
  <c r="D88" i="11"/>
  <c r="C78" i="11"/>
  <c r="D42" i="11"/>
  <c r="D21" i="11"/>
  <c r="D16" i="11"/>
  <c r="R26" i="4"/>
  <c r="D81" i="11"/>
  <c r="D86" i="11"/>
  <c r="F63" i="13"/>
  <c r="F97" i="13"/>
  <c r="F105" i="13"/>
  <c r="F107" i="13"/>
  <c r="AH719" i="3"/>
  <c r="AH716" i="3"/>
  <c r="AH714" i="3"/>
  <c r="AD199" i="20"/>
  <c r="B42" i="4"/>
  <c r="D77" i="11"/>
  <c r="C71" i="11"/>
  <c r="D71" i="11" s="1"/>
  <c r="G63" i="4"/>
  <c r="G97" i="4"/>
  <c r="G105" i="4" s="1"/>
  <c r="D91" i="11"/>
  <c r="J63" i="4"/>
  <c r="J97" i="4"/>
  <c r="J105" i="4"/>
  <c r="D41" i="11"/>
  <c r="C12" i="11"/>
  <c r="K63" i="4"/>
  <c r="K97" i="4"/>
  <c r="K105" i="4"/>
  <c r="B62" i="4"/>
  <c r="R96" i="4"/>
  <c r="B105" i="11"/>
  <c r="AD7" i="15"/>
  <c r="E63" i="4"/>
  <c r="E97" i="4" s="1"/>
  <c r="E105" i="4" s="1"/>
  <c r="G40" i="7"/>
  <c r="G43" i="7" s="1"/>
  <c r="AG40" i="7"/>
  <c r="AG43" i="7" s="1"/>
  <c r="K28" i="7"/>
  <c r="AC28" i="7"/>
  <c r="AG28" i="7"/>
  <c r="M28" i="7"/>
  <c r="D104" i="11"/>
  <c r="T63" i="4"/>
  <c r="T97" i="4"/>
  <c r="D78" i="11"/>
  <c r="H63" i="13"/>
  <c r="T105" i="4"/>
  <c r="H97" i="13"/>
  <c r="D96" i="11"/>
  <c r="T107" i="4"/>
  <c r="H105" i="13"/>
  <c r="H107" i="13"/>
  <c r="AD11" i="15"/>
  <c r="AB223" i="20"/>
  <c r="AB239" i="20" s="1"/>
  <c r="AB241" i="20" s="1"/>
  <c r="AB243" i="20" s="1"/>
  <c r="AB249" i="20" s="1"/>
  <c r="AD198" i="20" s="1"/>
  <c r="AD200" i="20" s="1"/>
  <c r="B11" i="4" l="1"/>
  <c r="B11" i="13"/>
  <c r="D12" i="11"/>
  <c r="R38" i="4"/>
  <c r="R12" i="4"/>
  <c r="R63" i="4"/>
  <c r="R97" i="4" s="1"/>
  <c r="R105" i="4" s="1"/>
  <c r="L63" i="4"/>
  <c r="L97" i="4" s="1"/>
  <c r="L105" i="4" s="1"/>
  <c r="E54" i="13"/>
  <c r="D82" i="11"/>
  <c r="S97" i="4"/>
  <c r="E63" i="13"/>
  <c r="D55" i="11"/>
  <c r="B96" i="13"/>
  <c r="D100" i="11"/>
  <c r="B97" i="11"/>
  <c r="D97" i="11" s="1"/>
  <c r="N157" i="26"/>
  <c r="N164" i="26" s="1"/>
  <c r="D80" i="11"/>
  <c r="B13" i="11"/>
  <c r="B12" i="4"/>
  <c r="D11" i="11"/>
  <c r="C9" i="11"/>
  <c r="B63" i="4"/>
  <c r="B64" i="11"/>
  <c r="B98" i="11" s="1"/>
  <c r="B106" i="11" s="1"/>
  <c r="B39" i="11"/>
  <c r="D39" i="11" s="1"/>
  <c r="C63" i="4"/>
  <c r="B63" i="13" s="1"/>
  <c r="S43" i="7"/>
  <c r="U28" i="7"/>
  <c r="AA28" i="7"/>
  <c r="G28" i="7"/>
  <c r="O28" i="7"/>
  <c r="Y28" i="7"/>
  <c r="S28" i="7"/>
  <c r="Q28" i="7"/>
  <c r="W28" i="7"/>
  <c r="AH727" i="3"/>
  <c r="AH732" i="3"/>
  <c r="AH728" i="3"/>
  <c r="J21" i="8"/>
  <c r="AH731" i="3"/>
  <c r="J18" i="8"/>
  <c r="AH730" i="3"/>
  <c r="J22" i="8"/>
  <c r="AH733" i="3"/>
  <c r="Q42" i="21" a="1"/>
  <c r="Q42" i="21" s="1"/>
  <c r="Q41" i="21" a="1"/>
  <c r="Q41" i="21" s="1"/>
  <c r="Q30" i="21" a="1"/>
  <c r="Q30" i="21" s="1"/>
  <c r="AK172" i="20"/>
  <c r="AO65" i="20"/>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C97" i="4"/>
  <c r="C105" i="4" s="1"/>
  <c r="B27" i="11"/>
  <c r="D26" i="11"/>
  <c r="D27" i="11" s="1"/>
  <c r="C64"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AC869" i="3" s="1"/>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AI11" i="15"/>
  <c r="E26" i="21"/>
  <c r="E23" i="21"/>
  <c r="F23" i="21" s="1"/>
  <c r="G23" i="21" s="1"/>
  <c r="S105" i="4" l="1"/>
  <c r="E97" i="13"/>
  <c r="D9" i="11"/>
  <c r="C13" i="11"/>
  <c r="D13" i="11" s="1"/>
  <c r="J30" i="8"/>
  <c r="Z793" i="3" s="1"/>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7" i="4" l="1"/>
  <c r="E105" i="13"/>
  <c r="AB47" i="15"/>
  <c r="AB49" i="15" s="1"/>
  <c r="N154" i="26"/>
  <c r="O36" i="21"/>
  <c r="P36" i="21" s="1" a="1"/>
  <c r="P36" i="21" s="1"/>
  <c r="R36" i="21" s="1"/>
  <c r="O41" i="21"/>
  <c r="P41" i="21" s="1" a="1"/>
  <c r="P41" i="21" s="1"/>
  <c r="R41" i="21" s="1"/>
  <c r="O42" i="21"/>
  <c r="P42" i="21" s="1" a="1"/>
  <c r="P42" i="21" s="1"/>
  <c r="R42" i="21" s="1"/>
  <c r="O40" i="21"/>
  <c r="P40" i="21" s="1" a="1"/>
  <c r="P40" i="21" s="1"/>
  <c r="R40" i="21" s="1"/>
  <c r="O39" i="21"/>
  <c r="P39" i="21" s="1" a="1"/>
  <c r="P39" i="21" s="1"/>
  <c r="R39" i="21" s="1"/>
  <c r="O38" i="21"/>
  <c r="P38" i="21" s="1" a="1"/>
  <c r="P38" i="21" s="1"/>
  <c r="R38" i="21" s="1"/>
  <c r="O37" i="21"/>
  <c r="P37" i="21" s="1" a="1"/>
  <c r="P37" i="21" s="1"/>
  <c r="R37" i="21" s="1"/>
  <c r="O34" i="21"/>
  <c r="P34" i="21" s="1" a="1"/>
  <c r="P34" i="21" s="1"/>
  <c r="R34"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7" i="13" l="1"/>
  <c r="AF540" i="20"/>
  <c r="AC455" i="3"/>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T11" i="15" l="1"/>
  <c r="T23" i="15" s="1"/>
  <c r="Y11" i="15"/>
  <c r="Y23" i="15" s="1"/>
  <c r="Y26" i="15" s="1"/>
  <c r="Y28" i="15" s="1"/>
  <c r="AJ972" i="3"/>
  <c r="AJ994" i="3"/>
  <c r="AJ963" i="3"/>
  <c r="I13" i="21" s="1"/>
  <c r="AJ1001" i="3"/>
  <c r="I14" i="21"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26" i="15" l="1"/>
  <c r="T28" i="15" s="1"/>
  <c r="T29" i="15" s="1"/>
  <c r="Y64" i="15"/>
  <c r="Y68" i="15" s="1"/>
  <c r="AZ832" i="3"/>
  <c r="AZ835" i="3"/>
  <c r="AP543" i="20"/>
  <c r="AJ1018" i="3"/>
  <c r="T24" i="15" s="1"/>
  <c r="Y3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<sst xmlns="http://schemas.openxmlformats.org/spreadsheetml/2006/main" count="5277" uniqueCount="2778">
  <si>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</si>
  <si>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</si>
  <si>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</si>
  <si>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</si>
  <si>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</si>
  <si>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</si>
  <si>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</si>
  <si>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</si>
  <si>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</si>
  <si>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</si>
  <si>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</si>
  <si>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</si>
  <si>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</si>
  <si>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</si>
  <si>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</si>
  <si>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</si>
  <si>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</si>
  <si>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</si>
  <si>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</si>
  <si>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</si>
  <si>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</si>
  <si>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</si>
  <si>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</si>
  <si>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</si>
  <si>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</si>
  <si>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</si>
  <si>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</si>
  <si>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</si>
  <si>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</si>
  <si>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</si>
  <si>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</si>
  <si>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</si>
  <si>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</si>
  <si>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</si>
  <si>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</si>
  <si>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</si>
  <si>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</si>
  <si>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</si>
  <si>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</si>
  <si>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</si>
  <si>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</si>
  <si>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</si>
  <si>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</si>
  <si>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</si>
  <si>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</si>
  <si>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</si>
  <si>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</si>
  <si>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</si>
  <si>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</si>
  <si>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</si>
  <si>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</si>
  <si>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</si>
  <si>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</si>
  <si>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</si>
  <si>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</si>
  <si>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</si>
  <si>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</si>
  <si>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</si>
  <si>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</si>
  <si>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</si>
  <si>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</si>
  <si>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</si>
  <si>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</si>
  <si>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</si>
  <si>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</si>
  <si>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</si>
  <si>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</si>
  <si>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</si>
  <si>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</si>
  <si>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</si>
  <si>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</si>
  <si>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</si>
  <si>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</si>
  <si>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</si>
  <si>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</si>
  <si>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</si>
  <si>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</si>
  <si>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</si>
  <si>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</si>
  <si>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</si>
  <si>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</si>
  <si>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</si>
  <si>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</si>
  <si>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</si>
  <si>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</si>
  <si>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</si>
  <si>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</si>
  <si>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</si>
  <si>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</si>
  <si>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</si>
  <si>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</si>
  <si>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</si>
  <si>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</si>
  <si>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</si>
  <si>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</si>
  <si>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</si>
  <si>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</si>
  <si>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</si>
  <si>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</si>
  <si>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</si>
  <si>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</si>
  <si>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</si>
  <si>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</si>
  <si>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</si>
  <si>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</si>
  <si>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</si>
  <si>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</si>
  <si>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</si>
  <si>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</si>
  <si>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</si>
  <si>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</si>
  <si>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</si>
  <si>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</si>
  <si>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</si>
  <si>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</si>
  <si>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</si>
  <si>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</si>
  <si>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</si>
  <si>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</si>
  <si>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</si>
  <si>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</si>
  <si>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</si>
  <si>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</si>
  <si>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</si>
  <si>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</si>
  <si>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</si>
  <si>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</si>
  <si>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</si>
  <si>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</si>
  <si>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</si>
  <si>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</si>
  <si>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</si>
  <si>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</si>
  <si>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</si>
  <si>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</si>
  <si>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</si>
  <si>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</si>
  <si>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</si>
  <si>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</si>
  <si>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</si>
  <si>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</si>
  <si>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</si>
  <si>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</si>
  <si>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</si>
  <si>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</si>
  <si>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</si>
  <si>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</si>
  <si>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</si>
  <si>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</si>
  <si>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</si>
  <si>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</si>
  <si>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</si>
  <si>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</si>
  <si>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</si>
  <si>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</si>
  <si>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</si>
  <si>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</si>
  <si>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</si>
  <si>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</si>
  <si>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</si>
  <si>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</si>
  <si>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</si>
  <si>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</si>
  <si>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</si>
  <si>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</si>
  <si>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</si>
  <si>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</si>
  <si>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</si>
  <si>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</si>
  <si>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</si>
  <si>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</si>
  <si>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</si>
  <si>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</si>
  <si>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</si>
  <si>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</si>
  <si>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</si>
  <si>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</si>
  <si>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</si>
  <si>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</si>
  <si>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</si>
  <si>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</si>
  <si>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</si>
  <si>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</si>
  <si>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</si>
  <si>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</si>
  <si>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</si>
  <si>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</si>
  <si>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</si>
  <si>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</si>
  <si>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</si>
  <si>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</si>
  <si>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</si>
  <si>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</si>
  <si>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</si>
  <si>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</si>
  <si>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</si>
  <si>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</si>
  <si>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</si>
  <si>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</si>
  <si>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</si>
  <si>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</si>
  <si>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</si>
  <si>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</si>
  <si>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</si>
  <si>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</si>
  <si>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</si>
  <si>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</si>
  <si>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</si>
  <si>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</si>
  <si>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</si>
  <si>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</si>
  <si>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</si>
  <si>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</si>
  <si>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</si>
  <si>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</si>
  <si>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</si>
  <si>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</si>
  <si>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</si>
  <si>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</si>
  <si>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</si>
  <si>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</si>
  <si>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</si>
  <si>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</si>
  <si>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</si>
  <si>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</si>
  <si>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</si>
  <si>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</si>
  <si>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</si>
  <si>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</si>
  <si>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</si>
  <si>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</si>
  <si>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</si>
  <si>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</si>
  <si>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</si>
  <si>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</si>
  <si>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</si>
  <si>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</si>
  <si>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</si>
  <si>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</si>
  <si>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</si>
  <si>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</si>
  <si>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</si>
  <si>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</si>
  <si>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</si>
  <si>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</si>
  <si>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</si>
  <si>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</si>
  <si>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</si>
  <si>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</si>
  <si>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</si>
  <si>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</si>
  <si>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</si>
  <si>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</si>
  <si>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</si>
  <si>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</si>
  <si>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</si>
  <si>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</si>
  <si>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</si>
  <si>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</si>
  <si>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</si>
  <si>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</si>
  <si>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</si>
  <si>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</si>
  <si>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</si>
  <si>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</si>
  <si>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</si>
  <si>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</si>
  <si>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</si>
  <si>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</si>
  <si>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</si>
  <si>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</si>
  <si>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</si>
  <si>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</si>
  <si>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</si>
  <si>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</si>
  <si>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</si>
  <si>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</si>
  <si>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</si>
  <si>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</si>
  <si>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</si>
  <si>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</si>
  <si>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</si>
  <si>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</si>
  <si>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</si>
  <si>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</si>
  <si>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</si>
  <si>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</si>
  <si>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</si>
  <si>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</si>
  <si>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</si>
  <si>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</si>
  <si>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</si>
  <si>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</si>
  <si>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</si>
  <si>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</si>
  <si>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</si>
  <si>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</si>
  <si>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</si>
  <si>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</si>
  <si>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</si>
  <si>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</si>
  <si>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</si>
  <si>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</si>
  <si>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</si>
  <si>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</si>
  <si>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</si>
  <si>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</si>
  <si>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</si>
  <si>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</si>
  <si>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</si>
  <si>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</si>
  <si>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</si>
  <si>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</si>
  <si>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</si>
  <si>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</si>
  <si>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</si>
  <si>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</si>
  <si>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</si>
  <si>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</si>
  <si>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</si>
  <si>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</si>
  <si>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</si>
  <si>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</si>
  <si>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</si>
  <si>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</si>
  <si>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</si>
  <si>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</si>
  <si>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</si>
  <si>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</si>
  <si>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</si>
  <si>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</si>
  <si>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</si>
  <si>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</si>
  <si>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</si>
  <si>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</si>
  <si>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</si>
  <si>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</si>
  <si>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</si>
  <si>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</si>
  <si>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</si>
  <si>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</si>
  <si>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</si>
  <si>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</si>
  <si>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</si>
  <si>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</si>
  <si>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</si>
  <si>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</si>
  <si>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</si>
  <si>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</si>
  <si>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</si>
  <si>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</si>
  <si>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</si>
  <si>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</si>
  <si>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</si>
  <si>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</si>
  <si>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</si>
  <si>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</si>
  <si>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</si>
  <si>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</si>
  <si>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</si>
  <si>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</si>
  <si>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</si>
  <si>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</si>
  <si>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</si>
  <si>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</si>
  <si>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</si>
  <si>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</si>
  <si>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</si>
  <si>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</si>
  <si>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</si>
  <si>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</si>
  <si>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</si>
  <si>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</si>
  <si>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</si>
  <si>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</si>
  <si>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</si>
  <si>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</si>
  <si>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</si>
  <si>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</si>
  <si>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</si>
  <si>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</si>
  <si>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</si>
  <si>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</si>
  <si>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</si>
  <si>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</si>
  <si>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</si>
  <si>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</si>
  <si>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</si>
  <si>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</si>
  <si>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</si>
  <si>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</si>
  <si>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</si>
  <si>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</si>
  <si>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</si>
  <si>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</si>
  <si>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</si>
  <si>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</si>
  <si>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</si>
  <si>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</si>
  <si>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</si>
  <si>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</si>
  <si>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</si>
  <si>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</si>
  <si>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</si>
  <si>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</si>
  <si>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</si>
  <si>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</si>
  <si>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</si>
  <si>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</si>
  <si>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</si>
  <si>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</si>
  <si>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</si>
  <si>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</si>
  <si>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</si>
  <si>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</si>
  <si>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</si>
  <si>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</si>
  <si>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</si>
  <si>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</si>
  <si>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</si>
  <si>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</si>
  <si>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</si>
  <si>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</si>
  <si>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</si>
  <si>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</si>
  <si>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</si>
  <si>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</si>
  <si>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</si>
  <si>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</si>
  <si>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</si>
  <si>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</si>
  <si>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</si>
  <si>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</si>
  <si>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</si>
  <si>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</si>
  <si>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</si>
  <si>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</si>
  <si>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</si>
  <si>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</si>
  <si>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</si>
  <si>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</si>
  <si>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</si>
  <si>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</si>
  <si>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</si>
  <si>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</si>
  <si>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</si>
  <si>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</si>
  <si>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</si>
  <si>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</si>
  <si>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</si>
  <si>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</si>
  <si>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</si>
  <si>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</si>
  <si>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</si>
  <si>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</si>
  <si>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</si>
  <si>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</si>
  <si>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</si>
  <si>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</si>
  <si>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</si>
  <si>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</si>
  <si>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</si>
  <si>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</si>
  <si>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</si>
  <si>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</si>
  <si>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</si>
  <si>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</si>
  <si>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</si>
  <si>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</si>
  <si>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</si>
  <si>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</si>
  <si>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</si>
  <si>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</si>
  <si>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</si>
  <si>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</si>
  <si>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</si>
  <si>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</si>
  <si>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</si>
  <si>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</si>
  <si>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</si>
  <si>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</si>
  <si>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</si>
  <si>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</si>
  <si>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</si>
  <si>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</si>
  <si>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</si>
  <si>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</si>
  <si>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</si>
  <si>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</si>
  <si>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</si>
  <si>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</si>
  <si>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</si>
  <si>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</si>
  <si>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</si>
  <si>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</si>
  <si>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</si>
  <si>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</si>
  <si>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</si>
  <si>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</si>
  <si>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</si>
  <si>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</si>
  <si>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</si>
  <si>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</si>
  <si>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</si>
  <si>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</si>
  <si>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</si>
  <si>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</si>
  <si>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</si>
  <si>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</si>
  <si>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</si>
  <si>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</si>
  <si>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</si>
  <si>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</si>
  <si>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</si>
  <si>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</si>
  <si>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</si>
  <si>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</si>
  <si>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</si>
  <si>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</si>
  <si>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</si>
  <si>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</si>
  <si>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</si>
  <si>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</si>
  <si>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</si>
  <si>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</si>
  <si>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</si>
  <si>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</si>
  <si>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</si>
  <si>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</si>
  <si>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</si>
  <si>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</si>
  <si>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</si>
  <si>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</si>
  <si>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</si>
  <si>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</si>
  <si>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</si>
  <si>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</si>
  <si>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</si>
  <si>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</si>
  <si>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</si>
  <si>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</si>
  <si>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</si>
  <si>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</si>
  <si>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</si>
  <si>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</si>
  <si>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</si>
  <si>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</si>
  <si>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</si>
  <si>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</si>
  <si>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</si>
  <si>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</si>
  <si>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</si>
  <si>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</si>
  <si>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</si>
  <si>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</si>
  <si>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</si>
  <si>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</si>
  <si>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</si>
  <si>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</si>
  <si>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</si>
  <si>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</si>
  <si>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</si>
  <si>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</si>
  <si>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</si>
  <si>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</si>
  <si>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</si>
  <si>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</si>
  <si>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</si>
  <si>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</si>
  <si>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</si>
  <si>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</si>
  <si>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</si>
  <si>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</si>
  <si>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</si>
  <si>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</si>
  <si>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</si>
  <si>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</si>
  <si>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</si>
  <si>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</si>
  <si>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</si>
  <si>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</si>
  <si>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</si>
  <si>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</si>
  <si>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</si>
  <si>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</si>
  <si>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</si>
  <si>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</si>
  <si>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</si>
  <si>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</si>
  <si>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</si>
  <si>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</si>
  <si>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</si>
  <si>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</si>
  <si>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</si>
  <si>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</si>
  <si>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</si>
  <si>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</si>
  <si>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</si>
  <si>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</si>
  <si>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</si>
  <si>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</si>
  <si>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</si>
  <si>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</si>
  <si>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</si>
  <si>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</si>
  <si>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</si>
  <si>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</si>
  <si>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</si>
  <si>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</si>
  <si>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</si>
  <si>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</si>
  <si>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</si>
  <si>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</si>
  <si>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</si>
  <si>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</si>
  <si>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</si>
  <si>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</si>
  <si>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</si>
  <si>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</si>
  <si>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</si>
  <si>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</si>
  <si>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</si>
  <si>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</si>
  <si>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</si>
  <si>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</si>
  <si>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</si>
  <si>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</si>
  <si>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</si>
  <si>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</si>
  <si>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</si>
  <si>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</si>
  <si>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</si>
  <si>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</si>
  <si>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</si>
  <si>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</si>
  <si>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</si>
  <si>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</si>
  <si>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</si>
  <si>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</si>
  <si>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</si>
  <si>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</si>
  <si>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</si>
  <si>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</si>
  <si>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</si>
  <si>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</si>
  <si>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</si>
  <si>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</si>
  <si>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</si>
  <si>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</si>
  <si>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</si>
  <si>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</si>
  <si>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</si>
  <si>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</si>
  <si>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</si>
  <si>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</si>
  <si>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</si>
  <si>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</si>
  <si>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</si>
  <si>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</si>
  <si>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</si>
  <si>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</si>
  <si>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</si>
  <si>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</si>
  <si>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</si>
  <si>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</si>
  <si>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</si>
  <si>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</si>
  <si>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</si>
  <si>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</si>
  <si>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</si>
  <si>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</si>
  <si>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</si>
  <si>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</si>
  <si>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</si>
  <si>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</si>
  <si>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</si>
  <si>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</si>
  <si>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</si>
  <si>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</si>
  <si>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</si>
  <si>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</si>
  <si>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</si>
  <si>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</si>
  <si>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</si>
  <si>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</si>
  <si>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</si>
  <si>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</si>
  <si>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</si>
  <si>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</si>
  <si>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</si>
  <si>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</si>
  <si>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</si>
  <si>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</si>
  <si>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</si>
  <si>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</si>
  <si>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</si>
  <si>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</si>
  <si>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</si>
  <si>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</si>
  <si>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</si>
  <si>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</si>
  <si>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</si>
  <si>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</si>
  <si>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</si>
  <si>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</si>
  <si>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</si>
  <si>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</si>
  <si>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</si>
  <si>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</si>
  <si>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</si>
  <si>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</si>
  <si>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</si>
  <si>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</si>
  <si>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</si>
  <si>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</si>
  <si>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</si>
  <si>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</si>
  <si>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</si>
  <si>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</si>
  <si>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</si>
  <si>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</si>
  <si>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</si>
  <si>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</si>
  <si>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</si>
  <si>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</si>
  <si>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</si>
  <si>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</si>
  <si>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</si>
  <si>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</si>
  <si>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</si>
  <si>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</si>
  <si>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</si>
  <si>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</si>
  <si>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</si>
  <si>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</si>
  <si>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</si>
  <si>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</si>
  <si>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</si>
  <si>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</si>
  <si>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</si>
  <si>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</si>
  <si>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</si>
  <si>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</si>
  <si>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</si>
  <si>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</si>
  <si>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</si>
  <si>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</si>
  <si>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</si>
  <si>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</si>
  <si>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</si>
  <si>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</si>
  <si>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</si>
  <si>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</si>
  <si>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</si>
  <si>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</si>
  <si>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</si>
  <si>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</si>
  <si>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</si>
  <si>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</si>
  <si>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</si>
  <si>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</si>
  <si>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</si>
  <si>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</si>
  <si>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</si>
  <si>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</si>
  <si>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</si>
  <si>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</si>
  <si>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</si>
  <si>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</si>
  <si>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</si>
  <si>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</si>
  <si>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</si>
  <si>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</si>
  <si>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</si>
  <si>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</si>
  <si>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</si>
  <si>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</si>
  <si>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</si>
  <si>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</si>
  <si>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</si>
  <si>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</si>
  <si>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</si>
  <si>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</si>
  <si>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</si>
  <si>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</si>
  <si>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</si>
  <si>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</si>
  <si>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</si>
  <si>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</si>
  <si>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</si>
  <si>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</si>
  <si>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</si>
  <si>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</si>
  <si>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</si>
  <si>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</si>
  <si>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</si>
  <si>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</si>
  <si>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</si>
  <si>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</si>
  <si>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</si>
  <si>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</si>
  <si>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</si>
  <si>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</si>
  <si>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</si>
  <si>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</si>
  <si>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</si>
  <si>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</si>
  <si>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</si>
  <si>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</si>
  <si>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</si>
  <si>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</si>
  <si>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</si>
  <si>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</si>
  <si>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</si>
  <si>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</si>
  <si>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</si>
  <si>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</si>
  <si>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</si>
  <si>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</si>
  <si>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</si>
  <si>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</si>
  <si>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</si>
  <si>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</si>
  <si>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</si>
  <si>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</si>
  <si>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</si>
  <si>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</si>
  <si>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</si>
  <si>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</si>
  <si>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</si>
  <si>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</si>
  <si>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</si>
  <si>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</si>
  <si>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</si>
  <si>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</si>
  <si>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</si>
  <si>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</si>
  <si>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</si>
  <si>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</si>
  <si>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</si>
  <si>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</si>
  <si>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</si>
  <si>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</si>
  <si>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</si>
  <si>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</si>
  <si>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</si>
  <si>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</si>
  <si>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</si>
  <si>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</si>
  <si>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</si>
  <si>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</si>
  <si>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</si>
  <si>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</si>
  <si>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</si>
  <si>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</si>
  <si>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</si>
  <si>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</si>
  <si>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</si>
  <si>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</si>
  <si>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</si>
  <si>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</si>
  <si>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</si>
  <si>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</si>
  <si>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</si>
  <si>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</si>
  <si>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</si>
  <si>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</si>
  <si>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</si>
  <si>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</si>
  <si>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</si>
  <si>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</si>
  <si>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</si>
  <si>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</si>
  <si>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</si>
  <si>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</si>
  <si>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</si>
  <si>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</si>
  <si>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</si>
  <si>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</si>
  <si>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</si>
  <si>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</si>
  <si>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</si>
  <si>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</si>
  <si>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</si>
  <si>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</si>
  <si>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</si>
  <si>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</si>
  <si>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</si>
  <si>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</si>
  <si>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</si>
  <si>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</si>
  <si>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</si>
  <si>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</si>
  <si>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</si>
  <si>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</si>
  <si>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</si>
  <si>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</si>
  <si>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</si>
  <si>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</si>
  <si>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</si>
  <si>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</si>
  <si>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</si>
  <si>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</si>
  <si>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</si>
  <si>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</si>
  <si>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</si>
  <si>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</si>
  <si>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</si>
  <si>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</si>
  <si>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</si>
  <si>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</si>
  <si>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</si>
  <si>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</si>
  <si>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</si>
  <si>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</si>
  <si>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</si>
  <si>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</si>
  <si>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</si>
  <si>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</si>
  <si>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</si>
  <si>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</si>
  <si>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</si>
  <si>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</si>
  <si>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</si>
  <si>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</si>
  <si>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</si>
  <si>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</si>
  <si>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</si>
  <si>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</si>
  <si>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</si>
  <si>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</si>
  <si>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</si>
  <si>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</si>
  <si>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</si>
  <si>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</si>
  <si>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</si>
  <si>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</si>
  <si>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</si>
  <si>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</si>
  <si>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</si>
  <si>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</si>
  <si>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</si>
  <si>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</si>
  <si>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</si>
  <si>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</si>
  <si>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</si>
  <si>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</si>
  <si>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</si>
  <si>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</si>
  <si>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</si>
  <si>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</si>
  <si>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</si>
  <si>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</si>
  <si>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</si>
  <si>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</si>
  <si>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</si>
  <si>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</si>
  <si>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</si>
  <si>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</si>
  <si>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</si>
  <si>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</si>
  <si>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</si>
  <si>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</si>
  <si>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</si>
  <si>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</si>
  <si>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</si>
  <si>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</si>
  <si>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</si>
  <si>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</si>
  <si>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</si>
  <si>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</si>
  <si>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</si>
  <si>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</si>
  <si>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</si>
  <si>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</si>
  <si>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</si>
  <si>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</si>
  <si>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</si>
  <si>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</si>
  <si>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</si>
  <si>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</si>
  <si>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</si>
  <si>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</si>
  <si>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</si>
  <si>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</si>
  <si>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</si>
  <si>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</si>
  <si>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</si>
  <si>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</si>
  <si>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</si>
  <si>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</si>
  <si>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</si>
  <si>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</si>
  <si>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</si>
  <si>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</si>
  <si>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</si>
  <si>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</si>
  <si>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</si>
  <si>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</si>
  <si>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</si>
  <si>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</si>
  <si>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</si>
  <si>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</si>
  <si>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</si>
  <si>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</si>
  <si>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</si>
  <si>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</si>
  <si>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</si>
  <si>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</si>
  <si>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</si>
  <si>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</si>
  <si>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</si>
  <si>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</si>
  <si>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</si>
  <si>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</si>
  <si>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</si>
  <si>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</si>
  <si>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</si>
  <si>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</si>
  <si>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</si>
  <si>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</si>
  <si>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</si>
  <si>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</si>
  <si>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</si>
  <si>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</si>
  <si>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</si>
  <si>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</si>
  <si>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</si>
  <si>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</si>
  <si>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</si>
  <si>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</si>
  <si>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</si>
  <si>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</si>
  <si>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</si>
  <si>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</si>
  <si>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</si>
  <si>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</si>
  <si>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</si>
  <si>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</si>
  <si>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</si>
  <si>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</si>
  <si>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</si>
  <si>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</si>
  <si>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</si>
  <si>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</si>
  <si>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</si>
  <si>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</si>
  <si>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</si>
  <si>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</si>
  <si>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</si>
  <si>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</si>
  <si>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</si>
  <si>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</si>
  <si>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</si>
  <si>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</si>
  <si>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</si>
  <si>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</si>
  <si>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</si>
  <si>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</si>
  <si>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</si>
  <si>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</si>
  <si>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</si>
  <si>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</si>
  <si>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</si>
  <si>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</si>
  <si>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</si>
  <si>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</si>
  <si>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</si>
  <si>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</si>
  <si>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</si>
  <si>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</si>
  <si>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</si>
  <si>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</si>
  <si>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</si>
  <si>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</si>
  <si>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</si>
  <si>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</si>
  <si>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</si>
  <si>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</si>
  <si>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</si>
  <si>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</si>
  <si>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</si>
  <si>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</si>
  <si>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</si>
  <si>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</si>
  <si>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</si>
  <si>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</si>
  <si>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</si>
  <si>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</si>
  <si>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</si>
  <si>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</si>
  <si>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</si>
  <si>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</si>
  <si>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</si>
  <si>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</si>
  <si>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</si>
  <si>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</si>
  <si>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</si>
  <si>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</si>
  <si>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</si>
  <si>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</si>
  <si>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</si>
  <si>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</si>
  <si>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</si>
  <si>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</si>
  <si>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</si>
  <si>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</si>
  <si>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</si>
  <si>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</si>
  <si>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</si>
  <si>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</si>
  <si>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</si>
  <si>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</si>
  <si>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</si>
  <si>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</si>
  <si>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</si>
  <si>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</si>
  <si>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</si>
  <si>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</si>
  <si>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</si>
  <si>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</si>
  <si>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</si>
  <si>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</si>
  <si>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</si>
  <si>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</si>
  <si>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</si>
  <si>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</si>
  <si>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</si>
  <si>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</si>
  <si>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</si>
  <si>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</si>
  <si>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</si>
  <si>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</si>
  <si>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</si>
  <si>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</si>
  <si>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</si>
  <si>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</si>
  <si>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</si>
  <si>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</si>
  <si>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</si>
  <si>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</si>
  <si>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</si>
  <si>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</si>
  <si>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</si>
  <si>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</si>
  <si>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</si>
  <si>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</si>
  <si>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</si>
  <si>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</si>
  <si>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</si>
  <si>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</si>
  <si>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</si>
  <si>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</si>
  <si>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</si>
  <si>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</si>
  <si>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</si>
  <si>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</si>
  <si>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</si>
  <si>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</si>
  <si>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</si>
  <si>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</si>
  <si>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</si>
  <si>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</si>
  <si>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</si>
  <si>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</si>
  <si>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</si>
  <si>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</si>
  <si>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</si>
  <si>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</si>
  <si>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</si>
  <si>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</si>
  <si>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</si>
  <si>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</si>
  <si>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</si>
  <si>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</si>
  <si>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</si>
  <si>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</si>
  <si>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</si>
  <si>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</si>
  <si>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</si>
  <si>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</si>
  <si>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</si>
  <si>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</si>
  <si>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</si>
  <si>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</si>
  <si>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</si>
  <si>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</si>
  <si>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</si>
  <si>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</si>
  <si>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</si>
  <si>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</si>
  <si>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</si>
  <si>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</si>
  <si>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</si>
  <si>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</si>
  <si>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</si>
  <si>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</si>
  <si>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</si>
  <si>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</si>
  <si>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</si>
  <si>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</si>
  <si>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</si>
  <si>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</si>
  <si>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</si>
  <si>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</si>
  <si>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</si>
  <si>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</si>
  <si>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</si>
  <si>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</si>
  <si>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</si>
  <si>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</si>
  <si>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</si>
  <si>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</si>
  <si>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</si>
  <si>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</si>
  <si>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</si>
  <si>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</si>
  <si>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</si>
  <si>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</si>
  <si>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</si>
  <si>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</si>
  <si>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</si>
  <si>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</si>
  <si>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</si>
  <si>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</si>
  <si>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</si>
  <si>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</si>
  <si>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</si>
  <si>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</si>
  <si>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</si>
  <si>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</si>
  <si>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</si>
  <si>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</si>
  <si>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</si>
  <si>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</si>
  <si>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</si>
  <si>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</si>
  <si>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</si>
  <si>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</si>
  <si>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</si>
  <si>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</si>
  <si>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</si>
  <si>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</si>
  <si>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</si>
  <si>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</si>
  <si>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</si>
  <si>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</si>
  <si>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</si>
  <si>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</si>
  <si>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</si>
  <si>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</si>
  <si>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</si>
  <si>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</si>
  <si>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</si>
  <si>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</si>
  <si>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</si>
  <si>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</si>
  <si>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</si>
  <si>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</si>
  <si>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</si>
  <si>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</si>
  <si>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</si>
  <si>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</si>
  <si>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</si>
  <si>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</si>
  <si>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</si>
  <si>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</si>
  <si>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</si>
  <si>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</si>
  <si>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</si>
  <si>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</si>
  <si>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</si>
  <si>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</si>
  <si>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</si>
  <si>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</si>
  <si>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</si>
  <si>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</si>
  <si>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</si>
  <si>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</si>
  <si>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</si>
  <si>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</si>
  <si>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</si>
  <si>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</si>
  <si>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</si>
  <si>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</si>
  <si>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</si>
  <si>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</si>
  <si>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</si>
  <si>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</si>
  <si>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</si>
  <si>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</si>
  <si>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</si>
  <si>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</si>
  <si>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</si>
  <si>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</si>
  <si>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</si>
  <si>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</si>
  <si>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</si>
  <si>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</si>
  <si>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</si>
  <si>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</si>
  <si>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</si>
  <si>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</si>
  <si>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</si>
  <si>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</si>
  <si>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</si>
  <si>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</si>
  <si>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</si>
  <si>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</si>
  <si>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</si>
  <si>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</si>
  <si>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</si>
  <si>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</si>
  <si>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</si>
  <si>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</si>
  <si>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</si>
  <si>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</si>
  <si>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</si>
  <si>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</si>
  <si>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</si>
  <si>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</si>
  <si>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</si>
  <si>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</si>
  <si>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</si>
  <si>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</si>
  <si>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</si>
  <si>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</si>
  <si>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</si>
  <si>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</si>
  <si>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</si>
  <si>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</si>
  <si>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</si>
  <si>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</si>
  <si>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</si>
  <si>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</si>
  <si>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</si>
  <si>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</si>
  <si>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</si>
  <si>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</si>
  <si>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</si>
  <si>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</si>
  <si>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</si>
  <si>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</si>
  <si>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</si>
  <si>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</si>
  <si>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</si>
  <si>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</si>
  <si>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</si>
  <si>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</si>
  <si>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</si>
  <si>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</si>
  <si>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</si>
  <si>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</si>
  <si>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</si>
  <si>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</si>
  <si>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</si>
  <si>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</si>
  <si>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</si>
  <si>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</si>
  <si>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</si>
  <si>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</si>
  <si>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</si>
  <si>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</si>
  <si>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</si>
  <si>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</si>
  <si>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</si>
  <si>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</si>
  <si>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</si>
  <si>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</si>
  <si>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</si>
  <si>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</si>
  <si>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</si>
  <si>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</si>
  <si>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</si>
  <si>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</si>
  <si>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</si>
  <si>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</si>
  <si>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</si>
  <si>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</si>
  <si>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</si>
  <si>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</si>
  <si>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</si>
  <si>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</si>
  <si>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</si>
  <si>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</si>
  <si>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</si>
  <si>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</si>
  <si>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</si>
  <si>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</si>
  <si>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</si>
  <si>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</si>
  <si>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</si>
  <si>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</si>
  <si>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</si>
  <si>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</si>
  <si>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</si>
  <si>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</si>
  <si>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</si>
  <si>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</si>
  <si>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</si>
  <si>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</si>
  <si>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</si>
  <si>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</si>
  <si>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</si>
  <si>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</si>
  <si>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</si>
  <si>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</si>
  <si>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</si>
  <si>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</si>
  <si>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</si>
  <si>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</si>
  <si>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</si>
  <si>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</si>
  <si>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</si>
  <si>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</si>
  <si>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</si>
  <si>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</si>
  <si>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</si>
  <si>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</si>
  <si>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</si>
  <si>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</si>
  <si>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</si>
  <si>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</si>
  <si>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</si>
  <si>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</si>
  <si>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</si>
  <si>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</si>
  <si>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</si>
  <si>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</si>
  <si>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</si>
  <si>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</si>
  <si>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</si>
  <si>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</si>
  <si>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</si>
  <si>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</si>
  <si>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</si>
  <si>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</si>
  <si>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</si>
  <si>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</si>
  <si>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</si>
  <si>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</si>
  <si>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</si>
  <si>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</si>
  <si>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</si>
  <si>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</si>
  <si>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</si>
  <si>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</si>
  <si>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</si>
  <si>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</si>
  <si>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</si>
  <si>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</si>
  <si>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</si>
  <si>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</si>
  <si>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</si>
  <si>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</si>
  <si>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</si>
  <si>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</si>
  <si>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</si>
  <si>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</si>
  <si>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</si>
  <si>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</si>
  <si>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</si>
  <si>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</si>
  <si>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</si>
  <si>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</si>
  <si>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</si>
  <si>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</si>
  <si>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</si>
  <si>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</si>
  <si>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</si>
  <si>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</si>
  <si>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</si>
  <si>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</si>
  <si>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</si>
  <si>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</si>
  <si>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</si>
  <si>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</si>
  <si>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</si>
  <si>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</si>
  <si>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</si>
  <si>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</si>
  <si>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</si>
  <si>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</si>
  <si>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</si>
  <si>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</si>
  <si>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</si>
  <si>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</si>
  <si>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</si>
  <si>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</si>
  <si>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</si>
  <si>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</si>
  <si>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</si>
  <si>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</si>
  <si>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</si>
  <si>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</si>
  <si>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</si>
  <si>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</si>
  <si>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</si>
  <si>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</si>
  <si>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</si>
  <si>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</si>
  <si>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</si>
  <si>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</si>
  <si>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</si>
  <si>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</si>
  <si>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</si>
  <si>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</si>
  <si>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</si>
  <si>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</si>
  <si>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</si>
  <si>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</si>
  <si>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</si>
  <si>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</si>
  <si>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</si>
  <si>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</si>
  <si>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</si>
  <si>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</si>
  <si>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</si>
  <si>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</si>
  <si>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</si>
  <si>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</si>
  <si>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</si>
  <si>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</si>
  <si>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</si>
  <si>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</si>
  <si>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</si>
  <si>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</si>
  <si>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</si>
  <si>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</si>
  <si>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</si>
  <si>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</si>
  <si>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</si>
  <si>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</si>
  <si>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</si>
  <si>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</si>
  <si>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</si>
  <si>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</si>
  <si>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</si>
  <si>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</si>
  <si>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</si>
  <si>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</si>
  <si>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</si>
  <si>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</si>
  <si>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</si>
  <si>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</si>
  <si>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</si>
  <si>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</si>
  <si>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</si>
  <si>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</si>
  <si>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</si>
  <si>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</si>
  <si>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</si>
  <si>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</si>
  <si>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</si>
  <si>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</si>
  <si>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</si>
  <si>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</si>
  <si>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</si>
  <si>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</si>
  <si>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</si>
  <si>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</si>
  <si>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</si>
  <si>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</si>
  <si>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</si>
  <si>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</si>
  <si>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</si>
  <si>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</si>
  <si>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</si>
  <si>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</si>
  <si>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</si>
  <si>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</si>
  <si>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</si>
  <si>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</si>
  <si>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</si>
  <si>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</si>
  <si>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</si>
  <si>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</si>
  <si>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</si>
  <si>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</si>
  <si>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</si>
  <si>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</si>
  <si>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</si>
  <si>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</si>
  <si>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</si>
  <si>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</si>
  <si>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</si>
  <si>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</si>
  <si>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</si>
  <si>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</si>
  <si>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</si>
  <si>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</si>
  <si>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</si>
  <si>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</si>
  <si>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</si>
  <si>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</si>
  <si>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</si>
  <si>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</si>
  <si>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</si>
  <si>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</si>
  <si>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</si>
  <si>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</si>
  <si>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</si>
  <si>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</si>
  <si>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</si>
  <si>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</si>
  <si>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</si>
  <si>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</si>
  <si>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</si>
  <si>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</si>
  <si>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</si>
  <si>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</si>
  <si>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</si>
  <si>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</si>
  <si>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</si>
  <si>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</si>
  <si>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</si>
  <si>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</si>
  <si>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</si>
  <si>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</si>
  <si>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</si>
  <si>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</si>
  <si>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</si>
  <si>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</si>
  <si>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</si>
  <si>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</si>
  <si>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</si>
  <si>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</si>
  <si>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</si>
  <si>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</si>
  <si>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</si>
  <si>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</si>
  <si>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</si>
  <si>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</si>
  <si>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</si>
  <si>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</si>
  <si>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</si>
  <si>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</si>
  <si>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</si>
  <si>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</si>
  <si>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</si>
  <si>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</si>
  <si>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</si>
  <si>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</si>
  <si>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</si>
  <si>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</si>
  <si>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</si>
  <si>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</si>
  <si>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</si>
  <si>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</si>
  <si>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</si>
  <si>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</si>
  <si>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</si>
  <si>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</si>
  <si>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</si>
  <si>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</si>
  <si>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</si>
  <si>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</si>
  <si>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</si>
  <si>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</si>
  <si>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</si>
  <si>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</si>
  <si>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</si>
  <si>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</si>
  <si>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</si>
  <si>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</si>
  <si>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</si>
  <si>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</si>
  <si>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</si>
  <si>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</si>
  <si>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</si>
  <si>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</si>
  <si>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</si>
  <si>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</si>
  <si>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</si>
  <si>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</si>
  <si>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</si>
  <si>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</si>
  <si>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</si>
  <si>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</si>
  <si>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</si>
  <si>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</si>
  <si>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</si>
  <si>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</si>
  <si>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</si>
  <si>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</si>
  <si>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</si>
  <si>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</si>
  <si>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</si>
  <si>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</si>
  <si>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</si>
  <si>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</si>
  <si>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</si>
  <si>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</si>
  <si>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</si>
  <si>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</si>
  <si>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</si>
  <si>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</si>
  <si>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</si>
  <si>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</si>
  <si>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</si>
  <si>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</si>
  <si>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</si>
  <si>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</si>
  <si>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</si>
  <si>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</si>
  <si>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</si>
  <si>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</si>
  <si>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</si>
  <si>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</si>
  <si>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</si>
  <si>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</si>
  <si>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</si>
  <si>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</si>
  <si>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</si>
  <si>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</si>
  <si>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</si>
  <si>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</si>
  <si>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</si>
  <si>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</si>
  <si>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</si>
  <si>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</si>
  <si>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</si>
  <si>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</si>
  <si>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</si>
  <si>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</si>
  <si>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</si>
  <si>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</si>
  <si>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</si>
  <si>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</si>
  <si>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</si>
  <si>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</si>
  <si>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</si>
  <si>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</si>
  <si>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</si>
  <si>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</si>
  <si>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</si>
  <si>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</si>
  <si>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</si>
  <si>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</si>
  <si>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</si>
  <si>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</si>
  <si>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</si>
  <si>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</si>
  <si>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</si>
  <si>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</si>
  <si>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</si>
  <si>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</si>
  <si>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</si>
  <si>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</si>
  <si>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</si>
  <si>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</si>
  <si>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</si>
  <si>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</si>
  <si>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</si>
  <si>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</si>
  <si>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</si>
  <si>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</si>
  <si>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</si>
  <si>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</si>
  <si>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</si>
  <si>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</si>
  <si>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</si>
  <si>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</si>
  <si>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</si>
  <si>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</si>
  <si>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</si>
  <si>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</si>
  <si>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</si>
  <si>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</si>
  <si>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</si>
  <si>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</si>
  <si>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</si>
  <si>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</si>
  <si>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</si>
  <si>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</si>
  <si>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</si>
  <si>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</si>
  <si>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</si>
  <si>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</si>
  <si>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</si>
  <si>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</si>
  <si>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</si>
  <si>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</si>
  <si>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</si>
  <si>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</si>
  <si>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</si>
  <si>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</si>
  <si>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</si>
  <si>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</si>
  <si>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</si>
  <si>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</si>
  <si>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</si>
  <si>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</si>
  <si>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</si>
  <si>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</si>
  <si>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</si>
  <si>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</si>
  <si>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</si>
  <si>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</si>
  <si>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</si>
  <si>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</si>
  <si>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</si>
  <si>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</si>
  <si>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</si>
  <si>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</si>
  <si>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</si>
  <si>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</si>
  <si>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</si>
  <si>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</si>
  <si>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</si>
  <si>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</si>
  <si>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</si>
  <si>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</si>
  <si>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</si>
  <si>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</si>
  <si>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</si>
  <si>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</si>
  <si>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</si>
  <si>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</si>
  <si>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</si>
  <si>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</si>
  <si>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</si>
  <si>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</si>
  <si>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</si>
  <si>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</si>
  <si>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</si>
  <si>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</si>
  <si>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</si>
  <si>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</si>
  <si>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</si>
  <si>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</si>
  <si>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</si>
  <si>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</si>
  <si>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</si>
  <si>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</si>
  <si>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</si>
  <si>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</si>
  <si>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</si>
  <si>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</si>
  <si>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</si>
  <si>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</si>
  <si>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</si>
  <si>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</si>
  <si>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</si>
  <si>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</si>
  <si>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</si>
  <si>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</si>
  <si>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</si>
  <si>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</si>
  <si>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</si>
  <si>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</si>
  <si>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</si>
  <si>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</si>
  <si>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</si>
  <si>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</si>
  <si>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</si>
  <si>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</si>
  <si>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</si>
  <si>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</si>
  <si>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</si>
  <si>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</si>
  <si>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</si>
  <si>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</si>
  <si>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</si>
  <si>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</si>
  <si>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</si>
  <si>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</si>
  <si>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</si>
  <si>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</si>
  <si>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</si>
  <si>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</si>
  <si>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</si>
  <si>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</si>
  <si>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</si>
  <si>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</si>
  <si>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</si>
  <si>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</si>
  <si>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</si>
  <si>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</si>
  <si>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</si>
  <si>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</si>
  <si>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</si>
  <si>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</si>
  <si>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</si>
  <si>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</si>
  <si>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</si>
  <si>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</si>
  <si>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</si>
  <si>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</si>
  <si>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</si>
  <si>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</si>
  <si>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</si>
  <si>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</si>
  <si>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</si>
  <si>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</si>
  <si>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</si>
  <si>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</si>
  <si>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</si>
  <si>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</si>
  <si>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</si>
  <si>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</si>
  <si>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</si>
  <si>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</si>
  <si>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</si>
  <si>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</si>
  <si>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</si>
  <si>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</si>
  <si>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</si>
  <si>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</si>
  <si>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</si>
  <si>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</si>
  <si>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</si>
  <si>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</si>
  <si>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</si>
  <si>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</si>
  <si>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</si>
  <si>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</si>
  <si>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</si>
  <si>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</si>
  <si>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</si>
  <si>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</si>
  <si>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</si>
  <si>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</si>
  <si>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</si>
  <si>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</si>
  <si>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</si>
  <si>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</si>
  <si>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</si>
  <si>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</si>
  <si>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</si>
  <si>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</si>
  <si>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</si>
  <si>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</si>
  <si>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</si>
  <si>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</si>
  <si>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</si>
  <si>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</si>
  <si>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</si>
  <si>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</si>
  <si>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</si>
  <si>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</si>
  <si>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</si>
  <si>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</si>
  <si>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</si>
  <si>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</si>
  <si>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</si>
  <si>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</si>
  <si>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</si>
  <si>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</si>
  <si>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</si>
  <si>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</si>
  <si>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</si>
  <si>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</si>
  <si>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</si>
  <si>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</si>
  <si>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</si>
  <si>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</si>
  <si>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</si>
  <si>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</si>
  <si>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</si>
  <si>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</si>
  <si>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</si>
  <si>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</si>
  <si>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</si>
  <si>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</si>
  <si>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</si>
  <si>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</si>
  <si>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</si>
  <si>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</si>
  <si>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</si>
  <si>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</si>
  <si>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</si>
  <si>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</si>
  <si>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</si>
  <si>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</si>
  <si>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</si>
  <si>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</si>
  <si>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</si>
  <si>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</si>
  <si>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</si>
  <si>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</si>
  <si>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</si>
  <si>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</si>
  <si>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</si>
  <si>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</si>
  <si>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</si>
  <si>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</si>
  <si>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</si>
  <si>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</si>
  <si>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</si>
  <si>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</si>
  <si>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</si>
  <si>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</si>
  <si>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</si>
  <si>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</si>
  <si>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</si>
  <si>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</si>
  <si>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</si>
  <si>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</si>
  <si>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</si>
  <si>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</si>
  <si>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</si>
  <si>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</si>
  <si>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</si>
  <si>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</si>
  <si>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</si>
  <si>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</si>
  <si>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</si>
  <si>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</si>
  <si>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</si>
  <si>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</si>
  <si>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</si>
  <si>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</si>
  <si>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</si>
  <si>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</si>
  <si>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</si>
  <si>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</si>
  <si>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</si>
  <si>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</si>
  <si>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</si>
  <si>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</si>
  <si>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</si>
  <si>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</si>
  <si>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</si>
  <si>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</si>
  <si>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</si>
  <si>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</si>
  <si>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</si>
  <si>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</si>
  <si>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</si>
  <si>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</si>
  <si>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</si>
  <si>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</si>
  <si>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</si>
  <si>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</si>
  <si>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</si>
  <si>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</si>
  <si>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</si>
  <si>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</si>
  <si>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</si>
  <si>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</si>
  <si>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</si>
  <si>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</si>
  <si>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</si>
  <si>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</si>
  <si>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</si>
  <si>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</si>
  <si>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</si>
  <si>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</si>
  <si>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</si>
  <si>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</si>
  <si>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</si>
  <si>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</si>
  <si>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</si>
  <si>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</si>
  <si>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</si>
  <si>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</si>
  <si>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</si>
  <si>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</si>
  <si>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</si>
  <si>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</si>
  <si>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</si>
  <si>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</si>
  <si>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</si>
  <si>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</si>
  <si>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</si>
  <si>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</si>
  <si>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</si>
  <si>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</si>
  <si>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</si>
  <si>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</si>
  <si>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</si>
  <si>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</si>
  <si>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</si>
  <si>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</si>
  <si>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</si>
  <si>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</si>
  <si>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</si>
  <si>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</si>
  <si>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</si>
  <si>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</si>
  <si>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</si>
  <si>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</si>
  <si>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</si>
  <si>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</si>
  <si>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</si>
  <si>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</si>
  <si>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</si>
  <si>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</si>
  <si>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</si>
  <si>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</si>
  <si>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</si>
  <si>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</si>
  <si>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</si>
  <si>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</si>
  <si>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</si>
  <si>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</si>
  <si>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</si>
  <si>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</si>
  <si>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</si>
  <si>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</si>
  <si>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</si>
  <si>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</si>
  <si>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</si>
  <si>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</si>
  <si>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</si>
  <si>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</si>
  <si>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</si>
  <si>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</si>
  <si>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</si>
  <si>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</si>
  <si>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</si>
  <si>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</si>
  <si>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</si>
  <si>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</si>
  <si>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</si>
  <si>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</si>
  <si>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</si>
  <si>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</si>
  <si>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</si>
  <si>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</si>
  <si>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</si>
  <si>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</si>
  <si>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</si>
  <si>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</si>
  <si>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</si>
  <si>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</si>
  <si>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</si>
  <si>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</si>
  <si>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</si>
  <si>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</si>
  <si>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</si>
  <si>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</si>
  <si>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</si>
  <si>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</si>
  <si>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</si>
  <si>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</si>
  <si>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</si>
  <si>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</si>
  <si>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</si>
  <si>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</si>
  <si>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</si>
  <si>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</si>
  <si>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</si>
  <si>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</si>
  <si>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</si>
  <si>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</si>
  <si>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</si>
  <si>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</si>
  <si>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</si>
  <si>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</si>
  <si>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</si>
  <si>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</si>
  <si>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</si>
  <si>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</si>
  <si>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</si>
  <si>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</si>
  <si>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</si>
  <si>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</si>
  <si>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</si>
  <si>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</si>
  <si>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</si>
  <si>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</si>
  <si>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</si>
  <si>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</si>
  <si>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</si>
  <si>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</si>
  <si>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</si>
  <si>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</si>
  <si>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</si>
  <si>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</si>
  <si>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</si>
  <si>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</si>
  <si>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</si>
  <si>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</si>
  <si>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</si>
  <si>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</si>
  <si>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</si>
  <si>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</si>
  <si>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</si>
  <si>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</si>
  <si>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</si>
  <si>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</si>
  <si>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</si>
  <si>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</si>
  <si>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</si>
  <si>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</si>
  <si>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</si>
  <si>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</si>
  <si>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</si>
  <si>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</si>
  <si>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</si>
  <si>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</si>
  <si>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</si>
  <si>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</si>
  <si>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</si>
  <si>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</si>
  <si>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</si>
  <si>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</si>
  <si>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</si>
  <si>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</si>
  <si>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</si>
  <si>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</si>
  <si>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</si>
  <si>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</si>
  <si>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</si>
  <si>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</si>
  <si>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</si>
  <si>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</si>
  <si>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</si>
  <si>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</si>
  <si>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</si>
  <si>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</si>
  <si>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</si>
  <si>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</si>
  <si>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</si>
  <si>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</si>
  <si>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</si>
  <si>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</si>
  <si>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</si>
  <si>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</si>
  <si>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</si>
  <si>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</si>
  <si>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</si>
  <si>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</si>
  <si>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</si>
  <si>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</si>
  <si>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</si>
  <si>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</si>
  <si>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</si>
  <si>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</si>
  <si>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</si>
  <si>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</si>
  <si>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</si>
  <si>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</si>
  <si>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</si>
  <si>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</si>
  <si>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</si>
  <si>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</si>
  <si>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</si>
  <si>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</si>
  <si>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</si>
  <si>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</si>
  <si>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</si>
  <si>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</si>
  <si>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</si>
  <si>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</si>
  <si>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</si>
  <si>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</si>
  <si>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</si>
  <si>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</si>
  <si>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</si>
  <si>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</si>
  <si>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</si>
  <si>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</si>
  <si>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</si>
  <si>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</si>
  <si>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</si>
  <si>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</si>
  <si>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</si>
  <si>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</si>
  <si>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</si>
  <si>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</si>
  <si>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</si>
  <si>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</si>
  <si>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</si>
  <si>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</si>
  <si>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</si>
  <si>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</si>
  <si>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</si>
  <si>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</si>
  <si>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</si>
  <si>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</si>
  <si>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</si>
  <si>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</si>
  <si>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</si>
  <si>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</si>
  <si>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</si>
  <si>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</si>
  <si>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</si>
  <si>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</si>
  <si>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</si>
  <si>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</si>
  <si>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</si>
  <si>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</si>
  <si>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</si>
  <si>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</si>
  <si>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</si>
  <si>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</si>
  <si>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</si>
  <si>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</si>
  <si>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</si>
  <si>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</si>
  <si>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</si>
  <si>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</si>
  <si>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</si>
  <si>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</si>
  <si>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</si>
  <si>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</si>
  <si>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</si>
  <si>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</si>
  <si>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</si>
  <si>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</si>
  <si>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</si>
  <si>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</si>
  <si>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</si>
  <si>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</si>
  <si>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</si>
  <si>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</si>
  <si>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</si>
  <si>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</si>
  <si>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</si>
  <si>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</si>
  <si>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</si>
  <si>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</si>
  <si>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</si>
  <si>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</si>
  <si>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</si>
  <si>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</si>
  <si>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</si>
  <si>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</si>
  <si>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</si>
  <si>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</si>
  <si>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</si>
  <si>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</si>
  <si>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</si>
  <si>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</si>
  <si>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</si>
  <si>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</si>
  <si>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</si>
  <si>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</si>
  <si>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</si>
  <si>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</si>
  <si>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</si>
  <si>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</si>
  <si>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</si>
  <si>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</si>
  <si>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</si>
  <si>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</si>
  <si>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</si>
  <si>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</si>
  <si>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</si>
  <si>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</si>
  <si>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</si>
  <si>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</si>
  <si>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</si>
  <si>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</si>
  <si>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</si>
  <si>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</si>
  <si>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</si>
  <si>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</si>
  <si>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</si>
  <si>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</si>
  <si>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</si>
  <si>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</si>
  <si>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</si>
  <si>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</si>
  <si>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</si>
  <si>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</si>
  <si>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</si>
  <si>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</si>
  <si>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</si>
  <si>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</si>
  <si>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</si>
  <si>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</si>
  <si>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</si>
  <si>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</si>
  <si>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</si>
  <si>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</si>
  <si>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</si>
  <si>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</si>
  <si>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</si>
  <si>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</si>
  <si>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</si>
  <si>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</si>
  <si>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</si>
  <si>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</si>
  <si>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</si>
  <si>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</si>
  <si>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</si>
  <si>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</si>
  <si>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</si>
  <si>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</si>
  <si>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</si>
  <si>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</si>
  <si>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</si>
  <si>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</si>
  <si>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</si>
  <si>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</si>
  <si>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</si>
  <si>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</si>
  <si>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</si>
  <si>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</si>
  <si>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</si>
  <si>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</si>
  <si>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</si>
  <si>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</si>
  <si>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</si>
  <si>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</si>
  <si>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</si>
  <si>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</si>
  <si>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</si>
  <si>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</si>
  <si>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</si>
  <si>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</si>
  <si>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</si>
  <si>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</si>
  <si>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</si>
  <si>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</si>
  <si>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</si>
  <si>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</si>
  <si>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</si>
  <si>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</si>
  <si>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</si>
  <si>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</si>
  <si>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</si>
  <si>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</si>
  <si>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</si>
  <si>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</si>
  <si>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</si>
  <si>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</si>
  <si>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</si>
  <si>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</si>
  <si>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</si>
  <si>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</si>
  <si>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</si>
  <si>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</si>
  <si>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</si>
  <si>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</si>
  <si>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</si>
  <si>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</si>
  <si>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</si>
  <si>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</si>
  <si>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</si>
  <si>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</si>
  <si>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</si>
  <si>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</si>
  <si>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</si>
  <si>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</si>
  <si>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</si>
  <si>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</si>
  <si>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</si>
  <si>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</si>
  <si>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</si>
  <si>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</si>
  <si>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</si>
  <si>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</si>
  <si>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</si>
  <si>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</si>
  <si>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</si>
  <si>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</si>
  <si>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</si>
  <si>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</si>
  <si>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</si>
  <si>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</si>
  <si>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</si>
  <si>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</si>
  <si>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</si>
  <si>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</si>
  <si>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</si>
  <si>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</si>
  <si>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</si>
  <si>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</si>
  <si>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</si>
  <si>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</si>
  <si>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</si>
  <si>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</si>
  <si>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</si>
  <si>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</si>
  <si>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</si>
  <si>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</si>
  <si>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</si>
  <si>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</si>
  <si>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</si>
  <si>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</si>
  <si>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</si>
  <si>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</si>
  <si>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</si>
  <si>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</si>
  <si>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</si>
  <si>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</si>
  <si>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</si>
  <si>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</si>
  <si>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</si>
  <si>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</si>
  <si>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</si>
  <si>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</si>
  <si>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</si>
  <si>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</si>
  <si>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</si>
  <si>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</si>
  <si>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</si>
  <si>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</si>
  <si>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</si>
  <si>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</si>
  <si>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</si>
  <si>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</si>
  <si>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</si>
  <si>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</si>
  <si>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</si>
  <si>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</si>
  <si>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</si>
  <si>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</si>
  <si>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</si>
  <si>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</si>
  <si>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</si>
  <si>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</si>
  <si>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</si>
  <si>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</si>
  <si>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</si>
  <si>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</si>
  <si>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</si>
  <si>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</si>
  <si>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</si>
  <si>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</si>
  <si>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</si>
  <si>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</si>
  <si>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</si>
  <si>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</si>
  <si>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</si>
  <si>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</si>
  <si>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</si>
  <si>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</si>
  <si>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</si>
  <si>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</si>
  <si>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</si>
  <si>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</si>
  <si>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</si>
  <si>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</si>
  <si>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</si>
  <si>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</si>
  <si>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</si>
  <si>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</si>
  <si>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</si>
  <si>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</si>
  <si>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</si>
  <si>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</si>
  <si>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</si>
  <si>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</si>
  <si>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</si>
  <si>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</si>
  <si>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</si>
  <si>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</si>
  <si>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</si>
  <si>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</si>
  <si>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</si>
  <si>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</si>
  <si>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</si>
  <si>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</si>
  <si>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</si>
  <si>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</si>
  <si>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</si>
  <si>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</si>
  <si>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</si>
  <si>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</si>
  <si>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</si>
  <si>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</si>
  <si>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</si>
  <si>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</si>
  <si>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</si>
  <si>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</si>
  <si>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</si>
  <si>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</si>
  <si>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</si>
  <si>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</si>
  <si>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</si>
  <si>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</si>
  <si>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</si>
  <si>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</si>
  <si>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</si>
  <si>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</si>
  <si>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</si>
  <si>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</si>
  <si>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</si>
  <si>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</si>
  <si>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</si>
  <si>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</si>
  <si>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</si>
  <si>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</si>
  <si>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</si>
  <si>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</si>
  <si>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</si>
  <si>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</si>
  <si>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</si>
  <si>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</si>
  <si>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</si>
  <si>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</si>
  <si>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</si>
  <si>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</si>
  <si>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</si>
  <si>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</si>
  <si>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</si>
  <si>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</si>
  <si>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</si>
  <si>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</si>
  <si>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</si>
  <si>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</si>
  <si>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</si>
  <si>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</si>
  <si>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</si>
  <si>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</si>
  <si>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</si>
  <si>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</si>
  <si>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</si>
  <si>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</si>
  <si>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</si>
  <si>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</si>
  <si>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</si>
  <si>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</si>
  <si>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</si>
  <si>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</si>
  <si>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</si>
  <si>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</si>
  <si>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</si>
  <si>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</si>
  <si>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</si>
  <si>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</si>
  <si>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</si>
  <si>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</si>
  <si>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</si>
  <si>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</si>
  <si>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</si>
  <si>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</si>
  <si>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</si>
  <si>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1178 Sonora Court</t>
  </si>
  <si>
    <t>City of Sunnyvale</t>
  </si>
  <si>
    <t>Santa Clara County</t>
  </si>
  <si>
    <t>City of Sunnyvale Land Value</t>
  </si>
  <si>
    <t>1 bedroom</t>
  </si>
  <si>
    <t>2 bedroom</t>
  </si>
  <si>
    <t>3 bedroom</t>
  </si>
  <si>
    <t>40%/60%</t>
  </si>
  <si>
    <t>Kent Steffens</t>
  </si>
  <si>
    <t>Trudi Ryan</t>
  </si>
  <si>
    <t>Director of Community Development</t>
  </si>
  <si>
    <t xml:space="preserve">456 W. Olive Ave., </t>
  </si>
  <si>
    <t>Sunnyvale, CA 94086</t>
  </si>
  <si>
    <t>Other (Specify below)</t>
  </si>
  <si>
    <t>Secured by Leasehold Interest</t>
  </si>
  <si>
    <t>MidPen Housing Corporation</t>
  </si>
  <si>
    <t>MidPen Property Management Corporation</t>
  </si>
  <si>
    <t>Silicon Valley Bank Tax Exempt Construction Loan</t>
  </si>
  <si>
    <t>Silicon Valley Bank Taxable Construction Loan</t>
  </si>
  <si>
    <t>Limited Partner Equity</t>
  </si>
  <si>
    <t>Fixed</t>
  </si>
  <si>
    <t>Variable</t>
  </si>
  <si>
    <t>Silicon Valley Bank-Tranche A</t>
  </si>
  <si>
    <t>Silicon Valley Bank-Tranche B</t>
  </si>
  <si>
    <t>California Municipal Finance Authority</t>
  </si>
  <si>
    <t>2111 Palomar Airport Rd, Suite 320</t>
  </si>
  <si>
    <t>Carlsbad, CA 92011</t>
  </si>
  <si>
    <t>Anthony Stubbs</t>
  </si>
  <si>
    <t>760-930-1333</t>
  </si>
  <si>
    <t>760-683-3390</t>
  </si>
  <si>
    <t>astubbs@cmfa-ca.com</t>
  </si>
  <si>
    <t>Santa Clara County Housing Authority</t>
  </si>
  <si>
    <t>Project-based vouchers (PBVs)</t>
  </si>
  <si>
    <t>Not Applicable</t>
  </si>
  <si>
    <t>Provided</t>
  </si>
  <si>
    <t xml:space="preserve">Shwetha Subramanian </t>
  </si>
  <si>
    <t>Assistant Secretary</t>
  </si>
  <si>
    <t>, 2023 at</t>
  </si>
  <si>
    <t>January</t>
  </si>
  <si>
    <t>Foster City</t>
  </si>
  <si>
    <t xml:space="preserve">456 West Olive Ave </t>
  </si>
  <si>
    <t xml:space="preserve">94088-3707 </t>
  </si>
  <si>
    <t>Sunnyvale</t>
  </si>
  <si>
    <t>$500M</t>
  </si>
  <si>
    <t>Housing Officer</t>
  </si>
  <si>
    <t>408-730-7465</t>
  </si>
  <si>
    <t>408-737-4906</t>
  </si>
  <si>
    <t>JCarloni@sunnyvale.ca.gov</t>
  </si>
  <si>
    <t>Jenny Carloni</t>
  </si>
  <si>
    <t>303 Vintage Park Drive, Suite 250</t>
  </si>
  <si>
    <t>CA</t>
  </si>
  <si>
    <t>Jennifer Liu</t>
  </si>
  <si>
    <t>205-50-013</t>
  </si>
  <si>
    <t>jlliu@midpen-housing.org</t>
  </si>
  <si>
    <t>650-356-2900</t>
  </si>
  <si>
    <t>650-357-9766</t>
  </si>
  <si>
    <t>Mid-Peninsula Baker Park, Inc.</t>
  </si>
  <si>
    <t>MP Sonora Court LLC</t>
  </si>
  <si>
    <t>Managing GP</t>
  </si>
  <si>
    <t>shwetha.subramanian@midpen-housing.org</t>
  </si>
  <si>
    <t>650-339-6328</t>
  </si>
  <si>
    <t>Developer, Senior Project Manager</t>
  </si>
  <si>
    <t>Studio T Square Architects</t>
  </si>
  <si>
    <t>510-808 5716</t>
  </si>
  <si>
    <t>hlai@studiot sq.com</t>
  </si>
  <si>
    <t>1970 Broadway</t>
  </si>
  <si>
    <t>Oakland, CA 94612</t>
  </si>
  <si>
    <t>Foster City, CA 94404</t>
  </si>
  <si>
    <t>Howai Lai</t>
  </si>
  <si>
    <t>Gubb &amp; Barshay LLP</t>
  </si>
  <si>
    <t>235 Montgomery Street, Suite 1110</t>
  </si>
  <si>
    <t>San Francisco, CA 94104</t>
  </si>
  <si>
    <t>Evan Gross</t>
  </si>
  <si>
    <t>415-781-6600</t>
  </si>
  <si>
    <t>415-781-6967</t>
  </si>
  <si>
    <t>egross@gubbandbarshay.com</t>
  </si>
  <si>
    <t>Novogradac &amp; Company LLP</t>
  </si>
  <si>
    <t>1000 SW Broadway, Suite 1680</t>
  </si>
  <si>
    <t>Portland, OR 97205</t>
  </si>
  <si>
    <t>Nicolo Pinoli, CPA</t>
  </si>
  <si>
    <t>503-821-2750</t>
  </si>
  <si>
    <t>Nicolo.Pinoli@novoco.com</t>
  </si>
  <si>
    <t>California Housing Partnership</t>
  </si>
  <si>
    <t>369 Pine Street, Ste. 300</t>
  </si>
  <si>
    <t>San Francisco, CA 94109</t>
  </si>
  <si>
    <t>Mengxin Zhou</t>
  </si>
  <si>
    <t>mzhou@chpc.net</t>
  </si>
  <si>
    <t xml:space="preserve">(415) 433-6804 </t>
  </si>
  <si>
    <t>Kasey Archey</t>
  </si>
  <si>
    <t>650-773-8454</t>
  </si>
  <si>
    <t>kasey.archey@midpen-housing.org</t>
  </si>
  <si>
    <t>TBD</t>
  </si>
  <si>
    <t xml:space="preserve">(415) 497-5484 </t>
  </si>
  <si>
    <t>Cahill Contractors</t>
  </si>
  <si>
    <t>425 California Street, Suite 2200</t>
  </si>
  <si>
    <t>Casey Kasten</t>
  </si>
  <si>
    <t>ckasten@cahill-sf.com</t>
  </si>
  <si>
    <t>Pete Kennedy</t>
  </si>
  <si>
    <t>pete@brightgreenstrategies.com</t>
  </si>
  <si>
    <t>Bright Green Strategies</t>
  </si>
  <si>
    <t>820 Delaware Street</t>
  </si>
  <si>
    <t>Berkeley, CA 94710</t>
  </si>
  <si>
    <t>510.863.1109</t>
  </si>
  <si>
    <t>The Concord Group</t>
  </si>
  <si>
    <t>369 San Miguel Drive, Suite 265</t>
  </si>
  <si>
    <t>Newport Beach, CA 92660</t>
  </si>
  <si>
    <t xml:space="preserve">Brodie Dizgun </t>
  </si>
  <si>
    <t xml:space="preserve">949.717.6450 </t>
  </si>
  <si>
    <t>btd@theconcordgroup.com</t>
  </si>
  <si>
    <t>Carneghi-Nakasako &amp; Associates</t>
  </si>
  <si>
    <t>1602 The Alameda, Suite 103</t>
  </si>
  <si>
    <t>San Jose, CA 95126</t>
  </si>
  <si>
    <t>408-535-0900</t>
  </si>
  <si>
    <t xml:space="preserve">Brad Carneghi </t>
  </si>
  <si>
    <t>brad@cnaappraisal.com</t>
  </si>
  <si>
    <t>City of Sunnyvale (Lessor)</t>
  </si>
  <si>
    <t>Multi-family apartment complex</t>
  </si>
  <si>
    <t>Flexible Mixed Use</t>
  </si>
  <si>
    <t>MXD-I  / unlimited density</t>
  </si>
  <si>
    <t>85 ft</t>
  </si>
  <si>
    <t>456 W Olive Ave</t>
  </si>
  <si>
    <t>Residual Receipt</t>
  </si>
  <si>
    <t>2310 N. 1st Street, Suite # 201</t>
  </si>
  <si>
    <t>San Jose</t>
  </si>
  <si>
    <t>Natalie Monk</t>
  </si>
  <si>
    <t>408-510-0335</t>
  </si>
  <si>
    <t>415.545.9366</t>
  </si>
  <si>
    <t>Katie Fisher</t>
  </si>
  <si>
    <t>3003 Tasman Dr.</t>
  </si>
  <si>
    <t>Tax Exempt Loan</t>
  </si>
  <si>
    <t>Taxable Loan</t>
  </si>
  <si>
    <t>Tax Exempt Perm Loan</t>
  </si>
  <si>
    <t>Residual Receipts</t>
  </si>
  <si>
    <t>6/22/2020 &amp; 7/7/2022</t>
  </si>
  <si>
    <t>City of Sunnyvale - Land Value</t>
  </si>
  <si>
    <t xml:space="preserve">County of Santa Clara </t>
  </si>
  <si>
    <t>GP Equity</t>
  </si>
  <si>
    <t>Fire Protection</t>
  </si>
  <si>
    <t>Misc. Tax/License</t>
  </si>
  <si>
    <t>Other (Annual Issuer Fee):</t>
  </si>
  <si>
    <t>Other: (PhotoVoltaic System)</t>
  </si>
  <si>
    <t>Other: Exterior Art</t>
  </si>
  <si>
    <t>Other: Lender Expenses</t>
  </si>
  <si>
    <t>Other: Borrower Legal</t>
  </si>
  <si>
    <t>Other: Accrued/Deferred Interest on Soft Loans</t>
  </si>
  <si>
    <t>303 Vintage Park Drive, #250</t>
  </si>
  <si>
    <t>Shwetha Subramanian</t>
  </si>
  <si>
    <t>See Att. 1-D</t>
  </si>
  <si>
    <t>Entry system. These units are resticted by the County for this population.</t>
  </si>
  <si>
    <t xml:space="preserve">45 Units are reserved for more than one population type. These units are reserved for </t>
  </si>
  <si>
    <t>homeless individuals with serious mental health disorder referred from the County Coordinated</t>
  </si>
  <si>
    <t>Matthew O. Franklin</t>
  </si>
  <si>
    <t>Accrued Deferred Interest</t>
  </si>
  <si>
    <t>City of Sunnyvale, Santa Clara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</si>
</sst>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2" fillId="5" borderId="5"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right" vertical="top"/>
      <protection locked="0"/>
    </xf>
    <xf numFmtId="168" fontId="21" fillId="5" borderId="6" xfId="0" applyNumberFormat="1" applyFont="1" applyFill="1" applyBorder="1" applyAlignment="1" applyProtection="1">
      <alignment horizontal="right"/>
      <protection locked="0"/>
    </xf>
    <xf numFmtId="0" fontId="21" fillId="5" borderId="5"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5" borderId="11" xfId="0" applyFont="1" applyFill="1" applyBorder="1" applyAlignment="1" applyProtection="1">
      <alignment horizontal="left" vertical="center" wrapText="1"/>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7" zoomScaleNormal="100" zoomScaleSheetLayoutView="100" workbookViewId="0">
      <selection activeCell="G90" sqref="G90:AK9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9"/>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9"/>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9"/>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9"/>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9"/>
    </row>
    <row r="14" spans="1:38" ht="13.35" customHeight="1">
      <c r="A14" s="218"/>
      <c r="B14" s="218"/>
      <c r="C14" s="219"/>
      <c r="E14" s="1262" t="s">
        <v>2434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9"/>
    </row>
    <row r="15" spans="1:38" ht="13.3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9"/>
    </row>
    <row r="16" spans="1:38">
      <c r="A16" s="218"/>
      <c r="B16" s="218"/>
      <c r="C16" s="219"/>
      <c r="D16" s="489"/>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3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35" customHeight="1">
      <c r="A28" s="218"/>
      <c r="B28" s="218"/>
      <c r="C28" s="219"/>
      <c r="E28" s="1262" t="s">
        <v>2436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3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89"/>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89"/>
      <c r="E33" s="1269" t="s">
        <v>2622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2617</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5" customHeight="1">
      <c r="A42" s="4"/>
      <c r="B42"/>
      <c r="C42" s="2"/>
      <c r="D42" s="4"/>
      <c r="E42" s="4" t="s">
        <v>662</v>
      </c>
      <c r="F42" s="1262" t="s">
        <v>1307</v>
      </c>
    </row>
    <row r="43" spans="1:38" s="1262" customFormat="1" ht="13.35" customHeight="1">
      <c r="A43" s="4"/>
      <c r="B43"/>
      <c r="C43" s="2"/>
      <c r="D43" s="4"/>
      <c r="E43" s="4"/>
    </row>
    <row r="44" spans="1:38">
      <c r="A44" s="4"/>
      <c r="C44" s="2"/>
      <c r="D44" s="4"/>
      <c r="E44" s="4"/>
      <c r="F44" s="35" t="s">
        <v>697</v>
      </c>
      <c r="G44" s="4" t="s">
        <v>177</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35" customHeight="1">
      <c r="A57" s="218"/>
      <c r="B57" s="218"/>
      <c r="C57" s="219"/>
      <c r="D57" s="219"/>
      <c r="E57" s="218"/>
      <c r="F57" s="220"/>
      <c r="G57" s="512" t="s">
        <v>1336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4" t="s">
        <v>584</v>
      </c>
      <c r="H58" s="1264"/>
      <c r="I58" s="126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518</v>
      </c>
      <c r="G59" s="1264" t="s">
        <v>2440</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3" t="s">
        <v>1443</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475</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3"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3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1362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431</v>
      </c>
      <c r="E392" s="2" t="s">
        <v>1433</v>
      </c>
      <c r="F392" s="3"/>
      <c r="G392" s="2"/>
      <c r="I392" s="120"/>
      <c r="J392" s="3"/>
      <c r="K392" s="3"/>
      <c r="L392" s="3"/>
      <c r="M392" s="3"/>
      <c r="N392" s="3"/>
      <c r="O392" s="3"/>
      <c r="P392" s="3"/>
      <c r="Q392" s="3"/>
      <c r="R392" s="3"/>
      <c r="S392" s="3"/>
    </row>
    <row r="393" spans="1:38" ht="13.35" customHeight="1">
      <c r="B393" s="2"/>
      <c r="D393" s="2"/>
      <c r="E393" s="3" t="s">
        <v>1432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1295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3"/>
    <col min="38" max="38" width="3" style="1203" customWidth="1"/>
    <col min="39" max="64" width="2.6640625" style="1203"/>
    <col min="65" max="65" width="10.44140625" style="1203" hidden="1" customWidth="1"/>
    <col min="66" max="70" width="5.44140625" style="1203" bestFit="1" customWidth="1"/>
    <col min="71" max="71" width="6.109375" style="1203" bestFit="1" customWidth="1"/>
    <col min="72" max="76" width="5.44140625" style="1203" bestFit="1" customWidth="1"/>
    <col min="77" max="77" width="6.109375" style="1203" bestFit="1" customWidth="1"/>
    <col min="78" max="78" width="5.44140625" style="1203" bestFit="1" customWidth="1"/>
    <col min="79" max="16384" width="2.6640625" style="1203"/>
  </cols>
  <sheetData>
    <row r="1" spans="1:65" ht="15.75" customHeight="1">
      <c r="A1" s="2464" t="s">
        <v>2520</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2568</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665</v>
      </c>
      <c r="C4" s="1208"/>
      <c r="D4" s="1208"/>
      <c r="E4" s="1208"/>
      <c r="F4" s="1208"/>
      <c r="G4" s="1206"/>
      <c r="H4" s="1206"/>
      <c r="I4" s="1206"/>
      <c r="J4" s="1206"/>
      <c r="K4" s="1206"/>
      <c r="L4" s="2456" t="str">
        <f>IF(Application!H18="","",Application!H18)</f>
        <v>1178 Sonora Court</v>
      </c>
      <c r="M4" s="2457"/>
      <c r="N4" s="2457"/>
      <c r="O4" s="2457"/>
      <c r="P4" s="2457"/>
      <c r="Q4" s="2457"/>
      <c r="R4" s="2457"/>
      <c r="S4" s="2457"/>
      <c r="T4" s="2457"/>
      <c r="U4" s="2457"/>
      <c r="V4" s="2457"/>
      <c r="W4" s="2457"/>
      <c r="X4" s="2457"/>
      <c r="Y4" s="2457"/>
      <c r="Z4" s="2457"/>
      <c r="AA4" s="2457"/>
      <c r="AB4" s="2457"/>
      <c r="AC4" s="2458"/>
      <c r="AD4" s="1206"/>
      <c r="AE4" s="1206"/>
      <c r="AF4" s="2470" t="s">
        <v>2569</v>
      </c>
      <c r="AG4" s="2470"/>
      <c r="AH4" s="2470"/>
      <c r="AI4" s="2470"/>
      <c r="AJ4" s="2470"/>
      <c r="AK4" s="2470"/>
      <c r="AL4" s="2470"/>
      <c r="AM4" s="2470"/>
      <c r="AN4" s="2470"/>
      <c r="AO4" s="2470"/>
      <c r="AP4" s="2471"/>
      <c r="AQ4" s="2472"/>
      <c r="AR4" s="2472"/>
      <c r="AS4" s="2472"/>
      <c r="AT4" s="2472"/>
      <c r="AU4" s="2472"/>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470" t="s">
        <v>2570</v>
      </c>
      <c r="AG5" s="2470"/>
      <c r="AH5" s="2470"/>
      <c r="AI5" s="2470"/>
      <c r="AJ5" s="2470"/>
      <c r="AK5" s="2470"/>
      <c r="AL5" s="2470"/>
      <c r="AM5" s="2470"/>
      <c r="AN5" s="2470"/>
      <c r="AO5" s="2470"/>
      <c r="AP5" s="2471"/>
      <c r="AQ5" s="2472"/>
      <c r="AR5" s="2472"/>
      <c r="AS5" s="2472"/>
      <c r="AT5" s="2472"/>
      <c r="AU5" s="2472"/>
      <c r="AV5" s="1206"/>
      <c r="AW5" s="1206"/>
      <c r="AX5" s="1206"/>
      <c r="AY5" s="1206"/>
      <c r="AZ5" s="1206"/>
      <c r="BA5" s="1206"/>
      <c r="BB5" s="1206"/>
      <c r="BC5" s="1206"/>
      <c r="BD5" s="1206"/>
      <c r="BE5" s="1207"/>
    </row>
    <row r="6" spans="1:65" ht="15.75" customHeight="1" thickBot="1">
      <c r="A6" s="1205"/>
      <c r="B6" s="1208" t="s">
        <v>1857</v>
      </c>
      <c r="C6" s="1206"/>
      <c r="D6" s="1206"/>
      <c r="E6" s="1206"/>
      <c r="F6" s="1206"/>
      <c r="G6" s="1206"/>
      <c r="H6" s="1206"/>
      <c r="I6" s="1206"/>
      <c r="J6" s="1206"/>
      <c r="K6" s="1206"/>
      <c r="L6" s="2456" t="str">
        <f>IF(Application!H16="","",Application!H16)</f>
        <v>MP Sonora Court LLC</v>
      </c>
      <c r="M6" s="2457"/>
      <c r="N6" s="2457"/>
      <c r="O6" s="2457"/>
      <c r="P6" s="2457"/>
      <c r="Q6" s="2457"/>
      <c r="R6" s="2457"/>
      <c r="S6" s="2457"/>
      <c r="T6" s="2457"/>
      <c r="U6" s="2457"/>
      <c r="V6" s="2457"/>
      <c r="W6" s="2457"/>
      <c r="X6" s="2457"/>
      <c r="Y6" s="2457"/>
      <c r="Z6" s="2457"/>
      <c r="AA6" s="2457"/>
      <c r="AB6" s="2457"/>
      <c r="AC6" s="2458"/>
      <c r="AD6" s="1206"/>
      <c r="AE6" s="1206"/>
      <c r="AF6" s="2459" t="s">
        <v>2571</v>
      </c>
      <c r="AG6" s="2459"/>
      <c r="AH6" s="2459"/>
      <c r="AI6" s="2459"/>
      <c r="AJ6" s="2459"/>
      <c r="AK6" s="2459"/>
      <c r="AL6" s="2459"/>
      <c r="AM6" s="2459"/>
      <c r="AN6" s="2459"/>
      <c r="AO6" s="2459"/>
      <c r="AP6" s="2460">
        <v>0</v>
      </c>
      <c r="AQ6" s="2460"/>
      <c r="AR6" s="2460"/>
      <c r="AS6" s="2460"/>
      <c r="AT6" s="2460"/>
      <c r="AU6" s="2460"/>
      <c r="AV6" s="1206"/>
      <c r="AW6" s="1206"/>
      <c r="AX6" s="1206"/>
      <c r="AY6" s="1206"/>
      <c r="AZ6" s="1206"/>
      <c r="BA6" s="1206"/>
      <c r="BB6" s="1206"/>
      <c r="BC6" s="1206"/>
      <c r="BD6" s="1206"/>
      <c r="BE6" s="1207"/>
    </row>
    <row r="7" spans="1:65" ht="1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459" t="s">
        <v>2572</v>
      </c>
      <c r="AG7" s="2459"/>
      <c r="AH7" s="2459"/>
      <c r="AI7" s="2459"/>
      <c r="AJ7" s="2459"/>
      <c r="AK7" s="2459"/>
      <c r="AL7" s="2459"/>
      <c r="AM7" s="2459"/>
      <c r="AN7" s="2459"/>
      <c r="AO7" s="2459"/>
      <c r="AP7" s="2460">
        <v>0</v>
      </c>
      <c r="AQ7" s="2460"/>
      <c r="AR7" s="2460"/>
      <c r="AS7" s="2460"/>
      <c r="AT7" s="2460"/>
      <c r="AU7" s="2460"/>
      <c r="AV7" s="1206"/>
      <c r="AW7" s="1206"/>
      <c r="AX7" s="1206"/>
      <c r="AY7" s="1206"/>
      <c r="AZ7" s="1206"/>
      <c r="BA7" s="1206"/>
      <c r="BB7" s="1206"/>
      <c r="BC7" s="1206"/>
      <c r="BD7" s="1206"/>
      <c r="BE7" s="1207"/>
    </row>
    <row r="8" spans="1:65" ht="15" thickBot="1">
      <c r="A8" s="1205"/>
      <c r="B8" s="1208" t="s">
        <v>1858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461" t="str">
        <f>Application!T196</f>
        <v>No</v>
      </c>
      <c r="AC8" s="2462"/>
      <c r="AD8" s="2463"/>
      <c r="AE8" s="1206"/>
      <c r="AF8" s="2459" t="s">
        <v>2573</v>
      </c>
      <c r="AG8" s="2459"/>
      <c r="AH8" s="2459"/>
      <c r="AI8" s="2459"/>
      <c r="AJ8" s="2459"/>
      <c r="AK8" s="2459"/>
      <c r="AL8" s="2459"/>
      <c r="AM8" s="2459"/>
      <c r="AN8" s="2459"/>
      <c r="AO8" s="2459"/>
      <c r="AP8" s="2460" t="s">
        <v>2525</v>
      </c>
      <c r="AQ8" s="2460"/>
      <c r="AR8" s="2460"/>
      <c r="AS8" s="2460"/>
      <c r="AT8" s="2460"/>
      <c r="AU8" s="2460"/>
      <c r="AV8" s="1206"/>
      <c r="AW8" s="1206"/>
      <c r="AX8" s="1206"/>
      <c r="AY8" s="1206"/>
      <c r="AZ8" s="1206"/>
      <c r="BA8" s="1206"/>
      <c r="BB8" s="1206"/>
      <c r="BC8" s="1206"/>
      <c r="BD8" s="1206"/>
      <c r="BE8" s="1207"/>
      <c r="BM8" s="1203" t="s">
        <v>2376</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2574</v>
      </c>
    </row>
    <row r="10" spans="1:65" ht="14.4">
      <c r="A10" s="1205"/>
      <c r="B10" s="1208" t="s">
        <v>1859</v>
      </c>
      <c r="C10" s="1208"/>
      <c r="D10" s="1208"/>
      <c r="E10" s="1208"/>
      <c r="F10" s="1208"/>
      <c r="G10" s="1208"/>
      <c r="H10" s="1208"/>
      <c r="I10" s="1208"/>
      <c r="J10" s="1208"/>
      <c r="K10" s="1208"/>
      <c r="L10" s="1208"/>
      <c r="M10" s="1206"/>
      <c r="N10" s="2452">
        <f>Application!AO623</f>
        <v>8651000</v>
      </c>
      <c r="O10" s="2452"/>
      <c r="P10" s="2452"/>
      <c r="Q10" s="2452"/>
      <c r="R10" s="2452"/>
      <c r="S10" s="2452"/>
      <c r="T10" s="2452"/>
      <c r="U10" s="1206"/>
      <c r="V10" s="1206"/>
      <c r="W10" s="1206"/>
      <c r="X10" s="2438" t="s">
        <v>2575</v>
      </c>
      <c r="Y10" s="2438"/>
      <c r="Z10" s="2438"/>
      <c r="AA10" s="2438"/>
      <c r="AB10" s="2438"/>
      <c r="AC10" s="2438"/>
      <c r="AD10" s="2438"/>
      <c r="AE10" s="2438"/>
      <c r="AF10" s="2438"/>
      <c r="AG10" s="2438"/>
      <c r="AH10" s="2438"/>
      <c r="AI10" s="2438"/>
      <c r="AJ10" s="2438"/>
      <c r="AK10" s="2438"/>
      <c r="AL10" s="2453">
        <f>Application!W471</f>
        <v>50</v>
      </c>
      <c r="AM10" s="2454"/>
      <c r="AN10" s="2454"/>
      <c r="AO10" s="2454"/>
      <c r="AP10" s="2454"/>
      <c r="AQ10" s="1209"/>
      <c r="AR10" s="1209"/>
      <c r="AS10" s="1209"/>
      <c r="AT10" s="1209"/>
      <c r="AU10" s="1209"/>
      <c r="AV10" s="1209"/>
      <c r="AW10" s="1209"/>
      <c r="AX10" s="1206"/>
      <c r="AY10" s="1206"/>
      <c r="AZ10" s="1206"/>
      <c r="BA10" s="1206"/>
      <c r="BB10" s="1206"/>
      <c r="BC10" s="1206"/>
      <c r="BD10" s="1206"/>
      <c r="BE10" s="1207"/>
      <c r="BM10" s="1203" t="s">
        <v>2576</v>
      </c>
    </row>
    <row r="11" spans="1:65" ht="14.4">
      <c r="A11" s="1205"/>
      <c r="B11" s="1208" t="s">
        <v>1860</v>
      </c>
      <c r="C11" s="1208"/>
      <c r="D11" s="1208"/>
      <c r="E11" s="1208"/>
      <c r="F11" s="1208"/>
      <c r="G11" s="1208"/>
      <c r="H11" s="1208"/>
      <c r="I11" s="1208"/>
      <c r="J11" s="1208"/>
      <c r="K11" s="1208"/>
      <c r="L11" s="1208"/>
      <c r="M11" s="1206"/>
      <c r="N11" s="2452">
        <f>Application!AA911</f>
        <v>0</v>
      </c>
      <c r="O11" s="2452"/>
      <c r="P11" s="2452"/>
      <c r="Q11" s="2452"/>
      <c r="R11" s="2452"/>
      <c r="S11" s="2452"/>
      <c r="T11" s="2452"/>
      <c r="U11" s="1206"/>
      <c r="V11" s="1206"/>
      <c r="W11" s="1206"/>
      <c r="X11" s="2455" t="s">
        <v>2577</v>
      </c>
      <c r="Y11" s="2455"/>
      <c r="Z11" s="2455"/>
      <c r="AA11" s="2455"/>
      <c r="AB11" s="2455"/>
      <c r="AC11" s="2455"/>
      <c r="AD11" s="2455"/>
      <c r="AE11" s="2455"/>
      <c r="AF11" s="2455"/>
      <c r="AG11" s="2455"/>
      <c r="AH11" s="2455"/>
      <c r="AI11" s="2455"/>
      <c r="AJ11" s="2455"/>
      <c r="AK11" s="2455"/>
      <c r="AL11" s="2439"/>
      <c r="AM11" s="2440"/>
      <c r="AN11" s="2440"/>
      <c r="AO11" s="2440"/>
      <c r="AP11" s="2440"/>
      <c r="AQ11" s="1210"/>
      <c r="AR11" s="1211"/>
      <c r="AS11" s="1209"/>
      <c r="AT11" s="1209"/>
      <c r="AU11" s="1209"/>
      <c r="AV11" s="1209"/>
      <c r="AW11" s="1209"/>
      <c r="AX11" s="1206"/>
      <c r="AY11" s="1206"/>
      <c r="AZ11" s="1206"/>
      <c r="BA11" s="1206"/>
      <c r="BB11" s="1206"/>
      <c r="BC11" s="1206"/>
      <c r="BD11" s="1206"/>
      <c r="BE11" s="1207"/>
      <c r="BM11" s="1203" t="s">
        <v>2525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438" t="s">
        <v>2578</v>
      </c>
      <c r="Y12" s="2438"/>
      <c r="Z12" s="2438"/>
      <c r="AA12" s="2438"/>
      <c r="AB12" s="2438"/>
      <c r="AC12" s="2438"/>
      <c r="AD12" s="2438"/>
      <c r="AE12" s="2438"/>
      <c r="AF12" s="2438"/>
      <c r="AG12" s="2438"/>
      <c r="AH12" s="2438"/>
      <c r="AI12" s="2438"/>
      <c r="AJ12" s="2438"/>
      <c r="AK12" s="2438"/>
      <c r="AL12" s="2439"/>
      <c r="AM12" s="2440"/>
      <c r="AN12" s="2440"/>
      <c r="AO12" s="2440"/>
      <c r="AP12" s="2440"/>
      <c r="AQ12" s="1209"/>
      <c r="AR12" s="1209"/>
      <c r="AS12" s="1209"/>
      <c r="AT12" s="1209"/>
      <c r="AU12" s="1209"/>
      <c r="AV12" s="1206"/>
      <c r="AW12" s="1206"/>
      <c r="AX12" s="1206"/>
      <c r="AY12" s="1206"/>
      <c r="AZ12" s="1206"/>
      <c r="BA12" s="1206"/>
      <c r="BB12" s="1206"/>
      <c r="BC12" s="1206"/>
      <c r="BD12" s="1206"/>
      <c r="BE12" s="1212"/>
      <c r="BM12" s="1203" t="s">
        <v>2579</v>
      </c>
    </row>
    <row r="13" spans="1:65" ht="15" thickBot="1">
      <c r="A13" s="1206"/>
      <c r="B13" s="2441" t="s">
        <v>1861</v>
      </c>
      <c r="C13" s="2442"/>
      <c r="D13" s="2442"/>
      <c r="E13" s="2442"/>
      <c r="F13" s="2442"/>
      <c r="G13" s="2442"/>
      <c r="H13" s="2442"/>
      <c r="I13" s="2442"/>
      <c r="J13" s="2442"/>
      <c r="K13" s="2442"/>
      <c r="L13" s="2442"/>
      <c r="M13" s="2442"/>
      <c r="N13" s="2442"/>
      <c r="O13" s="2442"/>
      <c r="P13" s="2443"/>
      <c r="Q13" s="2444" t="s">
        <v>678</v>
      </c>
      <c r="R13" s="2445"/>
      <c r="S13" s="2445"/>
      <c r="T13" s="2446"/>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2580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ht="15" thickBot="1">
      <c r="A15" s="1206"/>
      <c r="B15" s="2447" t="s">
        <v>1862</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ht="1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4.4">
      <c r="A17" s="1206"/>
      <c r="B17" s="2302" t="s">
        <v>1863</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206"/>
      <c r="BA17" s="1206"/>
      <c r="BB17" s="1206"/>
      <c r="BC17" s="1206"/>
      <c r="BD17" s="1206"/>
      <c r="BE17" s="1212"/>
      <c r="BF17" s="1204"/>
    </row>
    <row r="18" spans="1:58" ht="15.75" customHeight="1">
      <c r="A18" s="1206"/>
      <c r="B18" s="2431" t="s">
        <v>1864</v>
      </c>
      <c r="C18" s="2432"/>
      <c r="D18" s="2432"/>
      <c r="E18" s="2432"/>
      <c r="F18" s="2432"/>
      <c r="G18" s="2432"/>
      <c r="H18" s="2432"/>
      <c r="I18" s="2433"/>
      <c r="J18" s="2434" t="s">
        <v>1763</v>
      </c>
      <c r="K18" s="2435"/>
      <c r="L18" s="2435"/>
      <c r="M18" s="2435"/>
      <c r="N18" s="2435"/>
      <c r="O18" s="2436"/>
      <c r="P18" s="2434" t="s">
        <v>326</v>
      </c>
      <c r="Q18" s="2435"/>
      <c r="R18" s="2435"/>
      <c r="S18" s="2435"/>
      <c r="T18" s="2435"/>
      <c r="U18" s="2436"/>
      <c r="V18" s="2434" t="s">
        <v>327</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1865</v>
      </c>
      <c r="AU18" s="2435"/>
      <c r="AV18" s="2435"/>
      <c r="AW18" s="2435"/>
      <c r="AX18" s="2435"/>
      <c r="AY18" s="2437"/>
      <c r="AZ18" s="1206"/>
      <c r="BA18" s="1206"/>
      <c r="BB18" s="1206"/>
      <c r="BC18" s="1206"/>
      <c r="BD18" s="1206"/>
      <c r="BE18" s="1212"/>
    </row>
    <row r="19" spans="1:58" ht="14.4">
      <c r="A19" s="1206"/>
      <c r="B19" s="2428">
        <v>0.3</v>
      </c>
      <c r="C19" s="2429"/>
      <c r="D19" s="2429"/>
      <c r="E19" s="2429"/>
      <c r="F19" s="2429"/>
      <c r="G19" s="2429"/>
      <c r="H19" s="2429"/>
      <c r="I19" s="2430"/>
      <c r="J19" s="2413">
        <f>SUM(P19:AS19)</f>
        <v>87</v>
      </c>
      <c r="K19" s="2414"/>
      <c r="L19" s="2414"/>
      <c r="M19" s="2414"/>
      <c r="N19" s="2414"/>
      <c r="O19" s="2415"/>
      <c r="P19" s="2413" cm="1">
        <f t="array" ref="P19">SUMPRODUCT((Application!$B$714:$B$738 = 'CalHFA Addendum'!P$18)*(Application!$AC$714:$AC$738 = 'CalHFA Addendum'!$B19),Application!$G$714:$G$738)</f>
        <v>30</v>
      </c>
      <c r="Q19" s="2414"/>
      <c r="R19" s="2414"/>
      <c r="S19" s="2414"/>
      <c r="T19" s="2414"/>
      <c r="U19" s="2415"/>
      <c r="V19" s="2413" cm="1">
        <f t="array" ref="V19">SUMPRODUCT((Application!$B$714:$B$738 = 'CalHFA Addendum'!V$18)*(Application!$AC$714:$AC$738 = 'CalHFA Addendum'!$B19),Application!$G$714:$G$738)</f>
        <v>27</v>
      </c>
      <c r="W19" s="2414"/>
      <c r="X19" s="2414"/>
      <c r="Y19" s="2414"/>
      <c r="Z19" s="2414"/>
      <c r="AA19" s="2415"/>
      <c r="AB19" s="2413" cm="1">
        <f t="array" ref="AB19">SUMPRODUCT((Application!$B$714:$B$738 = 'CalHFA Addendum'!AB$18)*(Application!$AC$714:$AC$738 = 'CalHFA Addendum'!$B19),Application!$G$714:$G$738)</f>
        <v>15</v>
      </c>
      <c r="AC19" s="2414"/>
      <c r="AD19" s="2414"/>
      <c r="AE19" s="2414"/>
      <c r="AF19" s="2414"/>
      <c r="AG19" s="2415"/>
      <c r="AH19" s="2413" cm="1">
        <f t="array" ref="AH19">SUMPRODUCT((Application!$B$714:$B$738 = 'CalHFA Addendum'!AH$18)*(Application!$AC$714:$AC$738 = 'CalHFA Addendum'!$B19),Application!$G$714:$G$738)</f>
        <v>15</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0.49431818181818182</v>
      </c>
      <c r="AU19" s="2417"/>
      <c r="AV19" s="2417"/>
      <c r="AW19" s="2417"/>
      <c r="AX19" s="2417"/>
      <c r="AY19" s="2418"/>
      <c r="AZ19" s="1213"/>
      <c r="BA19" s="1206"/>
      <c r="BB19" s="1206"/>
      <c r="BC19" s="1206"/>
      <c r="BD19" s="1206"/>
      <c r="BE19" s="1212"/>
    </row>
    <row r="20" spans="1:58" ht="15" customHeight="1">
      <c r="A20" s="1206"/>
      <c r="B20" s="2428">
        <v>0.4</v>
      </c>
      <c r="C20" s="2429"/>
      <c r="D20" s="2429"/>
      <c r="E20" s="2429"/>
      <c r="F20" s="2429"/>
      <c r="G20" s="2429"/>
      <c r="H20" s="2429"/>
      <c r="I20" s="2430"/>
      <c r="J20" s="2413">
        <f t="shared" ref="J20:J28" si="1">SUM(P20:AS20)</f>
        <v>16</v>
      </c>
      <c r="K20" s="2414"/>
      <c r="L20" s="2414"/>
      <c r="M20" s="2414"/>
      <c r="N20" s="2414"/>
      <c r="O20" s="2415"/>
      <c r="P20" s="2413" cm="1">
        <f t="array" ref="P20">SUMPRODUCT((Application!$B$714:$B$738 = 'CalHFA Addendum'!P$18)*(Application!$AC$714:$AC$738 = 'CalHFA Addendum'!$B20),Application!$G$714:$G$738)</f>
        <v>5</v>
      </c>
      <c r="Q20" s="2414"/>
      <c r="R20" s="2414"/>
      <c r="S20" s="2414"/>
      <c r="T20" s="2414"/>
      <c r="U20" s="2415"/>
      <c r="V20" s="2413" cm="1">
        <f t="array" ref="V20">SUMPRODUCT((Application!$B$714:$B$738 = 'CalHFA Addendum'!V$18)*(Application!$AC$714:$AC$738 = 'CalHFA Addendum'!$B20),Application!$G$714:$G$738)</f>
        <v>5</v>
      </c>
      <c r="W20" s="2414"/>
      <c r="X20" s="2414"/>
      <c r="Y20" s="2414"/>
      <c r="Z20" s="2414"/>
      <c r="AA20" s="2415"/>
      <c r="AB20" s="2413" cm="1">
        <f t="array" ref="AB20">SUMPRODUCT((Application!$B$714:$B$738 = 'CalHFA Addendum'!AB$18)*(Application!$AC$714:$AC$738 = 'CalHFA Addendum'!$B20),Application!$G$714:$G$738)</f>
        <v>3</v>
      </c>
      <c r="AC20" s="2414"/>
      <c r="AD20" s="2414"/>
      <c r="AE20" s="2414"/>
      <c r="AF20" s="2414"/>
      <c r="AG20" s="2415"/>
      <c r="AH20" s="2413" cm="1">
        <f t="array" ref="AH20">SUMPRODUCT((Application!$B$714:$B$738 = 'CalHFA Addendum'!AH$18)*(Application!$AC$714:$AC$738 = 'CalHFA Addendum'!$B20),Application!$G$714:$G$738)</f>
        <v>3</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9.0909090909090912E-2</v>
      </c>
      <c r="AU20" s="2417"/>
      <c r="AV20" s="2417"/>
      <c r="AW20" s="2417"/>
      <c r="AX20" s="2417"/>
      <c r="AY20" s="2418"/>
      <c r="AZ20" s="1206"/>
      <c r="BA20" s="1206"/>
      <c r="BB20" s="1206"/>
      <c r="BC20" s="1206"/>
      <c r="BD20" s="1206"/>
      <c r="BE20" s="1212"/>
    </row>
    <row r="21" spans="1:58" ht="14.4">
      <c r="A21" s="1206"/>
      <c r="B21" s="2428">
        <v>0.5</v>
      </c>
      <c r="C21" s="2429"/>
      <c r="D21" s="2429"/>
      <c r="E21" s="2429"/>
      <c r="F21" s="2429"/>
      <c r="G21" s="2429"/>
      <c r="H21" s="2429"/>
      <c r="I21" s="2430"/>
      <c r="J21" s="2413">
        <f t="shared" si="1"/>
        <v>28</v>
      </c>
      <c r="K21" s="2414"/>
      <c r="L21" s="2414"/>
      <c r="M21" s="2414"/>
      <c r="N21" s="2414"/>
      <c r="O21" s="2415"/>
      <c r="P21" s="2413" cm="1">
        <f t="array" ref="P21">SUMPRODUCT((Application!$B$714:$B$738 = 'CalHFA Addendum'!P$18)*(Application!$AC$714:$AC$738 = 'CalHFA Addendum'!$B21),Application!$G$714:$G$738)</f>
        <v>4</v>
      </c>
      <c r="Q21" s="2414"/>
      <c r="R21" s="2414"/>
      <c r="S21" s="2414"/>
      <c r="T21" s="2414"/>
      <c r="U21" s="2415"/>
      <c r="V21" s="2413" cm="1">
        <f t="array" ref="V21">SUMPRODUCT((Application!$B$714:$B$738 = 'CalHFA Addendum'!V$18)*(Application!$AC$714:$AC$738 = 'CalHFA Addendum'!$B21),Application!$G$714:$G$738)</f>
        <v>6</v>
      </c>
      <c r="W21" s="2414"/>
      <c r="X21" s="2414"/>
      <c r="Y21" s="2414"/>
      <c r="Z21" s="2414"/>
      <c r="AA21" s="2415"/>
      <c r="AB21" s="2413" cm="1">
        <f t="array" ref="AB21">SUMPRODUCT((Application!$B$714:$B$738 = 'CalHFA Addendum'!AB$18)*(Application!$AC$714:$AC$738 = 'CalHFA Addendum'!$B21),Application!$G$714:$G$738)</f>
        <v>9</v>
      </c>
      <c r="AC21" s="2414"/>
      <c r="AD21" s="2414"/>
      <c r="AE21" s="2414"/>
      <c r="AF21" s="2414"/>
      <c r="AG21" s="2415"/>
      <c r="AH21" s="2413" cm="1">
        <f t="array" ref="AH21">SUMPRODUCT((Application!$B$714:$B$738 = 'CalHFA Addendum'!AH$18)*(Application!$AC$714:$AC$738 = 'CalHFA Addendum'!$B21),Application!$G$714:$G$738)</f>
        <v>9</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0.15909090909090909</v>
      </c>
      <c r="AU21" s="2417"/>
      <c r="AV21" s="2417"/>
      <c r="AW21" s="2417"/>
      <c r="AX21" s="2417"/>
      <c r="AY21" s="2418"/>
      <c r="AZ21" s="1206"/>
      <c r="BA21" s="1206"/>
      <c r="BB21" s="1206"/>
      <c r="BC21" s="1206"/>
      <c r="BD21" s="1206"/>
      <c r="BE21" s="1212"/>
    </row>
    <row r="22" spans="1:58" ht="14.4">
      <c r="A22" s="1206"/>
      <c r="B22" s="2428">
        <v>0.6</v>
      </c>
      <c r="C22" s="2429"/>
      <c r="D22" s="2429"/>
      <c r="E22" s="2429"/>
      <c r="F22" s="2429"/>
      <c r="G22" s="2429"/>
      <c r="H22" s="2429"/>
      <c r="I22" s="2430"/>
      <c r="J22" s="2413">
        <f t="shared" si="1"/>
        <v>33</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9</v>
      </c>
      <c r="W22" s="2414"/>
      <c r="X22" s="2414"/>
      <c r="Y22" s="2414"/>
      <c r="Z22" s="2414"/>
      <c r="AA22" s="2415"/>
      <c r="AB22" s="2413" cm="1">
        <f t="array" ref="AB22">SUMPRODUCT((Application!$B$714:$B$738 = 'CalHFA Addendum'!AB$18)*(Application!$AC$714:$AC$738 = 'CalHFA Addendum'!$B22),Application!$G$714:$G$738)</f>
        <v>12</v>
      </c>
      <c r="AC22" s="2414"/>
      <c r="AD22" s="2414"/>
      <c r="AE22" s="2414"/>
      <c r="AF22" s="2414"/>
      <c r="AG22" s="2415"/>
      <c r="AH22" s="2413" cm="1">
        <f t="array" ref="AH22">SUMPRODUCT((Application!$B$714:$B$738 = 'CalHFA Addendum'!AH$18)*(Application!$AC$714:$AC$738 = 'CalHFA Addendum'!$B22),Application!$G$714:$G$738)</f>
        <v>12</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0.1875</v>
      </c>
      <c r="AU22" s="2417"/>
      <c r="AV22" s="2417"/>
      <c r="AW22" s="2417"/>
      <c r="AX22" s="2417"/>
      <c r="AY22" s="2418"/>
      <c r="AZ22" s="1206"/>
      <c r="BA22" s="1206"/>
      <c r="BB22" s="1206"/>
      <c r="BC22" s="1206"/>
      <c r="BD22" s="1206"/>
      <c r="BE22" s="1212"/>
    </row>
    <row r="23" spans="1:58" ht="14.4">
      <c r="A23" s="1206"/>
      <c r="B23" s="2428">
        <v>0.7</v>
      </c>
      <c r="C23" s="2429"/>
      <c r="D23" s="2429"/>
      <c r="E23" s="2429"/>
      <c r="F23" s="2429"/>
      <c r="G23" s="2429"/>
      <c r="H23" s="2429"/>
      <c r="I23" s="2430"/>
      <c r="J23" s="2413">
        <f t="shared" si="1"/>
        <v>10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5</v>
      </c>
      <c r="AC23" s="2414"/>
      <c r="AD23" s="2414"/>
      <c r="AE23" s="2414"/>
      <c r="AF23" s="2414"/>
      <c r="AG23" s="2415"/>
      <c r="AH23" s="2413" cm="1">
        <f t="array" ref="AH23">SUMPRODUCT((Application!$B$714:$B$738 = 'CalHFA Addendum'!AH$18)*(Application!$AC$714:$AC$738 = 'CalHFA Addendum'!$B23),Application!$G$714:$G$738)</f>
        <v>5</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5.6818181818181816E-2</v>
      </c>
      <c r="AU23" s="2417"/>
      <c r="AV23" s="2417"/>
      <c r="AW23" s="2417"/>
      <c r="AX23" s="2417"/>
      <c r="AY23" s="2418"/>
      <c r="AZ23" s="1206"/>
      <c r="BA23" s="1206"/>
      <c r="BB23" s="1206"/>
      <c r="BC23" s="1206"/>
      <c r="BD23" s="1206"/>
      <c r="BE23" s="1212"/>
    </row>
    <row r="24" spans="1:58" ht="14.4">
      <c r="A24" s="1206"/>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206"/>
      <c r="BA24" s="1206"/>
      <c r="BB24" s="1206"/>
      <c r="BC24" s="1206"/>
      <c r="BD24" s="1206"/>
      <c r="BE24" s="1212"/>
    </row>
    <row r="25" spans="1:58" ht="14.4">
      <c r="A25" s="1206"/>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6"/>
      <c r="BA25" s="1206"/>
      <c r="BB25" s="1206"/>
      <c r="BC25" s="1206"/>
      <c r="BD25" s="1206"/>
      <c r="BE25" s="1212"/>
    </row>
    <row r="26" spans="1:58" ht="14.4">
      <c r="A26" s="1206"/>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6"/>
      <c r="BA26" s="1206"/>
      <c r="BB26" s="1206"/>
      <c r="BC26" s="1206"/>
      <c r="BD26" s="1206"/>
      <c r="BE26" s="1212"/>
    </row>
    <row r="27" spans="1:58" ht="14.4">
      <c r="A27" s="1206"/>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6"/>
      <c r="BA27" s="1206"/>
      <c r="BB27" s="1206"/>
      <c r="BC27" s="1206"/>
      <c r="BD27" s="1206"/>
      <c r="BE27" s="1212"/>
    </row>
    <row r="28" spans="1:58" ht="15" thickBot="1">
      <c r="A28" s="1206"/>
      <c r="B28" s="2419" t="s">
        <v>1866</v>
      </c>
      <c r="C28" s="2420"/>
      <c r="D28" s="2420"/>
      <c r="E28" s="2420"/>
      <c r="F28" s="2420"/>
      <c r="G28" s="2420"/>
      <c r="H28" s="2420"/>
      <c r="I28" s="2421"/>
      <c r="J28" s="2422">
        <f t="shared" si="1"/>
        <v>2</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1</v>
      </c>
      <c r="AC28" s="2423"/>
      <c r="AD28" s="2423"/>
      <c r="AE28" s="2423"/>
      <c r="AF28" s="2423"/>
      <c r="AG28" s="2424"/>
      <c r="AH28" s="2422">
        <f>_xlfn.IFNA(VLOOKUP(AH$18,Application!$J$758:$S$761,6,FALSE), 0)</f>
        <v>1</v>
      </c>
      <c r="AI28" s="2423"/>
      <c r="AJ28" s="2423"/>
      <c r="AK28" s="2423"/>
      <c r="AL28" s="2423"/>
      <c r="AM28" s="2424"/>
      <c r="AN28" s="2422">
        <f>_xlfn.IFNA(VLOOKUP(AN$18,Application!$J$758:$S$761,6,FALSE), 0)</f>
        <v>0</v>
      </c>
      <c r="AO28" s="2423"/>
      <c r="AP28" s="2423"/>
      <c r="AQ28" s="2423"/>
      <c r="AR28" s="2423"/>
      <c r="AS28" s="2424"/>
      <c r="AT28" s="2425">
        <f t="shared" si="0"/>
        <v>1.1363636363636364E-2</v>
      </c>
      <c r="AU28" s="2426"/>
      <c r="AV28" s="2426"/>
      <c r="AW28" s="2426"/>
      <c r="AX28" s="2426"/>
      <c r="AY28" s="2427"/>
      <c r="AZ28" s="1206"/>
      <c r="BA28" s="1206"/>
      <c r="BB28" s="1206"/>
      <c r="BC28" s="1206"/>
      <c r="BD28" s="1206"/>
      <c r="BE28" s="1212"/>
    </row>
    <row r="29" spans="1:58" ht="15" thickBot="1">
      <c r="A29" s="1206"/>
      <c r="B29" s="2412" t="s">
        <v>1763</v>
      </c>
      <c r="C29" s="2401"/>
      <c r="D29" s="2401"/>
      <c r="E29" s="2401"/>
      <c r="F29" s="2401"/>
      <c r="G29" s="2401"/>
      <c r="H29" s="2401"/>
      <c r="I29" s="2402"/>
      <c r="J29" s="2400">
        <f>SUM(J19:O28)</f>
        <v>176</v>
      </c>
      <c r="K29" s="2401"/>
      <c r="L29" s="2401"/>
      <c r="M29" s="2401"/>
      <c r="N29" s="2401"/>
      <c r="O29" s="2402"/>
      <c r="P29" s="2400">
        <f>SUM(P19:U28)</f>
        <v>39</v>
      </c>
      <c r="Q29" s="2401"/>
      <c r="R29" s="2401"/>
      <c r="S29" s="2401"/>
      <c r="T29" s="2401"/>
      <c r="U29" s="2402"/>
      <c r="V29" s="2400">
        <f>SUM(V19:AA28)</f>
        <v>47</v>
      </c>
      <c r="W29" s="2401"/>
      <c r="X29" s="2401"/>
      <c r="Y29" s="2401"/>
      <c r="Z29" s="2401"/>
      <c r="AA29" s="2402"/>
      <c r="AB29" s="2400">
        <f>SUM(AB19:AG28)</f>
        <v>45</v>
      </c>
      <c r="AC29" s="2401"/>
      <c r="AD29" s="2401"/>
      <c r="AE29" s="2401"/>
      <c r="AF29" s="2401"/>
      <c r="AG29" s="2402"/>
      <c r="AH29" s="2400">
        <f>SUM(AH19:AM28)</f>
        <v>45</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6"/>
      <c r="BA29" s="1206"/>
      <c r="BB29" s="1206"/>
      <c r="BC29" s="1206"/>
      <c r="BD29" s="1206"/>
      <c r="BE29" s="1212"/>
    </row>
    <row r="30" spans="1:58" ht="15"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4.4">
      <c r="A31" s="1206"/>
      <c r="B31" s="2280" t="s">
        <v>1867</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206"/>
      <c r="BB31" s="1206"/>
      <c r="BC31" s="1206"/>
      <c r="BD31" s="1206"/>
      <c r="BE31" s="1212"/>
    </row>
    <row r="32" spans="1:58" ht="14.4">
      <c r="A32" s="1206"/>
      <c r="B32" s="2406" t="s">
        <v>2581</v>
      </c>
      <c r="C32" s="2407"/>
      <c r="D32" s="2407"/>
      <c r="E32" s="2407"/>
      <c r="F32" s="2407"/>
      <c r="G32" s="2407"/>
      <c r="H32" s="2407"/>
      <c r="I32" s="2407"/>
      <c r="J32" s="2409" t="s">
        <v>2582</v>
      </c>
      <c r="K32" s="2410"/>
      <c r="L32" s="2410"/>
      <c r="M32" s="2410"/>
      <c r="N32" s="2409" t="s">
        <v>1868</v>
      </c>
      <c r="O32" s="2410"/>
      <c r="P32" s="2410"/>
      <c r="Q32" s="2410"/>
      <c r="R32" s="2281" t="s">
        <v>1869</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1206"/>
      <c r="BB32" s="1206"/>
      <c r="BC32" s="1206"/>
      <c r="BD32" s="1206"/>
      <c r="BE32" s="1212"/>
    </row>
    <row r="33" spans="1:58" ht="15" customHeight="1">
      <c r="A33" s="1206"/>
      <c r="B33" s="2408"/>
      <c r="C33" s="2407"/>
      <c r="D33" s="2407"/>
      <c r="E33" s="2407"/>
      <c r="F33" s="2407"/>
      <c r="G33" s="2407"/>
      <c r="H33" s="2407"/>
      <c r="I33" s="2407"/>
      <c r="J33" s="2410"/>
      <c r="K33" s="2410"/>
      <c r="L33" s="2410"/>
      <c r="M33" s="2410"/>
      <c r="N33" s="2410"/>
      <c r="O33" s="2410"/>
      <c r="P33" s="2410"/>
      <c r="Q33" s="2410"/>
      <c r="R33" s="2382" t="s">
        <v>1870</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3"/>
      <c r="BB33" s="1206"/>
      <c r="BC33" s="1206"/>
      <c r="BD33" s="1206"/>
      <c r="BE33" s="1212"/>
    </row>
    <row r="34" spans="1:58" ht="15.75" customHeight="1">
      <c r="A34" s="1206"/>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3"/>
      <c r="BB34" s="1206"/>
      <c r="BC34" s="1206"/>
      <c r="BD34" s="1206"/>
      <c r="BE34" s="1212"/>
    </row>
    <row r="35" spans="1:58" ht="15.75" customHeight="1">
      <c r="A35" s="1206"/>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1871</v>
      </c>
      <c r="AP35" s="2398"/>
      <c r="AQ35" s="2398"/>
      <c r="AR35" s="2398"/>
      <c r="AS35" s="2398"/>
      <c r="AT35" s="2398"/>
      <c r="AU35" s="2398" t="s">
        <v>1872</v>
      </c>
      <c r="AV35" s="2398"/>
      <c r="AW35" s="2398"/>
      <c r="AX35" s="2398"/>
      <c r="AY35" s="2398"/>
      <c r="AZ35" s="2399"/>
      <c r="BA35" s="1213"/>
      <c r="BB35" s="1206"/>
      <c r="BC35" s="1206"/>
      <c r="BD35" s="1206"/>
      <c r="BE35" s="1212"/>
      <c r="BF35" s="1204"/>
    </row>
    <row r="36" spans="1:58" ht="15.75" customHeight="1">
      <c r="A36" s="1206"/>
      <c r="B36" s="2335" t="s">
        <v>1873</v>
      </c>
      <c r="C36" s="2336"/>
      <c r="D36" s="2336"/>
      <c r="E36" s="2336"/>
      <c r="F36" s="2336"/>
      <c r="G36" s="2336"/>
      <c r="H36" s="2336"/>
      <c r="I36" s="2336"/>
      <c r="J36" s="2395" t="s">
        <v>1874</v>
      </c>
      <c r="K36" s="2395"/>
      <c r="L36" s="2395"/>
      <c r="M36" s="2395"/>
      <c r="N36" s="2395">
        <v>55</v>
      </c>
      <c r="O36" s="2395"/>
      <c r="P36" s="2395"/>
      <c r="Q36" s="2395"/>
      <c r="R36" s="2388">
        <v>0</v>
      </c>
      <c r="S36" s="2388"/>
      <c r="T36" s="2388"/>
      <c r="U36" s="2388"/>
      <c r="V36" s="2388">
        <v>0</v>
      </c>
      <c r="W36" s="2388"/>
      <c r="X36" s="2388"/>
      <c r="Y36" s="2388"/>
      <c r="Z36" s="2388">
        <v>10</v>
      </c>
      <c r="AA36" s="2388"/>
      <c r="AB36" s="2388"/>
      <c r="AC36" s="2388"/>
      <c r="AD36" s="2388">
        <v>30</v>
      </c>
      <c r="AE36" s="2388"/>
      <c r="AF36" s="2388"/>
      <c r="AG36" s="2388"/>
      <c r="AH36" s="2388">
        <v>0</v>
      </c>
      <c r="AI36" s="2388"/>
      <c r="AJ36" s="2388"/>
      <c r="AK36" s="2388"/>
      <c r="AL36" s="2388">
        <v>0</v>
      </c>
      <c r="AM36" s="2388"/>
      <c r="AN36" s="2388"/>
      <c r="AO36" s="2389">
        <f>SUM(R36:AN36)</f>
        <v>40</v>
      </c>
      <c r="AP36" s="2389"/>
      <c r="AQ36" s="2389"/>
      <c r="AR36" s="2389"/>
      <c r="AS36" s="2389"/>
      <c r="AT36" s="2389"/>
      <c r="AU36" s="2390">
        <f>AO36/$J$29</f>
        <v>0.22727272727272727</v>
      </c>
      <c r="AV36" s="2390"/>
      <c r="AW36" s="2390"/>
      <c r="AX36" s="2390"/>
      <c r="AY36" s="2390"/>
      <c r="AZ36" s="2391"/>
      <c r="BA36" s="1206"/>
      <c r="BB36" s="1206"/>
      <c r="BC36" s="1206"/>
      <c r="BD36" s="1206"/>
      <c r="BE36" s="1212"/>
      <c r="BF36" s="1204"/>
    </row>
    <row r="37" spans="1:58" ht="15.75" customHeight="1">
      <c r="A37" s="1206"/>
      <c r="B37" s="2335" t="s">
        <v>2583</v>
      </c>
      <c r="C37" s="2336"/>
      <c r="D37" s="2336"/>
      <c r="E37" s="2336"/>
      <c r="F37" s="2336"/>
      <c r="G37" s="2336"/>
      <c r="H37" s="2336"/>
      <c r="I37" s="2336"/>
      <c r="J37" s="2395" t="s">
        <v>1875</v>
      </c>
      <c r="K37" s="2395"/>
      <c r="L37" s="2395"/>
      <c r="M37" s="2395"/>
      <c r="N37" s="2395">
        <v>55</v>
      </c>
      <c r="O37" s="2395"/>
      <c r="P37" s="2395"/>
      <c r="Q37" s="2395"/>
      <c r="R37" s="2388">
        <v>10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10</v>
      </c>
      <c r="AP37" s="2389"/>
      <c r="AQ37" s="2389"/>
      <c r="AR37" s="2389"/>
      <c r="AS37" s="2389"/>
      <c r="AT37" s="2389"/>
      <c r="AU37" s="2390">
        <f t="shared" ref="AU37:AU47" si="3">AO37/$J$29</f>
        <v>5.6818181818181816E-2</v>
      </c>
      <c r="AV37" s="2390"/>
      <c r="AW37" s="2390"/>
      <c r="AX37" s="2390"/>
      <c r="AY37" s="2390"/>
      <c r="AZ37" s="2391"/>
      <c r="BA37" s="1206"/>
      <c r="BB37" s="1206"/>
      <c r="BC37" s="1206"/>
      <c r="BD37" s="1206"/>
      <c r="BE37" s="1212"/>
      <c r="BF37" s="1204"/>
    </row>
    <row r="38" spans="1:58" ht="15.75" customHeight="1">
      <c r="A38" s="1206"/>
      <c r="B38" s="2335" t="s">
        <v>2521</v>
      </c>
      <c r="C38" s="2336"/>
      <c r="D38" s="2336"/>
      <c r="E38" s="2336"/>
      <c r="F38" s="2336"/>
      <c r="G38" s="2336"/>
      <c r="H38" s="2336"/>
      <c r="I38" s="2336"/>
      <c r="J38" s="2395" t="s">
        <v>1876</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1206"/>
      <c r="BB38" s="1206"/>
      <c r="BC38" s="1206"/>
      <c r="BD38" s="1206"/>
      <c r="BE38" s="1212"/>
      <c r="BF38" s="1204"/>
    </row>
    <row r="39" spans="1:58" ht="15.75" customHeight="1">
      <c r="A39" s="1206"/>
      <c r="B39" s="2335" t="s">
        <v>1877</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6"/>
      <c r="BB39" s="1206"/>
      <c r="BC39" s="1206"/>
      <c r="BD39" s="1206"/>
      <c r="BE39" s="1212"/>
    </row>
    <row r="40" spans="1:58" ht="15.75" customHeight="1">
      <c r="A40" s="1206"/>
      <c r="B40" s="2335" t="s">
        <v>1877</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6"/>
      <c r="BB40" s="1206"/>
      <c r="BC40" s="1206"/>
      <c r="BD40" s="1206"/>
      <c r="BE40" s="1212"/>
    </row>
    <row r="41" spans="1:58" ht="15.75" customHeight="1">
      <c r="A41" s="1206"/>
      <c r="B41" s="2335" t="s">
        <v>1878</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6"/>
      <c r="BB41" s="1206"/>
      <c r="BC41" s="1206"/>
      <c r="BD41" s="1206"/>
      <c r="BE41" s="1212"/>
    </row>
    <row r="42" spans="1:58" ht="15.75" customHeight="1">
      <c r="A42" s="1206"/>
      <c r="B42" s="2335" t="s">
        <v>1878</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6"/>
      <c r="BB42" s="1206"/>
      <c r="BC42" s="1206"/>
      <c r="BD42" s="1206"/>
      <c r="BE42" s="1212"/>
    </row>
    <row r="43" spans="1:58" ht="15.75" customHeight="1">
      <c r="A43" s="1206"/>
      <c r="B43" s="2340" t="s">
        <v>1879</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6"/>
      <c r="BB43" s="1206"/>
      <c r="BC43" s="1206"/>
      <c r="BD43" s="1206"/>
      <c r="BE43" s="1212"/>
    </row>
    <row r="44" spans="1:58" ht="15.75" customHeight="1">
      <c r="A44" s="1206"/>
      <c r="B44" s="2340" t="s">
        <v>1880</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6"/>
      <c r="BB44" s="1206"/>
      <c r="BC44" s="1206"/>
      <c r="BD44" s="1206"/>
      <c r="BE44" s="1212"/>
    </row>
    <row r="45" spans="1:58" ht="15.75" customHeight="1">
      <c r="A45" s="1206"/>
      <c r="B45" s="2340" t="s">
        <v>1881</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206"/>
      <c r="BB45" s="1206"/>
      <c r="BC45" s="1206"/>
      <c r="BD45" s="1206"/>
      <c r="BE45" s="1212"/>
    </row>
    <row r="46" spans="1:58" ht="15.75" customHeight="1">
      <c r="A46" s="1206"/>
      <c r="B46" s="2340" t="s">
        <v>1882</v>
      </c>
      <c r="C46" s="2341"/>
      <c r="D46" s="2341"/>
      <c r="E46" s="2341"/>
      <c r="F46" s="2341"/>
      <c r="G46" s="2341"/>
      <c r="H46" s="2341"/>
      <c r="I46" s="2341"/>
      <c r="J46" s="2395"/>
      <c r="K46" s="2395"/>
      <c r="L46" s="2395"/>
      <c r="M46" s="2395"/>
      <c r="N46" s="2395">
        <v>99</v>
      </c>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6"/>
      <c r="BB46" s="1206"/>
      <c r="BC46" s="1206"/>
      <c r="BD46" s="1206"/>
      <c r="BE46" s="1212"/>
    </row>
    <row r="47" spans="1:58" ht="15.75" customHeight="1" thickBot="1">
      <c r="A47" s="1206"/>
      <c r="B47" s="2392" t="s">
        <v>302</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6"/>
      <c r="BB47" s="1206"/>
      <c r="BC47" s="1206"/>
      <c r="BD47" s="1206"/>
      <c r="BE47" s="1212"/>
    </row>
    <row r="48" spans="1:58" ht="15.75" customHeight="1">
      <c r="A48" s="1206"/>
      <c r="B48" s="1214" t="s">
        <v>2584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80" t="s">
        <v>1883</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325" t="s">
        <v>1884</v>
      </c>
      <c r="C51" s="2314"/>
      <c r="D51" s="2314"/>
      <c r="E51" s="2314"/>
      <c r="F51" s="2314"/>
      <c r="G51" s="2314"/>
      <c r="H51" s="2314"/>
      <c r="I51" s="2314"/>
      <c r="J51" s="2314" t="s">
        <v>2585</v>
      </c>
      <c r="K51" s="2314"/>
      <c r="L51" s="2314"/>
      <c r="M51" s="2314"/>
      <c r="N51" s="2314"/>
      <c r="O51" s="2314"/>
      <c r="P51" s="2314"/>
      <c r="Q51" s="2314"/>
      <c r="R51" s="2382" t="s">
        <v>2586</v>
      </c>
      <c r="S51" s="2382"/>
      <c r="T51" s="2382"/>
      <c r="U51" s="2382"/>
      <c r="V51" s="2382"/>
      <c r="W51" s="2382"/>
      <c r="X51" s="2382"/>
      <c r="Y51" s="2382"/>
      <c r="Z51" s="2382" t="s">
        <v>1885</v>
      </c>
      <c r="AA51" s="2382"/>
      <c r="AB51" s="2382"/>
      <c r="AC51" s="2382"/>
      <c r="AD51" s="2382"/>
      <c r="AE51" s="2382"/>
      <c r="AF51" s="2382"/>
      <c r="AG51" s="2382"/>
      <c r="AH51" s="2382" t="s">
        <v>1886</v>
      </c>
      <c r="AI51" s="2382"/>
      <c r="AJ51" s="2382"/>
      <c r="AK51" s="2382"/>
      <c r="AL51" s="2382"/>
      <c r="AM51" s="2382"/>
      <c r="AN51" s="2382"/>
      <c r="AO51" s="2383"/>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340" t="s">
        <v>2259</v>
      </c>
      <c r="C52" s="2341"/>
      <c r="D52" s="2341"/>
      <c r="E52" s="2341"/>
      <c r="F52" s="2341"/>
      <c r="G52" s="2341"/>
      <c r="H52" s="2341"/>
      <c r="I52" s="2341"/>
      <c r="J52" s="2205">
        <v>0</v>
      </c>
      <c r="K52" s="2205"/>
      <c r="L52" s="2205"/>
      <c r="M52" s="2205"/>
      <c r="N52" s="2205"/>
      <c r="O52" s="2205"/>
      <c r="P52" s="2205"/>
      <c r="Q52" s="2205"/>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340" t="s">
        <v>2260</v>
      </c>
      <c r="C53" s="2341"/>
      <c r="D53" s="2341"/>
      <c r="E53" s="2341"/>
      <c r="F53" s="2341"/>
      <c r="G53" s="2341"/>
      <c r="H53" s="2341"/>
      <c r="I53" s="2341"/>
      <c r="J53" s="2205">
        <v>0</v>
      </c>
      <c r="K53" s="2205"/>
      <c r="L53" s="2205"/>
      <c r="M53" s="2205"/>
      <c r="N53" s="2205"/>
      <c r="O53" s="2205"/>
      <c r="P53" s="2205"/>
      <c r="Q53" s="2205"/>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8"/>
      <c r="AQ55" s="1208"/>
      <c r="AR55" s="1208"/>
      <c r="AS55" s="1208"/>
      <c r="AT55" s="1208" t="s">
        <v>252</v>
      </c>
      <c r="AU55" s="1208"/>
      <c r="AV55" s="1208"/>
      <c r="AW55" s="1208"/>
      <c r="AX55" s="1206"/>
      <c r="AY55" s="1206"/>
      <c r="AZ55" s="1206"/>
      <c r="BA55" s="1206"/>
      <c r="BB55" s="1206"/>
      <c r="BC55" s="1206"/>
      <c r="BD55" s="1206"/>
      <c r="BE55" s="1212"/>
    </row>
    <row r="56" spans="1:58" ht="15.75" customHeight="1">
      <c r="A56" s="1206"/>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23" t="s">
        <v>1763</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371" t="s">
        <v>1884</v>
      </c>
      <c r="C59" s="2372"/>
      <c r="D59" s="2372"/>
      <c r="E59" s="2372"/>
      <c r="F59" s="2372"/>
      <c r="G59" s="2372"/>
      <c r="H59" s="2372"/>
      <c r="I59" s="2373"/>
      <c r="J59" s="2303" t="s">
        <v>2587</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206"/>
      <c r="AY59" s="1206"/>
      <c r="AZ59" s="1206"/>
      <c r="BA59" s="1206"/>
      <c r="BB59" s="1206"/>
      <c r="BC59" s="1206"/>
      <c r="BD59" s="1206"/>
      <c r="BE59" s="1212"/>
    </row>
    <row r="60" spans="1:58" ht="15.75" customHeight="1">
      <c r="A60" s="1206"/>
      <c r="B60" s="2363" t="str">
        <f>IF(B52="", "", B52)</f>
        <v>Services Company 1</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1206"/>
      <c r="AY60" s="1206"/>
      <c r="AZ60" s="1206"/>
      <c r="BA60" s="1206"/>
      <c r="BB60" s="1206"/>
      <c r="BC60" s="1206"/>
      <c r="BD60" s="1206"/>
      <c r="BE60" s="1212"/>
    </row>
    <row r="61" spans="1:58" ht="15.75" customHeight="1">
      <c r="A61" s="1206"/>
      <c r="B61" s="2363" t="str">
        <f>IF(B53="", "", B53)</f>
        <v>Services Company 2</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1206"/>
      <c r="AY61" s="1206"/>
      <c r="AZ61" s="1206"/>
      <c r="BA61" s="1206"/>
      <c r="BB61" s="1206"/>
      <c r="BC61" s="1206"/>
      <c r="BD61" s="1206"/>
      <c r="BE61" s="1212"/>
    </row>
    <row r="62" spans="1:58" ht="15.75" customHeight="1">
      <c r="A62" s="1206"/>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1206"/>
      <c r="AY62" s="1206"/>
      <c r="AZ62" s="1206"/>
      <c r="BA62" s="1206"/>
      <c r="BB62" s="1206"/>
      <c r="BC62" s="1206"/>
      <c r="BD62" s="1206"/>
      <c r="BE62" s="1212"/>
    </row>
    <row r="63" spans="1:58" ht="15.75" customHeight="1">
      <c r="A63" s="1206"/>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1206"/>
      <c r="AY63" s="1206"/>
      <c r="AZ63" s="1206"/>
      <c r="BA63" s="1206"/>
      <c r="BB63" s="1206"/>
      <c r="BC63" s="1206"/>
      <c r="BD63" s="1206"/>
      <c r="BE63" s="1212"/>
    </row>
    <row r="64" spans="1:58" ht="15.75" customHeight="1" thickBot="1">
      <c r="A64" s="1206"/>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1887</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302" t="s">
        <v>1888</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206"/>
      <c r="AC68" s="2244" t="s">
        <v>1889</v>
      </c>
      <c r="AD68" s="2245"/>
      <c r="AE68" s="2245"/>
      <c r="AF68" s="2245"/>
      <c r="AG68" s="2245"/>
      <c r="AH68" s="2245"/>
      <c r="AI68" s="2245"/>
      <c r="AJ68" s="2245"/>
      <c r="AK68" s="2245"/>
      <c r="AL68" s="2245"/>
      <c r="AM68" s="2245"/>
      <c r="AN68" s="2245"/>
      <c r="AO68" s="2245"/>
      <c r="AP68" s="2245"/>
      <c r="AQ68" s="2245"/>
      <c r="AR68" s="2245"/>
      <c r="AS68" s="2245"/>
      <c r="AT68" s="2245"/>
      <c r="AU68" s="2245"/>
      <c r="AV68" s="2352" t="s">
        <v>678</v>
      </c>
      <c r="AW68" s="2288"/>
      <c r="AX68" s="2288"/>
      <c r="AY68" s="2288"/>
      <c r="AZ68" s="2288"/>
      <c r="BA68" s="2288"/>
      <c r="BB68" s="2288"/>
      <c r="BC68" s="2289"/>
      <c r="BD68" s="1206"/>
      <c r="BE68" s="1212"/>
      <c r="BM68" s="1217" t="s">
        <v>2588</v>
      </c>
    </row>
    <row r="69" spans="1:65" ht="15.75" customHeight="1" thickTop="1" thickBot="1">
      <c r="A69" s="1206"/>
      <c r="B69" s="2353" t="s">
        <v>1890</v>
      </c>
      <c r="C69" s="2354"/>
      <c r="D69" s="2354"/>
      <c r="E69" s="2354"/>
      <c r="F69" s="2354"/>
      <c r="G69" s="2354"/>
      <c r="H69" s="2354"/>
      <c r="I69" s="2354"/>
      <c r="J69" s="2354"/>
      <c r="K69" s="2354"/>
      <c r="L69" s="2354"/>
      <c r="M69" s="2354"/>
      <c r="N69" s="2354"/>
      <c r="O69" s="2355" t="s">
        <v>1891</v>
      </c>
      <c r="P69" s="2356"/>
      <c r="Q69" s="2356"/>
      <c r="R69" s="2356"/>
      <c r="S69" s="2356"/>
      <c r="T69" s="2356"/>
      <c r="U69" s="2356"/>
      <c r="V69" s="2356"/>
      <c r="W69" s="2356"/>
      <c r="X69" s="2356"/>
      <c r="Y69" s="2356"/>
      <c r="Z69" s="2356"/>
      <c r="AA69" s="2357"/>
      <c r="AB69" s="1206"/>
      <c r="AC69" s="2358" t="s">
        <v>1892</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206"/>
      <c r="BE69" s="1212"/>
      <c r="BM69" s="1218" t="s">
        <v>554</v>
      </c>
    </row>
    <row r="70" spans="1:65" ht="15.75" customHeight="1">
      <c r="A70" s="1206"/>
      <c r="B70" s="2335" t="s">
        <v>2589</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1206"/>
      <c r="AC70" s="2280" t="s">
        <v>1893</v>
      </c>
      <c r="AD70" s="2246"/>
      <c r="AE70" s="2246"/>
      <c r="AF70" s="2346"/>
      <c r="AG70" s="2346"/>
      <c r="AH70" s="2346"/>
      <c r="AI70" s="2346"/>
      <c r="AJ70" s="2346"/>
      <c r="AK70" s="2346"/>
      <c r="AL70" s="2346"/>
      <c r="AM70" s="2346"/>
      <c r="AN70" s="2346"/>
      <c r="AO70" s="2346"/>
      <c r="AP70" s="2346"/>
      <c r="AQ70" s="2346"/>
      <c r="AR70" s="2346"/>
      <c r="AS70" s="2346"/>
      <c r="AT70" s="2346"/>
      <c r="AU70" s="2347"/>
      <c r="AV70" s="1206"/>
      <c r="AW70" s="1206"/>
      <c r="AX70" s="1206"/>
      <c r="AY70" s="1206"/>
      <c r="AZ70" s="1206"/>
      <c r="BA70" s="1206"/>
      <c r="BB70" s="1206"/>
      <c r="BC70" s="1206"/>
      <c r="BD70" s="1206"/>
      <c r="BE70" s="1212"/>
      <c r="BM70" s="1219" t="s">
        <v>678</v>
      </c>
    </row>
    <row r="71" spans="1:65" ht="15.75" customHeight="1" thickBot="1">
      <c r="A71" s="1206"/>
      <c r="B71" s="2335" t="s">
        <v>2590</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1206"/>
      <c r="AC71" s="2348" t="s">
        <v>1894</v>
      </c>
      <c r="AD71" s="2349"/>
      <c r="AE71" s="2349"/>
      <c r="AF71" s="2350"/>
      <c r="AG71" s="2350"/>
      <c r="AH71" s="2350"/>
      <c r="AI71" s="2350"/>
      <c r="AJ71" s="2350"/>
      <c r="AK71" s="2350"/>
      <c r="AL71" s="2350"/>
      <c r="AM71" s="2350"/>
      <c r="AN71" s="2350"/>
      <c r="AO71" s="2350"/>
      <c r="AP71" s="2350"/>
      <c r="AQ71" s="2350"/>
      <c r="AR71" s="2350"/>
      <c r="AS71" s="2350"/>
      <c r="AT71" s="2350"/>
      <c r="AU71" s="2351"/>
      <c r="AV71" s="1206"/>
      <c r="AW71" s="1206"/>
      <c r="AX71" s="1206"/>
      <c r="AY71" s="1206"/>
      <c r="AZ71" s="1206"/>
      <c r="BA71" s="1206"/>
      <c r="BB71" s="1206"/>
      <c r="BC71" s="1206"/>
      <c r="BD71" s="1206"/>
      <c r="BE71" s="1212"/>
      <c r="BM71" s="1203" t="s">
        <v>2591</v>
      </c>
    </row>
    <row r="72" spans="1:65" ht="15.75" customHeight="1">
      <c r="A72" s="1206"/>
      <c r="B72" s="2335" t="s">
        <v>2592</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1206"/>
      <c r="AC72" s="2338" t="s">
        <v>2593</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1206"/>
      <c r="BE72" s="1212"/>
    </row>
    <row r="73" spans="1:65" ht="15.75" customHeight="1">
      <c r="A73" s="1206"/>
      <c r="B73" s="2340" t="s">
        <v>2594</v>
      </c>
      <c r="C73" s="2341"/>
      <c r="D73" s="2341"/>
      <c r="E73" s="2341"/>
      <c r="F73" s="2341"/>
      <c r="G73" s="2341"/>
      <c r="H73" s="2341"/>
      <c r="I73" s="2341"/>
      <c r="J73" s="2341"/>
      <c r="K73" s="2341"/>
      <c r="L73" s="2341"/>
      <c r="M73" s="2341"/>
      <c r="N73" s="2341"/>
      <c r="O73" s="2238">
        <v>0</v>
      </c>
      <c r="P73" s="2238"/>
      <c r="Q73" s="2238"/>
      <c r="R73" s="2238"/>
      <c r="S73" s="2238"/>
      <c r="T73" s="2238"/>
      <c r="U73" s="2238"/>
      <c r="V73" s="2238"/>
      <c r="W73" s="2238"/>
      <c r="X73" s="2238"/>
      <c r="Y73" s="2238"/>
      <c r="Z73" s="2238"/>
      <c r="AA73" s="2337"/>
      <c r="AB73" s="1206"/>
      <c r="AC73" s="2257" t="s">
        <v>2261</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1206"/>
      <c r="BE73" s="1212"/>
    </row>
    <row r="74" spans="1:65" ht="15.75" customHeight="1">
      <c r="A74" s="1206"/>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1206"/>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1206"/>
      <c r="BE74" s="1212"/>
    </row>
    <row r="75" spans="1:65" ht="15.75" customHeight="1" thickBot="1">
      <c r="A75" s="1206"/>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6"/>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1206"/>
      <c r="BE76" s="1212"/>
    </row>
    <row r="77" spans="1:65" ht="15.75" customHeight="1" thickBot="1">
      <c r="A77" s="1206"/>
      <c r="B77" s="1220" t="s">
        <v>1895</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32" t="s">
        <v>2244</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6"/>
      <c r="AJ79" s="2305" t="s">
        <v>2595</v>
      </c>
      <c r="AK79" s="2306"/>
      <c r="AL79" s="2306"/>
      <c r="AM79" s="2306"/>
      <c r="AN79" s="2306"/>
      <c r="AO79" s="2306"/>
      <c r="AP79" s="2306"/>
      <c r="AQ79" s="2306"/>
      <c r="AR79" s="2306"/>
      <c r="AS79" s="2306"/>
      <c r="AT79" s="2306"/>
      <c r="AU79" s="2306"/>
      <c r="AV79" s="2306"/>
      <c r="AW79" s="2306"/>
      <c r="AX79" s="2306"/>
      <c r="AY79" s="2326" t="s">
        <v>554</v>
      </c>
      <c r="AZ79" s="2326"/>
      <c r="BA79" s="2326"/>
      <c r="BB79" s="2327"/>
      <c r="BC79" s="1206"/>
      <c r="BD79" s="1206"/>
      <c r="BE79" s="1212"/>
    </row>
    <row r="80" spans="1:65" ht="15.75" customHeight="1">
      <c r="A80" s="1206"/>
      <c r="B80" s="2325"/>
      <c r="C80" s="2314"/>
      <c r="D80" s="2314"/>
      <c r="E80" s="2314"/>
      <c r="F80" s="2314"/>
      <c r="G80" s="2314"/>
      <c r="H80" s="2314"/>
      <c r="I80" s="2314" t="s">
        <v>1896</v>
      </c>
      <c r="J80" s="2314"/>
      <c r="K80" s="2314"/>
      <c r="L80" s="2314"/>
      <c r="M80" s="2314"/>
      <c r="N80" s="2314"/>
      <c r="O80" s="2314" t="s">
        <v>1897</v>
      </c>
      <c r="P80" s="2314"/>
      <c r="Q80" s="2314"/>
      <c r="R80" s="2314"/>
      <c r="S80" s="2314"/>
      <c r="T80" s="2314"/>
      <c r="U80" s="2314"/>
      <c r="V80" s="2330" t="s">
        <v>2262</v>
      </c>
      <c r="W80" s="2330"/>
      <c r="X80" s="2330"/>
      <c r="Y80" s="2330"/>
      <c r="Z80" s="2330"/>
      <c r="AA80" s="2330"/>
      <c r="AB80" s="2281" t="s">
        <v>1898</v>
      </c>
      <c r="AC80" s="2281"/>
      <c r="AD80" s="2281"/>
      <c r="AE80" s="2281"/>
      <c r="AF80" s="2281"/>
      <c r="AG80" s="2281"/>
      <c r="AH80" s="2331"/>
      <c r="AI80" s="1206"/>
      <c r="AJ80" s="2308"/>
      <c r="AK80" s="2309"/>
      <c r="AL80" s="2309"/>
      <c r="AM80" s="2309"/>
      <c r="AN80" s="2309"/>
      <c r="AO80" s="2309"/>
      <c r="AP80" s="2309"/>
      <c r="AQ80" s="2309"/>
      <c r="AR80" s="2309"/>
      <c r="AS80" s="2309"/>
      <c r="AT80" s="2309"/>
      <c r="AU80" s="2309"/>
      <c r="AV80" s="2309"/>
      <c r="AW80" s="2309"/>
      <c r="AX80" s="2309"/>
      <c r="AY80" s="2328"/>
      <c r="AZ80" s="2328"/>
      <c r="BA80" s="2328"/>
      <c r="BB80" s="2329"/>
      <c r="BC80" s="1206"/>
      <c r="BD80" s="1206"/>
      <c r="BE80" s="1212"/>
    </row>
    <row r="81" spans="1:57" ht="15.75" customHeight="1">
      <c r="A81" s="1206"/>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1206"/>
      <c r="AJ81" s="2308"/>
      <c r="AK81" s="2309"/>
      <c r="AL81" s="2309"/>
      <c r="AM81" s="2309"/>
      <c r="AN81" s="2309"/>
      <c r="AO81" s="2309"/>
      <c r="AP81" s="2309"/>
      <c r="AQ81" s="2309"/>
      <c r="AR81" s="2309"/>
      <c r="AS81" s="2309"/>
      <c r="AT81" s="2309"/>
      <c r="AU81" s="2309"/>
      <c r="AV81" s="2309"/>
      <c r="AW81" s="2309"/>
      <c r="AX81" s="2309"/>
      <c r="AY81" s="2328"/>
      <c r="AZ81" s="2328"/>
      <c r="BA81" s="2328"/>
      <c r="BB81" s="2329"/>
      <c r="BC81" s="1206"/>
      <c r="BD81" s="1206"/>
      <c r="BE81" s="1212"/>
    </row>
    <row r="82" spans="1:57" ht="15.75" customHeight="1">
      <c r="A82" s="1206"/>
      <c r="B82" s="2325" t="s">
        <v>2245</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1206"/>
      <c r="AJ82" s="2308"/>
      <c r="AK82" s="2309"/>
      <c r="AL82" s="2309"/>
      <c r="AM82" s="2309"/>
      <c r="AN82" s="2309"/>
      <c r="AO82" s="2309"/>
      <c r="AP82" s="2309"/>
      <c r="AQ82" s="2309"/>
      <c r="AR82" s="2309"/>
      <c r="AS82" s="2309"/>
      <c r="AT82" s="2309"/>
      <c r="AU82" s="2309"/>
      <c r="AV82" s="2309"/>
      <c r="AW82" s="2309"/>
      <c r="AX82" s="2309"/>
      <c r="AY82" s="2328"/>
      <c r="AZ82" s="2328"/>
      <c r="BA82" s="2328"/>
      <c r="BB82" s="2329"/>
      <c r="BC82" s="1206"/>
      <c r="BD82" s="1206"/>
      <c r="BE82" s="1212"/>
    </row>
    <row r="83" spans="1:57" ht="15.75" customHeight="1">
      <c r="A83" s="1206"/>
      <c r="B83" s="2325" t="s">
        <v>2246</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1206"/>
      <c r="AJ83" s="2317" t="s">
        <v>2596</v>
      </c>
      <c r="AK83" s="2318"/>
      <c r="AL83" s="2318"/>
      <c r="AM83" s="2318"/>
      <c r="AN83" s="2318"/>
      <c r="AO83" s="2318"/>
      <c r="AP83" s="2318"/>
      <c r="AQ83" s="2318"/>
      <c r="AR83" s="2318"/>
      <c r="AS83" s="2318"/>
      <c r="AT83" s="2318"/>
      <c r="AU83" s="2318"/>
      <c r="AV83" s="2318"/>
      <c r="AW83" s="2318"/>
      <c r="AX83" s="2318"/>
      <c r="AY83" s="2318"/>
      <c r="AZ83" s="2318"/>
      <c r="BA83" s="2318"/>
      <c r="BB83" s="2319"/>
      <c r="BC83" s="1206"/>
      <c r="BD83" s="1206"/>
      <c r="BE83" s="1212"/>
    </row>
    <row r="84" spans="1:57" ht="15.75" customHeight="1" thickBot="1">
      <c r="A84" s="1206"/>
      <c r="B84" s="2323" t="s">
        <v>1899</v>
      </c>
      <c r="C84" s="2324"/>
      <c r="D84" s="2324"/>
      <c r="E84" s="2324"/>
      <c r="F84" s="2324"/>
      <c r="G84" s="2324"/>
      <c r="H84" s="2324"/>
      <c r="I84" s="2278">
        <v>0</v>
      </c>
      <c r="J84" s="2278"/>
      <c r="K84" s="2278"/>
      <c r="L84" s="2278"/>
      <c r="M84" s="2278"/>
      <c r="N84" s="2278"/>
      <c r="O84" s="2278">
        <v>0</v>
      </c>
      <c r="P84" s="2278"/>
      <c r="Q84" s="2278"/>
      <c r="R84" s="2278"/>
      <c r="S84" s="2278"/>
      <c r="T84" s="2278"/>
      <c r="U84" s="2278"/>
      <c r="V84" s="2278">
        <v>0</v>
      </c>
      <c r="W84" s="2278"/>
      <c r="X84" s="2278"/>
      <c r="Y84" s="2278"/>
      <c r="Z84" s="2278"/>
      <c r="AA84" s="2278"/>
      <c r="AB84" s="2278">
        <v>0</v>
      </c>
      <c r="AC84" s="2278"/>
      <c r="AD84" s="2278"/>
      <c r="AE84" s="2278"/>
      <c r="AF84" s="2278"/>
      <c r="AG84" s="2278"/>
      <c r="AH84" s="2279"/>
      <c r="AI84" s="1206"/>
      <c r="AJ84" s="2320"/>
      <c r="AK84" s="2321"/>
      <c r="AL84" s="2321"/>
      <c r="AM84" s="2321"/>
      <c r="AN84" s="2321"/>
      <c r="AO84" s="2321"/>
      <c r="AP84" s="2321"/>
      <c r="AQ84" s="2321"/>
      <c r="AR84" s="2321"/>
      <c r="AS84" s="2321"/>
      <c r="AT84" s="2321"/>
      <c r="AU84" s="2321"/>
      <c r="AV84" s="2321"/>
      <c r="AW84" s="2321"/>
      <c r="AX84" s="2321"/>
      <c r="AY84" s="2321"/>
      <c r="AZ84" s="2321"/>
      <c r="BA84" s="2321"/>
      <c r="BB84" s="2322"/>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1900</v>
      </c>
      <c r="P86" s="1206"/>
      <c r="Q86" s="1206"/>
      <c r="R86" s="1206"/>
      <c r="S86" s="1206" t="s">
        <v>252</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244" t="s">
        <v>1901</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1206"/>
      <c r="AJ88" s="2305" t="s">
        <v>2597</v>
      </c>
      <c r="AK88" s="2306"/>
      <c r="AL88" s="2306"/>
      <c r="AM88" s="2306"/>
      <c r="AN88" s="2306"/>
      <c r="AO88" s="2306"/>
      <c r="AP88" s="2306"/>
      <c r="AQ88" s="2306"/>
      <c r="AR88" s="2306"/>
      <c r="AS88" s="2306"/>
      <c r="AT88" s="2306"/>
      <c r="AU88" s="2306"/>
      <c r="AV88" s="2306"/>
      <c r="AW88" s="2306"/>
      <c r="AX88" s="2306"/>
      <c r="AY88" s="2326" t="s">
        <v>554</v>
      </c>
      <c r="AZ88" s="2326"/>
      <c r="BA88" s="2326"/>
      <c r="BB88" s="2327"/>
      <c r="BC88" s="1206"/>
      <c r="BD88" s="1206"/>
      <c r="BE88" s="1212"/>
    </row>
    <row r="89" spans="1:57" ht="16.5" customHeight="1">
      <c r="A89" s="1206"/>
      <c r="B89" s="2325"/>
      <c r="C89" s="2314"/>
      <c r="D89" s="2314"/>
      <c r="E89" s="2314"/>
      <c r="F89" s="2314"/>
      <c r="G89" s="2314"/>
      <c r="H89" s="2314"/>
      <c r="I89" s="2314" t="s">
        <v>1896</v>
      </c>
      <c r="J89" s="2314"/>
      <c r="K89" s="2314"/>
      <c r="L89" s="2314"/>
      <c r="M89" s="2314"/>
      <c r="N89" s="2314"/>
      <c r="O89" s="2314" t="s">
        <v>1897</v>
      </c>
      <c r="P89" s="2314"/>
      <c r="Q89" s="2314"/>
      <c r="R89" s="2314"/>
      <c r="S89" s="2314"/>
      <c r="T89" s="2314"/>
      <c r="U89" s="2314"/>
      <c r="V89" s="2330" t="s">
        <v>2262</v>
      </c>
      <c r="W89" s="2330"/>
      <c r="X89" s="2330"/>
      <c r="Y89" s="2330"/>
      <c r="Z89" s="2330"/>
      <c r="AA89" s="2330"/>
      <c r="AB89" s="2281" t="s">
        <v>1898</v>
      </c>
      <c r="AC89" s="2281"/>
      <c r="AD89" s="2281"/>
      <c r="AE89" s="2281"/>
      <c r="AF89" s="2281"/>
      <c r="AG89" s="2281"/>
      <c r="AH89" s="2331"/>
      <c r="AI89" s="1206"/>
      <c r="AJ89" s="2308"/>
      <c r="AK89" s="2309"/>
      <c r="AL89" s="2309"/>
      <c r="AM89" s="2309"/>
      <c r="AN89" s="2309"/>
      <c r="AO89" s="2309"/>
      <c r="AP89" s="2309"/>
      <c r="AQ89" s="2309"/>
      <c r="AR89" s="2309"/>
      <c r="AS89" s="2309"/>
      <c r="AT89" s="2309"/>
      <c r="AU89" s="2309"/>
      <c r="AV89" s="2309"/>
      <c r="AW89" s="2309"/>
      <c r="AX89" s="2309"/>
      <c r="AY89" s="2328"/>
      <c r="AZ89" s="2328"/>
      <c r="BA89" s="2328"/>
      <c r="BB89" s="2329"/>
      <c r="BC89" s="1206"/>
      <c r="BD89" s="1206"/>
      <c r="BE89" s="1212"/>
    </row>
    <row r="90" spans="1:57" ht="16.5" customHeight="1">
      <c r="A90" s="1206"/>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1206"/>
      <c r="AJ90" s="2308"/>
      <c r="AK90" s="2309"/>
      <c r="AL90" s="2309"/>
      <c r="AM90" s="2309"/>
      <c r="AN90" s="2309"/>
      <c r="AO90" s="2309"/>
      <c r="AP90" s="2309"/>
      <c r="AQ90" s="2309"/>
      <c r="AR90" s="2309"/>
      <c r="AS90" s="2309"/>
      <c r="AT90" s="2309"/>
      <c r="AU90" s="2309"/>
      <c r="AV90" s="2309"/>
      <c r="AW90" s="2309"/>
      <c r="AX90" s="2309"/>
      <c r="AY90" s="2328"/>
      <c r="AZ90" s="2328"/>
      <c r="BA90" s="2328"/>
      <c r="BB90" s="2329"/>
      <c r="BC90" s="1206"/>
      <c r="BD90" s="1206"/>
      <c r="BE90" s="1212"/>
    </row>
    <row r="91" spans="1:57" ht="15.75" customHeight="1">
      <c r="A91" s="1206"/>
      <c r="B91" s="2325" t="s">
        <v>2245</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1206"/>
      <c r="AJ91" s="2308"/>
      <c r="AK91" s="2309"/>
      <c r="AL91" s="2309"/>
      <c r="AM91" s="2309"/>
      <c r="AN91" s="2309"/>
      <c r="AO91" s="2309"/>
      <c r="AP91" s="2309"/>
      <c r="AQ91" s="2309"/>
      <c r="AR91" s="2309"/>
      <c r="AS91" s="2309"/>
      <c r="AT91" s="2309"/>
      <c r="AU91" s="2309"/>
      <c r="AV91" s="2309"/>
      <c r="AW91" s="2309"/>
      <c r="AX91" s="2309"/>
      <c r="AY91" s="2328"/>
      <c r="AZ91" s="2328"/>
      <c r="BA91" s="2328"/>
      <c r="BB91" s="2329"/>
      <c r="BC91" s="1206"/>
      <c r="BD91" s="1206"/>
      <c r="BE91" s="1212"/>
    </row>
    <row r="92" spans="1:57" ht="15.75" customHeight="1">
      <c r="A92" s="1206"/>
      <c r="B92" s="2325" t="s">
        <v>2246</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1206"/>
      <c r="AJ92" s="2317" t="s">
        <v>2263</v>
      </c>
      <c r="AK92" s="2318"/>
      <c r="AL92" s="2318"/>
      <c r="AM92" s="2318"/>
      <c r="AN92" s="2318"/>
      <c r="AO92" s="2318"/>
      <c r="AP92" s="2318"/>
      <c r="AQ92" s="2318"/>
      <c r="AR92" s="2318"/>
      <c r="AS92" s="2318"/>
      <c r="AT92" s="2318"/>
      <c r="AU92" s="2318"/>
      <c r="AV92" s="2318"/>
      <c r="AW92" s="2318"/>
      <c r="AX92" s="2318"/>
      <c r="AY92" s="2318"/>
      <c r="AZ92" s="2318"/>
      <c r="BA92" s="2318"/>
      <c r="BB92" s="2319"/>
      <c r="BC92" s="1206"/>
      <c r="BD92" s="1206"/>
      <c r="BE92" s="1212"/>
    </row>
    <row r="93" spans="1:57" ht="15.75" customHeight="1" thickBot="1">
      <c r="A93" s="1206"/>
      <c r="B93" s="2323" t="s">
        <v>1899</v>
      </c>
      <c r="C93" s="2324"/>
      <c r="D93" s="2324"/>
      <c r="E93" s="2324"/>
      <c r="F93" s="2324"/>
      <c r="G93" s="2324"/>
      <c r="H93" s="2324"/>
      <c r="I93" s="2278">
        <v>0</v>
      </c>
      <c r="J93" s="2278"/>
      <c r="K93" s="2278"/>
      <c r="L93" s="2278"/>
      <c r="M93" s="2278"/>
      <c r="N93" s="2278"/>
      <c r="O93" s="2278">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1206"/>
      <c r="AJ93" s="2320"/>
      <c r="AK93" s="2321"/>
      <c r="AL93" s="2321"/>
      <c r="AM93" s="2321"/>
      <c r="AN93" s="2321"/>
      <c r="AO93" s="2321"/>
      <c r="AP93" s="2321"/>
      <c r="AQ93" s="2321"/>
      <c r="AR93" s="2321"/>
      <c r="AS93" s="2321"/>
      <c r="AT93" s="2321"/>
      <c r="AU93" s="2321"/>
      <c r="AV93" s="2321"/>
      <c r="AW93" s="2321"/>
      <c r="AX93" s="2321"/>
      <c r="AY93" s="2321"/>
      <c r="AZ93" s="2321"/>
      <c r="BA93" s="2321"/>
      <c r="BB93" s="2322"/>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252</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1902</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05" t="s">
        <v>2247</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212"/>
    </row>
    <row r="97" spans="1:57" ht="15.75" customHeight="1">
      <c r="A97" s="1206"/>
      <c r="B97" s="2311" t="s">
        <v>1753</v>
      </c>
      <c r="C97" s="2312"/>
      <c r="D97" s="2312"/>
      <c r="E97" s="2312"/>
      <c r="F97" s="2312"/>
      <c r="G97" s="2312"/>
      <c r="H97" s="2312"/>
      <c r="I97" s="2312"/>
      <c r="J97" s="2312"/>
      <c r="K97" s="2312"/>
      <c r="L97" s="2312"/>
      <c r="M97" s="2312"/>
      <c r="N97" s="2312"/>
      <c r="O97" s="2312"/>
      <c r="P97" s="2312"/>
      <c r="Q97" s="2312"/>
      <c r="R97" s="2312"/>
      <c r="S97" s="2312"/>
      <c r="T97" s="2312"/>
      <c r="U97" s="2313"/>
      <c r="V97" s="1206"/>
      <c r="W97" s="1206"/>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212"/>
    </row>
    <row r="98" spans="1:57" ht="15.75" customHeight="1">
      <c r="A98" s="1206"/>
      <c r="B98" s="2254"/>
      <c r="C98" s="2255"/>
      <c r="D98" s="2255"/>
      <c r="E98" s="2255"/>
      <c r="F98" s="2255"/>
      <c r="G98" s="2255"/>
      <c r="H98" s="2255"/>
      <c r="I98" s="2314" t="s">
        <v>2248</v>
      </c>
      <c r="J98" s="2314"/>
      <c r="K98" s="2314"/>
      <c r="L98" s="2314"/>
      <c r="M98" s="2314"/>
      <c r="N98" s="2314"/>
      <c r="O98" s="2315" t="s">
        <v>2249</v>
      </c>
      <c r="P98" s="2315"/>
      <c r="Q98" s="2315"/>
      <c r="R98" s="2315"/>
      <c r="S98" s="2315"/>
      <c r="T98" s="2315"/>
      <c r="U98" s="2316"/>
      <c r="V98" s="1206"/>
      <c r="W98" s="1206"/>
      <c r="X98" s="2257" t="s">
        <v>2261</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1212"/>
    </row>
    <row r="99" spans="1:57" ht="15.75" customHeight="1">
      <c r="A99" s="1206"/>
      <c r="B99" s="2282" t="s">
        <v>2250</v>
      </c>
      <c r="C99" s="2283"/>
      <c r="D99" s="2283"/>
      <c r="E99" s="2283"/>
      <c r="F99" s="2283"/>
      <c r="G99" s="2283"/>
      <c r="H99" s="2283"/>
      <c r="I99" s="2284">
        <v>0</v>
      </c>
      <c r="J99" s="2284"/>
      <c r="K99" s="2284"/>
      <c r="L99" s="2284"/>
      <c r="M99" s="2284"/>
      <c r="N99" s="2284"/>
      <c r="O99" s="2284">
        <v>0</v>
      </c>
      <c r="P99" s="2284"/>
      <c r="Q99" s="2284"/>
      <c r="R99" s="2284"/>
      <c r="S99" s="2284"/>
      <c r="T99" s="2284"/>
      <c r="U99" s="2285"/>
      <c r="V99" s="1206"/>
      <c r="W99" s="1206"/>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1212"/>
    </row>
    <row r="100" spans="1:57" ht="15.75" customHeight="1" thickBot="1">
      <c r="A100" s="1206"/>
      <c r="B100" s="2276" t="s">
        <v>2251</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1206"/>
      <c r="W100" s="1206"/>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1212"/>
    </row>
    <row r="102" spans="1:57" ht="15.75" customHeight="1">
      <c r="A102" s="1206"/>
      <c r="B102" s="1220" t="s">
        <v>1903</v>
      </c>
      <c r="C102" s="1220"/>
      <c r="D102" s="1220"/>
      <c r="E102" s="1220"/>
      <c r="F102" s="1220"/>
      <c r="G102" s="1220"/>
      <c r="H102" s="1220"/>
      <c r="I102" s="1220"/>
      <c r="J102" s="1220"/>
      <c r="K102" s="1220"/>
      <c r="L102" s="1220"/>
      <c r="M102" s="1220"/>
      <c r="N102" s="1220"/>
      <c r="O102" s="1220"/>
      <c r="P102" s="1220"/>
      <c r="Q102" s="1213" t="s">
        <v>252</v>
      </c>
      <c r="R102" s="1213" t="s">
        <v>252</v>
      </c>
      <c r="S102" s="1206"/>
      <c r="T102" s="1206"/>
      <c r="U102" s="1206"/>
      <c r="V102" s="1206" t="s">
        <v>252</v>
      </c>
      <c r="W102" s="1206"/>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1212"/>
    </row>
    <row r="104" spans="1:57" ht="15.75" customHeight="1">
      <c r="A104" s="1206"/>
      <c r="B104" s="2302" t="s">
        <v>1904</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206"/>
      <c r="W104" s="1206"/>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1212"/>
    </row>
    <row r="105" spans="1:57" ht="15.75" customHeight="1">
      <c r="A105" s="1206"/>
      <c r="B105" s="2254"/>
      <c r="C105" s="2255"/>
      <c r="D105" s="2255"/>
      <c r="E105" s="2255"/>
      <c r="F105" s="2255"/>
      <c r="G105" s="2255"/>
      <c r="H105" s="2255"/>
      <c r="I105" s="2286" t="s">
        <v>1897</v>
      </c>
      <c r="J105" s="2286"/>
      <c r="K105" s="2286"/>
      <c r="L105" s="2286"/>
      <c r="M105" s="2286"/>
      <c r="N105" s="2286"/>
      <c r="O105" s="2286"/>
      <c r="P105" s="2286" t="s">
        <v>2262</v>
      </c>
      <c r="Q105" s="2286"/>
      <c r="R105" s="2286"/>
      <c r="S105" s="2286"/>
      <c r="T105" s="2286"/>
      <c r="U105" s="2287"/>
      <c r="V105" s="1206"/>
      <c r="W105" s="1206"/>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1212"/>
    </row>
    <row r="106" spans="1:57" ht="15.75" customHeight="1">
      <c r="A106" s="1206"/>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1206"/>
      <c r="W106" s="1206"/>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1212"/>
    </row>
    <row r="107" spans="1:57" ht="15.75" customHeight="1">
      <c r="A107" s="1206"/>
      <c r="B107" s="2282" t="s">
        <v>2250</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1206"/>
      <c r="W107" s="1206"/>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1212"/>
    </row>
    <row r="108" spans="1:57" ht="15.75" customHeight="1" thickBot="1">
      <c r="A108" s="1206"/>
      <c r="B108" s="2276" t="s">
        <v>2251</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1206"/>
      <c r="W108" s="1206"/>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251" t="s">
        <v>1905</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554</v>
      </c>
      <c r="AI110" s="2288"/>
      <c r="AJ110" s="2288"/>
      <c r="AK110" s="2288"/>
      <c r="AL110" s="2288"/>
      <c r="AM110" s="2288"/>
      <c r="AN110" s="2288"/>
      <c r="AO110" s="2288"/>
      <c r="AP110" s="2288"/>
      <c r="AQ110" s="2288"/>
      <c r="AR110" s="2288"/>
      <c r="AS110" s="2288"/>
      <c r="AT110" s="2288"/>
      <c r="AU110" s="2288"/>
      <c r="AV110" s="2288"/>
      <c r="AW110" s="2288"/>
      <c r="AX110" s="2289"/>
      <c r="AY110" s="1206"/>
      <c r="AZ110" s="1206"/>
      <c r="BA110" s="1206"/>
      <c r="BB110" s="1206"/>
      <c r="BC110" s="1206"/>
      <c r="BD110" s="1206"/>
      <c r="BE110" s="1212"/>
    </row>
    <row r="111" spans="1:57" ht="15.75" customHeight="1">
      <c r="A111" s="1206"/>
      <c r="B111" s="2290" t="s">
        <v>1906</v>
      </c>
      <c r="C111" s="2291"/>
      <c r="D111" s="2291"/>
      <c r="E111" s="2291"/>
      <c r="F111" s="2291"/>
      <c r="G111" s="2291"/>
      <c r="H111" s="2291"/>
      <c r="I111" s="2291"/>
      <c r="J111" s="2291"/>
      <c r="K111" s="2291"/>
      <c r="L111" s="2291"/>
      <c r="M111" s="2291"/>
      <c r="N111" s="2291"/>
      <c r="O111" s="2291"/>
      <c r="P111" s="2291"/>
      <c r="Q111" s="2291"/>
      <c r="R111" s="2292" t="s">
        <v>2264</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1206"/>
      <c r="AZ111" s="1206"/>
      <c r="BA111" s="1206"/>
      <c r="BB111" s="1206"/>
      <c r="BC111" s="1206" t="s">
        <v>252</v>
      </c>
      <c r="BD111" s="1206"/>
      <c r="BE111" s="1212"/>
    </row>
    <row r="112" spans="1:57" ht="15.75" customHeight="1">
      <c r="A112" s="1206"/>
      <c r="B112" s="2294" t="s">
        <v>2265</v>
      </c>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1206"/>
      <c r="AZ112" s="1206"/>
      <c r="BA112" s="1206"/>
      <c r="BB112" s="1206"/>
      <c r="BC112" s="1206"/>
      <c r="BD112" s="1206"/>
      <c r="BE112" s="1212"/>
    </row>
    <row r="113" spans="1:57" ht="15.75" customHeight="1">
      <c r="A113" s="1206"/>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1206"/>
      <c r="AZ113" s="1206"/>
      <c r="BA113" s="1206"/>
      <c r="BB113" s="1206"/>
      <c r="BC113" s="1206"/>
      <c r="BD113" s="1206"/>
      <c r="BE113" s="1212"/>
    </row>
    <row r="114" spans="1:57" ht="15.75" customHeight="1">
      <c r="A114" s="1206"/>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1206"/>
      <c r="AZ114" s="1206"/>
      <c r="BA114" s="1206"/>
      <c r="BB114" s="1206"/>
      <c r="BC114" s="1206"/>
      <c r="BD114" s="1206"/>
      <c r="BE114" s="1212"/>
    </row>
    <row r="115" spans="1:57" ht="15.75" customHeight="1">
      <c r="A115" s="1206"/>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1206"/>
      <c r="AZ115" s="1206"/>
      <c r="BA115" s="1206"/>
      <c r="BB115" s="1206"/>
      <c r="BC115" s="1206"/>
      <c r="BD115" s="1206"/>
      <c r="BE115" s="1212"/>
    </row>
    <row r="116" spans="1:57" ht="15.75" customHeight="1">
      <c r="A116" s="1206"/>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1206"/>
      <c r="AZ116" s="1206"/>
      <c r="BA116" s="1206"/>
      <c r="BB116" s="1206"/>
      <c r="BC116" s="1206"/>
      <c r="BD116" s="1206"/>
      <c r="BE116" s="1212"/>
    </row>
    <row r="117" spans="1:57" ht="15.75" customHeight="1">
      <c r="A117" s="1206"/>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1206"/>
      <c r="AZ117" s="1206"/>
      <c r="BA117" s="1206"/>
      <c r="BB117" s="1206"/>
      <c r="BC117" s="1206"/>
      <c r="BD117" s="1206"/>
      <c r="BE117" s="1212"/>
    </row>
    <row r="118" spans="1:57" ht="15.75" customHeight="1">
      <c r="A118" s="1206"/>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1206"/>
      <c r="AZ118" s="1206"/>
      <c r="BA118" s="1206"/>
      <c r="BB118" s="1206"/>
      <c r="BC118" s="1206"/>
      <c r="BD118" s="1206"/>
      <c r="BE118" s="1212"/>
    </row>
    <row r="119" spans="1:57" ht="15.75" customHeight="1">
      <c r="A119" s="1206"/>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1206"/>
      <c r="AZ119" s="1206"/>
      <c r="BA119" s="1206"/>
      <c r="BB119" s="1206"/>
      <c r="BC119" s="1206"/>
      <c r="BD119" s="1206"/>
      <c r="BE119" s="1212"/>
    </row>
    <row r="120" spans="1:57" ht="15.75" customHeight="1">
      <c r="A120" s="1206"/>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1206"/>
      <c r="AZ120" s="1206"/>
      <c r="BA120" s="1206"/>
      <c r="BB120" s="1206"/>
      <c r="BC120" s="1206"/>
      <c r="BD120" s="1206"/>
      <c r="BE120" s="1212"/>
    </row>
    <row r="121" spans="1:57" ht="15.75" customHeight="1" thickBot="1">
      <c r="A121" s="1206"/>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1907</v>
      </c>
      <c r="C123" s="1216"/>
      <c r="D123" s="1216"/>
      <c r="E123" s="1216"/>
      <c r="F123" s="1216"/>
      <c r="G123" s="1216"/>
      <c r="H123" s="1216"/>
      <c r="I123" s="1216"/>
      <c r="J123" s="1216"/>
      <c r="K123" s="1216"/>
      <c r="L123" s="1216"/>
      <c r="M123" s="1216"/>
      <c r="N123" s="1213"/>
      <c r="O123" s="1213"/>
      <c r="P123" s="1206"/>
      <c r="Q123" s="1206"/>
      <c r="R123" s="1206"/>
      <c r="S123" s="1206"/>
      <c r="T123" s="1206"/>
      <c r="U123" s="1206" t="s">
        <v>252</v>
      </c>
      <c r="V123" s="1206"/>
      <c r="W123" s="1206"/>
      <c r="X123" s="1220" t="s">
        <v>2266</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80" t="s">
        <v>1908</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206"/>
      <c r="W125" s="1208"/>
      <c r="X125" s="2280" t="s">
        <v>2267</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206"/>
      <c r="AS125" s="1206"/>
      <c r="AT125" s="1206"/>
      <c r="AU125" s="1206"/>
      <c r="AV125" s="1206"/>
      <c r="AW125" s="1206"/>
      <c r="AX125" s="1206"/>
      <c r="AY125" s="1206"/>
      <c r="AZ125" s="1206"/>
      <c r="BA125" s="1206"/>
      <c r="BB125" s="1206"/>
      <c r="BC125" s="1206"/>
      <c r="BD125" s="1206"/>
      <c r="BE125" s="1212"/>
    </row>
    <row r="126" spans="1:57" ht="15.75" customHeight="1">
      <c r="A126" s="1206"/>
      <c r="B126" s="2254"/>
      <c r="C126" s="2255"/>
      <c r="D126" s="2255"/>
      <c r="E126" s="2255"/>
      <c r="F126" s="2255"/>
      <c r="G126" s="2255"/>
      <c r="H126" s="2255"/>
      <c r="I126" s="2286" t="s">
        <v>1897</v>
      </c>
      <c r="J126" s="2286"/>
      <c r="K126" s="2286"/>
      <c r="L126" s="2286"/>
      <c r="M126" s="2286"/>
      <c r="N126" s="2286"/>
      <c r="O126" s="2286"/>
      <c r="P126" s="2286" t="s">
        <v>2268</v>
      </c>
      <c r="Q126" s="2286"/>
      <c r="R126" s="2286"/>
      <c r="S126" s="2286"/>
      <c r="T126" s="2286"/>
      <c r="U126" s="2287"/>
      <c r="V126" s="1206"/>
      <c r="W126" s="1206"/>
      <c r="X126" s="2254"/>
      <c r="Y126" s="2255"/>
      <c r="Z126" s="2255"/>
      <c r="AA126" s="2255"/>
      <c r="AB126" s="2255"/>
      <c r="AC126" s="2255"/>
      <c r="AD126" s="2255"/>
      <c r="AE126" s="2286" t="s">
        <v>1897</v>
      </c>
      <c r="AF126" s="2286"/>
      <c r="AG126" s="2286"/>
      <c r="AH126" s="2286"/>
      <c r="AI126" s="2286"/>
      <c r="AJ126" s="2286"/>
      <c r="AK126" s="2286"/>
      <c r="AL126" s="2286" t="s">
        <v>2262</v>
      </c>
      <c r="AM126" s="2286"/>
      <c r="AN126" s="2286"/>
      <c r="AO126" s="2286"/>
      <c r="AP126" s="2286"/>
      <c r="AQ126" s="2287"/>
      <c r="AR126" s="1206"/>
      <c r="AS126" s="1206"/>
      <c r="AT126" s="1206"/>
      <c r="AU126" s="1206"/>
      <c r="AV126" s="1206"/>
      <c r="AW126" s="1206"/>
      <c r="AX126" s="1206"/>
      <c r="AY126" s="1206"/>
      <c r="AZ126" s="1206"/>
      <c r="BA126" s="1206"/>
      <c r="BB126" s="1206"/>
      <c r="BC126" s="1206"/>
      <c r="BD126" s="1206"/>
      <c r="BE126" s="1212"/>
    </row>
    <row r="127" spans="1:57" ht="15.75" customHeight="1">
      <c r="A127" s="1206"/>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1206"/>
      <c r="W127" s="1206"/>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282" t="s">
        <v>2250</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1206"/>
      <c r="W128" s="1206"/>
      <c r="X128" s="2276" t="s">
        <v>2250</v>
      </c>
      <c r="Y128" s="2277"/>
      <c r="Z128" s="2277"/>
      <c r="AA128" s="2277"/>
      <c r="AB128" s="2277"/>
      <c r="AC128" s="2277"/>
      <c r="AD128" s="2277"/>
      <c r="AE128" s="2278">
        <v>0</v>
      </c>
      <c r="AF128" s="2278"/>
      <c r="AG128" s="2278"/>
      <c r="AH128" s="2278"/>
      <c r="AI128" s="2278"/>
      <c r="AJ128" s="2278"/>
      <c r="AK128" s="2278"/>
      <c r="AL128" s="2278">
        <v>0</v>
      </c>
      <c r="AM128" s="2278"/>
      <c r="AN128" s="2278"/>
      <c r="AO128" s="2278"/>
      <c r="AP128" s="2278"/>
      <c r="AQ128" s="2279"/>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276" t="s">
        <v>2251</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80" t="s">
        <v>2252</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254" t="s">
        <v>1909</v>
      </c>
      <c r="D132" s="2255"/>
      <c r="E132" s="2255"/>
      <c r="F132" s="2255"/>
      <c r="G132" s="2255"/>
      <c r="H132" s="2255"/>
      <c r="I132" s="2255"/>
      <c r="J132" s="2255"/>
      <c r="K132" s="2255"/>
      <c r="L132" s="2255"/>
      <c r="M132" s="2255"/>
      <c r="N132" s="2255"/>
      <c r="O132" s="2255"/>
      <c r="P132" s="2255"/>
      <c r="Q132" s="2255" t="s">
        <v>1910</v>
      </c>
      <c r="R132" s="2255"/>
      <c r="S132" s="2255"/>
      <c r="T132" s="2281" t="s">
        <v>2253</v>
      </c>
      <c r="U132" s="2281"/>
      <c r="V132" s="2281"/>
      <c r="W132" s="2281"/>
      <c r="X132" s="2281"/>
      <c r="Y132" s="2281"/>
      <c r="Z132" s="2281"/>
      <c r="AA132" s="2281"/>
      <c r="AB132" s="2255" t="s">
        <v>1911</v>
      </c>
      <c r="AC132" s="2255"/>
      <c r="AD132" s="2255"/>
      <c r="AE132" s="2255"/>
      <c r="AF132" s="2255"/>
      <c r="AG132" s="2256"/>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263" t="s">
        <v>1912</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1224"/>
      <c r="AC133" s="1224"/>
      <c r="AD133" s="1224"/>
      <c r="AE133" s="1224"/>
      <c r="AF133" s="1224"/>
      <c r="AG133" s="1225"/>
      <c r="AH133" s="1206"/>
      <c r="AI133" s="1206"/>
      <c r="AJ133" s="1206"/>
      <c r="AK133" s="1206"/>
      <c r="AL133" s="1206"/>
      <c r="AM133" s="1206"/>
      <c r="AN133" s="1206"/>
      <c r="AO133" s="1206"/>
      <c r="AP133" s="1206" t="s">
        <v>252</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263" t="s">
        <v>1913</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263" t="s">
        <v>1914</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263" t="s">
        <v>1882</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263" t="s">
        <v>171</v>
      </c>
      <c r="D137" s="2264"/>
      <c r="E137" s="2264"/>
      <c r="F137" s="2265" t="s">
        <v>1915</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263" t="s">
        <v>171</v>
      </c>
      <c r="D138" s="2264"/>
      <c r="E138" s="2264"/>
      <c r="F138" s="2265" t="s">
        <v>1915</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1206"/>
      <c r="AI138" s="1206"/>
      <c r="AJ138" s="1206"/>
      <c r="AK138" s="1206" t="s">
        <v>252</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269" t="s">
        <v>171</v>
      </c>
      <c r="D139" s="2270"/>
      <c r="E139" s="2270"/>
      <c r="F139" s="2271" t="s">
        <v>1915</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244" t="s">
        <v>1916</v>
      </c>
      <c r="D141" s="2245"/>
      <c r="E141" s="2245"/>
      <c r="F141" s="2245"/>
      <c r="G141" s="2245"/>
      <c r="H141" s="2245"/>
      <c r="I141" s="2245"/>
      <c r="J141" s="2245"/>
      <c r="K141" s="2245"/>
      <c r="L141" s="2245"/>
      <c r="M141" s="2245"/>
      <c r="N141" s="2250"/>
      <c r="O141" s="1206"/>
      <c r="P141" s="2251" t="s">
        <v>1917</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254" t="s">
        <v>1918</v>
      </c>
      <c r="D142" s="2255"/>
      <c r="E142" s="2255"/>
      <c r="F142" s="2255"/>
      <c r="G142" s="2255"/>
      <c r="H142" s="2255"/>
      <c r="I142" s="2255" t="s">
        <v>1919</v>
      </c>
      <c r="J142" s="2255"/>
      <c r="K142" s="2255"/>
      <c r="L142" s="2255"/>
      <c r="M142" s="2255"/>
      <c r="N142" s="2256"/>
      <c r="O142" s="1206"/>
      <c r="P142" s="2257" t="s">
        <v>2261</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04"/>
      <c r="D143" s="2205"/>
      <c r="E143" s="2205"/>
      <c r="F143" s="2205"/>
      <c r="G143" s="2205"/>
      <c r="H143" s="2205"/>
      <c r="I143" s="2248"/>
      <c r="J143" s="2248"/>
      <c r="K143" s="2248"/>
      <c r="L143" s="2248"/>
      <c r="M143" s="2248"/>
      <c r="N143" s="2249"/>
      <c r="O143" s="1206"/>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04"/>
      <c r="D144" s="2205"/>
      <c r="E144" s="2205"/>
      <c r="F144" s="2205"/>
      <c r="G144" s="2205"/>
      <c r="H144" s="2205"/>
      <c r="I144" s="2248"/>
      <c r="J144" s="2248"/>
      <c r="K144" s="2248"/>
      <c r="L144" s="2248"/>
      <c r="M144" s="2248"/>
      <c r="N144" s="2249"/>
      <c r="O144" s="1206"/>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04"/>
      <c r="D145" s="2205"/>
      <c r="E145" s="2205"/>
      <c r="F145" s="2205"/>
      <c r="G145" s="2205"/>
      <c r="H145" s="2205"/>
      <c r="I145" s="2248"/>
      <c r="J145" s="2248"/>
      <c r="K145" s="2248"/>
      <c r="L145" s="2248"/>
      <c r="M145" s="2248"/>
      <c r="N145" s="2249"/>
      <c r="O145" s="1206"/>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04"/>
      <c r="D146" s="2205"/>
      <c r="E146" s="2205"/>
      <c r="F146" s="2205"/>
      <c r="G146" s="2205"/>
      <c r="H146" s="2205"/>
      <c r="I146" s="2248"/>
      <c r="J146" s="2248"/>
      <c r="K146" s="2248"/>
      <c r="L146" s="2248"/>
      <c r="M146" s="2248"/>
      <c r="N146" s="2249"/>
      <c r="O146" s="1206"/>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04"/>
      <c r="D147" s="2205"/>
      <c r="E147" s="2205"/>
      <c r="F147" s="2205"/>
      <c r="G147" s="2205"/>
      <c r="H147" s="2205"/>
      <c r="I147" s="2248"/>
      <c r="J147" s="2248"/>
      <c r="K147" s="2248"/>
      <c r="L147" s="2248"/>
      <c r="M147" s="2248"/>
      <c r="N147" s="2249"/>
      <c r="O147" s="1206"/>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04"/>
      <c r="D148" s="2205"/>
      <c r="E148" s="2205"/>
      <c r="F148" s="2205"/>
      <c r="G148" s="2205"/>
      <c r="H148" s="2205"/>
      <c r="I148" s="2248"/>
      <c r="J148" s="2248"/>
      <c r="K148" s="2248"/>
      <c r="L148" s="2248"/>
      <c r="M148" s="2248"/>
      <c r="N148" s="2249"/>
      <c r="O148" s="1206"/>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239"/>
      <c r="D149" s="2240"/>
      <c r="E149" s="2240"/>
      <c r="F149" s="2240"/>
      <c r="G149" s="2240"/>
      <c r="H149" s="2240"/>
      <c r="I149" s="2241"/>
      <c r="J149" s="2241"/>
      <c r="K149" s="2241"/>
      <c r="L149" s="2241"/>
      <c r="M149" s="2241"/>
      <c r="N149" s="2242"/>
      <c r="O149" s="1206"/>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243" t="s">
        <v>2598</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1206"/>
      <c r="AG151" s="1206"/>
      <c r="AH151" s="1206"/>
      <c r="AI151" s="1206" t="s">
        <v>252</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1206"/>
      <c r="AG152" s="1206"/>
      <c r="AH152" s="1226" t="s">
        <v>1921</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244" t="s">
        <v>1909</v>
      </c>
      <c r="D153" s="2245"/>
      <c r="E153" s="2245"/>
      <c r="F153" s="2245"/>
      <c r="G153" s="2245"/>
      <c r="H153" s="2245"/>
      <c r="I153" s="2245"/>
      <c r="J153" s="2245"/>
      <c r="K153" s="2245"/>
      <c r="L153" s="2245"/>
      <c r="M153" s="2245"/>
      <c r="N153" s="2245" t="s">
        <v>1920</v>
      </c>
      <c r="O153" s="2245"/>
      <c r="P153" s="2245"/>
      <c r="Q153" s="2245"/>
      <c r="R153" s="2245"/>
      <c r="S153" s="2245"/>
      <c r="T153" s="2245"/>
      <c r="U153" s="2246" t="s">
        <v>1909</v>
      </c>
      <c r="V153" s="2246"/>
      <c r="W153" s="2246"/>
      <c r="X153" s="2246"/>
      <c r="Y153" s="2246"/>
      <c r="Z153" s="2246"/>
      <c r="AA153" s="2246"/>
      <c r="AB153" s="2246"/>
      <c r="AC153" s="2246"/>
      <c r="AD153" s="2246"/>
      <c r="AE153" s="2247"/>
      <c r="AF153" s="1206"/>
      <c r="AG153" s="1206"/>
      <c r="AH153" s="1232" t="s">
        <v>1922</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16" t="s">
        <v>2599</v>
      </c>
      <c r="D154" s="2217"/>
      <c r="E154" s="2217"/>
      <c r="F154" s="2217"/>
      <c r="G154" s="2217"/>
      <c r="H154" s="2217"/>
      <c r="I154" s="2217"/>
      <c r="J154" s="2217"/>
      <c r="K154" s="2217"/>
      <c r="L154" s="2217"/>
      <c r="M154" s="2217"/>
      <c r="N154" s="2233">
        <f>'Sources and Uses Budget'!B105</f>
        <v>164557781</v>
      </c>
      <c r="O154" s="2233"/>
      <c r="P154" s="2233"/>
      <c r="Q154" s="2233"/>
      <c r="R154" s="2233"/>
      <c r="S154" s="2233"/>
      <c r="T154" s="2233"/>
      <c r="U154" s="2234"/>
      <c r="V154" s="2234"/>
      <c r="W154" s="2234"/>
      <c r="X154" s="2234"/>
      <c r="Y154" s="2234"/>
      <c r="Z154" s="2234"/>
      <c r="AA154" s="2234"/>
      <c r="AB154" s="2234"/>
      <c r="AC154" s="2234"/>
      <c r="AD154" s="2234"/>
      <c r="AE154" s="2235"/>
      <c r="AF154" s="1206"/>
      <c r="AG154" s="1206"/>
      <c r="AH154" s="1232" t="s">
        <v>2600</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16" t="s">
        <v>2601</v>
      </c>
      <c r="D155" s="2217"/>
      <c r="E155" s="2217"/>
      <c r="F155" s="2217"/>
      <c r="G155" s="2217"/>
      <c r="H155" s="2217"/>
      <c r="I155" s="2217"/>
      <c r="J155" s="2217"/>
      <c r="K155" s="2217"/>
      <c r="L155" s="2217"/>
      <c r="M155" s="2217"/>
      <c r="N155" s="2233">
        <f>N154/J29</f>
        <v>934987.39204545459</v>
      </c>
      <c r="O155" s="2233"/>
      <c r="P155" s="2233"/>
      <c r="Q155" s="2233"/>
      <c r="R155" s="2233"/>
      <c r="S155" s="2233"/>
      <c r="T155" s="2233"/>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236" t="s">
        <v>2602</v>
      </c>
      <c r="D156" s="2237"/>
      <c r="E156" s="2237"/>
      <c r="F156" s="2237"/>
      <c r="G156" s="2237"/>
      <c r="H156" s="2237"/>
      <c r="I156" s="2237"/>
      <c r="J156" s="2237"/>
      <c r="K156" s="2237"/>
      <c r="L156" s="2237"/>
      <c r="M156" s="2237"/>
      <c r="N156" s="2238">
        <v>0</v>
      </c>
      <c r="O156" s="2238"/>
      <c r="P156" s="2238"/>
      <c r="Q156" s="2238"/>
      <c r="R156" s="2238"/>
      <c r="S156" s="2238"/>
      <c r="T156" s="2238"/>
      <c r="U156" s="2208"/>
      <c r="V156" s="2208"/>
      <c r="W156" s="2208"/>
      <c r="X156" s="2208"/>
      <c r="Y156" s="2208"/>
      <c r="Z156" s="2208"/>
      <c r="AA156" s="2208"/>
      <c r="AB156" s="2208"/>
      <c r="AC156" s="2208"/>
      <c r="AD156" s="2208"/>
      <c r="AE156" s="2209"/>
      <c r="AF156" s="1206"/>
      <c r="AG156" s="1206"/>
      <c r="AH156" s="2218" t="s">
        <v>2269</v>
      </c>
      <c r="AI156" s="2219"/>
      <c r="AJ156" s="2219"/>
      <c r="AK156" s="2219"/>
      <c r="AL156" s="2219"/>
      <c r="AM156" s="2219"/>
      <c r="AN156" s="2219"/>
      <c r="AO156" s="2219"/>
      <c r="AP156" s="2219"/>
      <c r="AQ156" s="2219"/>
      <c r="AR156" s="2219"/>
      <c r="AS156" s="2220">
        <f>SUM(AS152:AW154)</f>
        <v>0</v>
      </c>
      <c r="AT156" s="2220"/>
      <c r="AU156" s="2220"/>
      <c r="AV156" s="2220"/>
      <c r="AW156" s="2221"/>
      <c r="AX156" s="1206"/>
      <c r="AY156" s="1206"/>
      <c r="AZ156" s="1206"/>
      <c r="BA156" s="1206"/>
      <c r="BB156" s="1206"/>
      <c r="BC156" s="1206"/>
      <c r="BD156" s="1206"/>
      <c r="BE156" s="1212"/>
    </row>
    <row r="157" spans="1:57" ht="15.75" customHeight="1" thickBot="1">
      <c r="A157" s="1206"/>
      <c r="B157" s="1206"/>
      <c r="C157" s="2216" t="s">
        <v>2603</v>
      </c>
      <c r="D157" s="2217"/>
      <c r="E157" s="2217"/>
      <c r="F157" s="2217"/>
      <c r="G157" s="2217"/>
      <c r="H157" s="2217"/>
      <c r="I157" s="2217"/>
      <c r="J157" s="2217"/>
      <c r="K157" s="2217"/>
      <c r="L157" s="2217"/>
      <c r="M157" s="2217"/>
      <c r="N157" s="2222">
        <f>SUM('Sources and Uses Budget'!B85:B86)</f>
        <v>4496471</v>
      </c>
      <c r="O157" s="2222"/>
      <c r="P157" s="2222"/>
      <c r="Q157" s="2222"/>
      <c r="R157" s="2222"/>
      <c r="S157" s="2222"/>
      <c r="T157" s="2222"/>
      <c r="U157" s="2208"/>
      <c r="V157" s="2208"/>
      <c r="W157" s="2208"/>
      <c r="X157" s="2208"/>
      <c r="Y157" s="2208"/>
      <c r="Z157" s="2208"/>
      <c r="AA157" s="2208"/>
      <c r="AB157" s="2208"/>
      <c r="AC157" s="2208"/>
      <c r="AD157" s="2208"/>
      <c r="AE157" s="2209"/>
      <c r="AF157" s="1206"/>
      <c r="AG157" s="1206"/>
      <c r="AH157" s="1246" t="s">
        <v>2604</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16" t="s">
        <v>2605</v>
      </c>
      <c r="D158" s="2217"/>
      <c r="E158" s="2217"/>
      <c r="F158" s="2217"/>
      <c r="G158" s="2217"/>
      <c r="H158" s="2217"/>
      <c r="I158" s="2217"/>
      <c r="J158" s="2217"/>
      <c r="K158" s="2217"/>
      <c r="L158" s="2217"/>
      <c r="M158" s="2217"/>
      <c r="N158" s="2222">
        <f>'Sources and Uses Budget'!B8</f>
        <v>13957923</v>
      </c>
      <c r="O158" s="2222"/>
      <c r="P158" s="2222"/>
      <c r="Q158" s="2222"/>
      <c r="R158" s="2222"/>
      <c r="S158" s="2222"/>
      <c r="T158" s="2222"/>
      <c r="U158" s="2208"/>
      <c r="V158" s="2208"/>
      <c r="W158" s="2208"/>
      <c r="X158" s="2208"/>
      <c r="Y158" s="2208"/>
      <c r="Z158" s="2208"/>
      <c r="AA158" s="2208"/>
      <c r="AB158" s="2208"/>
      <c r="AC158" s="2208"/>
      <c r="AD158" s="2208"/>
      <c r="AE158" s="2209"/>
      <c r="AF158" s="1206"/>
      <c r="AG158" s="1206"/>
      <c r="AH158" s="2223" t="s">
        <v>2606</v>
      </c>
      <c r="AI158" s="2224"/>
      <c r="AJ158" s="2224"/>
      <c r="AK158" s="2224"/>
      <c r="AL158" s="2224"/>
      <c r="AM158" s="2224"/>
      <c r="AN158" s="2224"/>
      <c r="AO158" s="2224"/>
      <c r="AP158" s="2224"/>
      <c r="AQ158" s="2224"/>
      <c r="AR158" s="2225"/>
      <c r="AS158" s="2229" t="s">
        <v>2607</v>
      </c>
      <c r="AT158" s="2212"/>
      <c r="AU158" s="2212"/>
      <c r="AV158" s="2212"/>
      <c r="AW158" s="2212"/>
      <c r="AX158" s="2230"/>
      <c r="AY158" s="2212" t="s">
        <v>2608</v>
      </c>
      <c r="AZ158" s="2212"/>
      <c r="BA158" s="2212"/>
      <c r="BB158" s="2212"/>
      <c r="BC158" s="2212"/>
      <c r="BD158" s="2213"/>
      <c r="BE158" s="1212"/>
    </row>
    <row r="159" spans="1:57" ht="15.75" customHeight="1">
      <c r="A159" s="1206"/>
      <c r="B159" s="1206"/>
      <c r="C159" s="2216" t="s">
        <v>2609</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1206"/>
      <c r="AG159" s="1206"/>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1212"/>
    </row>
    <row r="160" spans="1:57" ht="15.75" customHeight="1">
      <c r="A160" s="1206"/>
      <c r="B160" s="1206"/>
      <c r="C160" s="2216" t="s">
        <v>2610</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1206"/>
      <c r="AG160" s="1206"/>
      <c r="AH160" s="2183" t="s">
        <v>2270</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1212"/>
    </row>
    <row r="161" spans="1:57" ht="15.75" customHeight="1">
      <c r="A161" s="1206"/>
      <c r="B161" s="1206"/>
      <c r="C161" s="2210" t="s">
        <v>302</v>
      </c>
      <c r="D161" s="2211"/>
      <c r="E161" s="2206" t="s">
        <v>1915</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1206"/>
      <c r="AG161" s="1206"/>
      <c r="AH161" s="2183" t="s">
        <v>2271</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1212"/>
    </row>
    <row r="162" spans="1:57" ht="15.75" customHeight="1">
      <c r="A162" s="1206"/>
      <c r="B162" s="1206"/>
      <c r="C162" s="2204" t="s">
        <v>302</v>
      </c>
      <c r="D162" s="2205"/>
      <c r="E162" s="2206" t="s">
        <v>1915</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1206"/>
      <c r="AG162" s="1206"/>
      <c r="AH162" s="2183" t="s">
        <v>2272</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1212"/>
    </row>
    <row r="163" spans="1:57" ht="15.75" customHeight="1" thickBot="1">
      <c r="A163" s="1206"/>
      <c r="B163" s="1206"/>
      <c r="C163" s="2195" t="s">
        <v>302</v>
      </c>
      <c r="D163" s="2196"/>
      <c r="E163" s="2197" t="s">
        <v>1915</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1206"/>
      <c r="AG163" s="1206"/>
      <c r="AH163" s="2183" t="s">
        <v>2273</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1212"/>
    </row>
    <row r="164" spans="1:57" ht="15.75" customHeight="1">
      <c r="A164" s="1206"/>
      <c r="B164" s="1206"/>
      <c r="C164" s="2191" t="s">
        <v>1923</v>
      </c>
      <c r="D164" s="2192"/>
      <c r="E164" s="2192"/>
      <c r="F164" s="2192"/>
      <c r="G164" s="2192"/>
      <c r="H164" s="2192"/>
      <c r="I164" s="2192"/>
      <c r="J164" s="2192"/>
      <c r="K164" s="2192"/>
      <c r="L164" s="2192"/>
      <c r="M164" s="2192"/>
      <c r="N164" s="2193">
        <f>SUM(N156:T163)</f>
        <v>18454394</v>
      </c>
      <c r="O164" s="2193"/>
      <c r="P164" s="2193"/>
      <c r="Q164" s="2193"/>
      <c r="R164" s="2193"/>
      <c r="S164" s="2193"/>
      <c r="T164" s="2194"/>
      <c r="U164" s="1206"/>
      <c r="V164" s="1206"/>
      <c r="W164" s="1206"/>
      <c r="X164" s="1206"/>
      <c r="Y164" s="1206"/>
      <c r="Z164" s="1206"/>
      <c r="AA164" s="1206"/>
      <c r="AB164" s="1206"/>
      <c r="AC164" s="1206"/>
      <c r="AD164" s="1206"/>
      <c r="AE164" s="1206"/>
      <c r="AF164" s="1206"/>
      <c r="AG164" s="1206"/>
      <c r="AH164" s="2183" t="s">
        <v>2274</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1212"/>
    </row>
    <row r="165" spans="1:57" ht="15.75" customHeight="1" thickBot="1">
      <c r="A165" s="1206"/>
      <c r="B165" s="1206"/>
      <c r="C165" s="2178" t="s">
        <v>2611</v>
      </c>
      <c r="D165" s="2179"/>
      <c r="E165" s="2179"/>
      <c r="F165" s="2179"/>
      <c r="G165" s="2179"/>
      <c r="H165" s="2179"/>
      <c r="I165" s="2179"/>
      <c r="J165" s="2179"/>
      <c r="K165" s="2179"/>
      <c r="L165" s="2179"/>
      <c r="M165" s="2179"/>
      <c r="N165" s="2180">
        <f>(N154-N164)/J29</f>
        <v>830132.88068181823</v>
      </c>
      <c r="O165" s="2181"/>
      <c r="P165" s="2181"/>
      <c r="Q165" s="2181"/>
      <c r="R165" s="2181"/>
      <c r="S165" s="2181"/>
      <c r="T165" s="2182"/>
      <c r="U165" s="1213"/>
      <c r="V165" s="1206"/>
      <c r="W165" s="1206"/>
      <c r="X165" s="1206"/>
      <c r="Y165" s="1206"/>
      <c r="Z165" s="1206"/>
      <c r="AA165" s="1206"/>
      <c r="AB165" s="1206"/>
      <c r="AC165" s="1206"/>
      <c r="AD165" s="1206"/>
      <c r="AE165" s="1206"/>
      <c r="AF165" s="1206"/>
      <c r="AG165" s="1206"/>
      <c r="AH165" s="2183" t="s">
        <v>2275</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187" t="s">
        <v>125</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165" t="s">
        <v>1924</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1212"/>
    </row>
    <row r="169" spans="1:57" ht="15.75" customHeight="1">
      <c r="A169" s="1206"/>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1212"/>
    </row>
    <row r="170" spans="1:57" ht="15.75" customHeight="1">
      <c r="A170" s="1206"/>
      <c r="B170" s="2171" t="s">
        <v>1925</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1212"/>
    </row>
    <row r="171" spans="1:57" ht="15.75" customHeight="1">
      <c r="A171" s="1206"/>
      <c r="B171" s="2171" t="s">
        <v>1926</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174" t="s">
        <v>1927</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1928</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177" t="s">
        <v>1929</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162" t="s">
        <v>2612</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206"/>
      <c r="BB179" s="1206"/>
      <c r="BC179" s="1206"/>
      <c r="BD179" s="1212"/>
      <c r="BE179" s="1212"/>
    </row>
    <row r="180" spans="1:57" ht="15.75" customHeight="1">
      <c r="A180" s="1206"/>
      <c r="B180" s="1205"/>
      <c r="C180" s="1206"/>
      <c r="D180" s="1206"/>
      <c r="E180" s="1206"/>
      <c r="F180" s="1206"/>
      <c r="G180" s="1206"/>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206"/>
      <c r="BB180" s="1206"/>
      <c r="BC180" s="1206"/>
      <c r="BD180" s="1212"/>
      <c r="BE180" s="1212"/>
    </row>
    <row r="181" spans="1:57" ht="15.75" customHeight="1">
      <c r="A181" s="1206"/>
      <c r="B181" s="1205"/>
      <c r="C181" s="1206"/>
      <c r="D181" s="1206"/>
      <c r="E181" s="1206"/>
      <c r="F181" s="1206"/>
      <c r="G181" s="1206"/>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206"/>
      <c r="BB181" s="1206"/>
      <c r="BC181" s="1206"/>
      <c r="BD181" s="1212"/>
      <c r="BE181" s="1212"/>
    </row>
    <row r="182" spans="1:57" ht="15.75" customHeight="1">
      <c r="A182" s="1206"/>
      <c r="B182" s="1205"/>
      <c r="C182" s="1206"/>
      <c r="D182" s="1206"/>
      <c r="E182" s="1206"/>
      <c r="F182" s="1206"/>
      <c r="G182" s="1206"/>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163" t="s">
        <v>1930</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153" t="s">
        <v>1931</v>
      </c>
      <c r="I186" s="2153"/>
      <c r="J186" s="2153"/>
      <c r="K186" s="2153"/>
      <c r="L186" s="1221"/>
      <c r="M186" s="1221"/>
      <c r="N186" s="1221"/>
      <c r="O186" s="1221"/>
      <c r="P186" s="1221"/>
      <c r="Q186" s="1221"/>
      <c r="R186" s="1221"/>
      <c r="S186" s="2164"/>
      <c r="T186" s="2160"/>
      <c r="U186" s="2160"/>
      <c r="V186" s="2160"/>
      <c r="W186" s="2160"/>
      <c r="X186" s="2160"/>
      <c r="Y186" s="2160"/>
      <c r="Z186" s="2160"/>
      <c r="AA186" s="2160"/>
      <c r="AB186" s="2160"/>
      <c r="AC186" s="2160"/>
      <c r="AD186" s="2160"/>
      <c r="AE186" s="2160"/>
      <c r="AF186" s="2160"/>
      <c r="AG186" s="2160"/>
      <c r="AH186" s="2160"/>
      <c r="AI186" s="2160"/>
      <c r="AJ186" s="2161"/>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153" t="s">
        <v>1932</v>
      </c>
      <c r="I188" s="2153"/>
      <c r="J188" s="2153"/>
      <c r="K188" s="1254"/>
      <c r="L188" s="1221"/>
      <c r="M188" s="1221"/>
      <c r="N188" s="1221"/>
      <c r="O188" s="1221"/>
      <c r="P188" s="1221"/>
      <c r="Q188" s="1221"/>
      <c r="R188" s="1221"/>
      <c r="S188" s="2154"/>
      <c r="T188" s="2155"/>
      <c r="U188" s="2155"/>
      <c r="V188" s="2155"/>
      <c r="W188" s="2155"/>
      <c r="X188" s="2155"/>
      <c r="Y188" s="2155"/>
      <c r="Z188" s="2155"/>
      <c r="AA188" s="2155"/>
      <c r="AB188" s="2155"/>
      <c r="AC188" s="2155"/>
      <c r="AD188" s="2155"/>
      <c r="AE188" s="2155"/>
      <c r="AF188" s="2155"/>
      <c r="AG188" s="2155"/>
      <c r="AH188" s="2155"/>
      <c r="AI188" s="2155"/>
      <c r="AJ188" s="2156"/>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153" t="s">
        <v>444</v>
      </c>
      <c r="I190" s="2153"/>
      <c r="J190" s="1254"/>
      <c r="K190" s="1254"/>
      <c r="L190" s="1221"/>
      <c r="M190" s="1221"/>
      <c r="N190" s="1221"/>
      <c r="O190" s="1221"/>
      <c r="P190" s="1221"/>
      <c r="Q190" s="1221"/>
      <c r="R190" s="1221"/>
      <c r="S190" s="2154"/>
      <c r="T190" s="2155"/>
      <c r="U190" s="2155"/>
      <c r="V190" s="2155"/>
      <c r="W190" s="2155"/>
      <c r="X190" s="2155"/>
      <c r="Y190" s="2155"/>
      <c r="Z190" s="2155"/>
      <c r="AA190" s="2155"/>
      <c r="AB190" s="2155"/>
      <c r="AC190" s="2155"/>
      <c r="AD190" s="2155"/>
      <c r="AE190" s="2155"/>
      <c r="AF190" s="2155"/>
      <c r="AG190" s="2155"/>
      <c r="AH190" s="2155"/>
      <c r="AI190" s="2155"/>
      <c r="AJ190" s="2156"/>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157" t="s">
        <v>1933</v>
      </c>
      <c r="I192" s="2157"/>
      <c r="J192" s="2157"/>
      <c r="K192" s="2157"/>
      <c r="L192" s="2157"/>
      <c r="M192" s="2157"/>
      <c r="N192" s="2157"/>
      <c r="O192" s="2157"/>
      <c r="P192" s="1221"/>
      <c r="Q192" s="1221"/>
      <c r="R192" s="1221"/>
      <c r="S192" s="2154"/>
      <c r="T192" s="2155"/>
      <c r="U192" s="2155"/>
      <c r="V192" s="2155"/>
      <c r="W192" s="2155"/>
      <c r="X192" s="2155"/>
      <c r="Y192" s="2155"/>
      <c r="Z192" s="2155"/>
      <c r="AA192" s="2155"/>
      <c r="AB192" s="2155"/>
      <c r="AC192" s="2155"/>
      <c r="AD192" s="2155"/>
      <c r="AE192" s="2155"/>
      <c r="AF192" s="2155"/>
      <c r="AG192" s="2155"/>
      <c r="AH192" s="2155"/>
      <c r="AI192" s="2155"/>
      <c r="AJ192" s="2156"/>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158" t="s">
        <v>1934</v>
      </c>
      <c r="I194" s="2158"/>
      <c r="J194" s="1221"/>
      <c r="K194" s="1221"/>
      <c r="L194" s="1221"/>
      <c r="M194" s="1221"/>
      <c r="N194" s="1221"/>
      <c r="O194" s="1221"/>
      <c r="P194" s="1221"/>
      <c r="Q194" s="1221"/>
      <c r="R194" s="1221"/>
      <c r="S194" s="2159"/>
      <c r="T194" s="2160"/>
      <c r="U194" s="2160"/>
      <c r="V194" s="2160"/>
      <c r="W194" s="2160"/>
      <c r="X194" s="2160"/>
      <c r="Y194" s="2160"/>
      <c r="Z194" s="2160"/>
      <c r="AA194" s="2160"/>
      <c r="AB194" s="2160"/>
      <c r="AC194" s="2160"/>
      <c r="AD194" s="2160"/>
      <c r="AE194" s="2160"/>
      <c r="AF194" s="2160"/>
      <c r="AG194" s="2160"/>
      <c r="AH194" s="2160"/>
      <c r="AI194" s="2160"/>
      <c r="AJ194" s="2161"/>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Y19" sqref="Y19:AC19"/>
    </sheetView>
  </sheetViews>
  <sheetFormatPr defaultColWidth="0" defaultRowHeight="12.9" customHeight="1"/>
  <cols>
    <col min="1" max="1" width="1.44140625" style="433" customWidth="1"/>
    <col min="2" max="2" width="0.88671875" style="433" customWidth="1"/>
    <col min="3" max="18" width="2.44140625" style="433" customWidth="1"/>
    <col min="19" max="19" width="6.33203125" style="433" customWidth="1"/>
    <col min="20" max="39" width="2.6640625" style="433" customWidth="1"/>
    <col min="40" max="40" width="1.44140625" style="433" customWidth="1"/>
    <col min="41" max="256" width="2.44140625" style="433" hidden="1"/>
    <col min="257" max="257" width="1.44140625" style="433" hidden="1" customWidth="1"/>
    <col min="258" max="258" width="0.886718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886718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886718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886718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886718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886718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886718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886718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886718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886718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886718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886718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886718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886718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886718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886718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886718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886718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886718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886718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886718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886718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886718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886718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886718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886718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886718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886718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886718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886718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886718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886718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886718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886718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886718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886718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886718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886718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886718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886718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886718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886718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886718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886718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886718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886718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886718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886718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886718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886718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886718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886718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886718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886718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886718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886718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886718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886718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886718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886718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886718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886718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886718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2.9" customHeight="1">
      <c r="A1" s="2523" t="s">
        <v>1444</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2.9"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321</v>
      </c>
      <c r="C5" s="435" t="s">
        <v>123</v>
      </c>
      <c r="F5" s="435"/>
    </row>
    <row r="6" spans="1:40" ht="12.9" customHeight="1">
      <c r="A6" s="435"/>
      <c r="C6" s="433" t="s">
        <v>1385</v>
      </c>
    </row>
    <row r="7" spans="1:40" ht="12.9" customHeight="1">
      <c r="B7" s="436"/>
      <c r="C7" s="437"/>
      <c r="D7" s="437"/>
      <c r="E7" s="437"/>
      <c r="F7" s="437"/>
      <c r="G7" s="437"/>
      <c r="H7" s="437"/>
      <c r="I7" s="437"/>
      <c r="J7" s="437"/>
      <c r="K7" s="437"/>
      <c r="L7" s="437"/>
      <c r="M7" s="437"/>
      <c r="N7" s="437"/>
      <c r="O7" s="437"/>
      <c r="P7" s="437"/>
      <c r="Q7" s="437"/>
      <c r="R7" s="437"/>
      <c r="S7" s="437"/>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2.9" customHeight="1">
      <c r="B8" s="438"/>
      <c r="T8" s="2503"/>
      <c r="U8" s="2503"/>
      <c r="V8" s="2503"/>
      <c r="W8" s="2503"/>
      <c r="X8" s="2503"/>
      <c r="Y8" s="2503"/>
      <c r="Z8" s="2503"/>
      <c r="AA8" s="2503"/>
      <c r="AB8" s="2503"/>
      <c r="AC8" s="2503"/>
      <c r="AD8" s="2503"/>
      <c r="AE8" s="2503"/>
      <c r="AF8" s="2503"/>
      <c r="AG8" s="2503"/>
      <c r="AH8" s="2503"/>
      <c r="AI8" s="2503"/>
      <c r="AJ8" s="2503"/>
      <c r="AK8" s="2503"/>
      <c r="AL8" s="2503"/>
      <c r="AM8" s="2503"/>
    </row>
    <row r="9" spans="1:40" ht="12.9" customHeight="1">
      <c r="B9" s="438"/>
      <c r="T9" s="2503"/>
      <c r="U9" s="2503"/>
      <c r="V9" s="2503"/>
      <c r="W9" s="2503"/>
      <c r="X9" s="2503"/>
      <c r="Y9" s="2503"/>
      <c r="Z9" s="2503"/>
      <c r="AA9" s="2503"/>
      <c r="AB9" s="2503"/>
      <c r="AC9" s="2503"/>
      <c r="AD9" s="2503"/>
      <c r="AE9" s="2503"/>
      <c r="AF9" s="2503"/>
      <c r="AG9" s="2503"/>
      <c r="AH9" s="2503"/>
      <c r="AI9" s="2503"/>
      <c r="AJ9" s="2503"/>
      <c r="AK9" s="2503"/>
      <c r="AL9" s="2503"/>
      <c r="AM9" s="2503"/>
    </row>
    <row r="10" spans="1:40" ht="12.9" customHeight="1">
      <c r="B10" s="439"/>
      <c r="C10" s="440"/>
      <c r="D10" s="440"/>
      <c r="E10" s="440"/>
      <c r="F10" s="440"/>
      <c r="G10" s="440"/>
      <c r="H10" s="440"/>
      <c r="I10" s="440"/>
      <c r="J10" s="440"/>
      <c r="K10" s="440"/>
      <c r="L10" s="440"/>
      <c r="M10" s="440"/>
      <c r="N10" s="440"/>
      <c r="O10" s="440"/>
      <c r="P10" s="440"/>
      <c r="Q10" s="440"/>
      <c r="R10" s="440"/>
      <c r="S10" s="440"/>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2.9" customHeight="1">
      <c r="B11" s="2486" t="s">
        <v>377</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141170910</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2.9" customHeight="1">
      <c r="B12" s="2527" t="s">
        <v>506</v>
      </c>
      <c r="C12" s="1277"/>
      <c r="D12" s="1277"/>
      <c r="E12" s="1277"/>
      <c r="F12" s="1277"/>
      <c r="G12" s="1277"/>
      <c r="H12" s="1277"/>
      <c r="I12" s="1277"/>
      <c r="J12" s="1277"/>
      <c r="K12" s="1277"/>
      <c r="L12" s="1277"/>
      <c r="M12" s="1277"/>
      <c r="N12" s="1277"/>
      <c r="O12" s="1277"/>
      <c r="P12" s="1277"/>
      <c r="Q12" s="1277"/>
      <c r="R12" s="1277"/>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2.9" customHeight="1">
      <c r="B13" s="467"/>
      <c r="C13" s="2529" t="s">
        <v>507</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2.9" customHeight="1">
      <c r="B14" s="467"/>
      <c r="C14" s="2529" t="s">
        <v>508</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2.9" customHeight="1">
      <c r="B15" s="467"/>
      <c r="C15" s="2529" t="s">
        <v>509</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2.9" customHeight="1">
      <c r="B16" s="467"/>
      <c r="C16" s="2529" t="s">
        <v>830</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2.9" customHeight="1">
      <c r="B17" s="467"/>
      <c r="C17" s="2529" t="s">
        <v>510</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2.9" customHeight="1">
      <c r="A18"/>
      <c r="B18" s="1202"/>
      <c r="C18" s="1692" t="s">
        <v>1000</v>
      </c>
      <c r="D18" s="1692"/>
      <c r="E18" s="1692"/>
      <c r="F18" s="1692"/>
      <c r="G18" s="1692"/>
      <c r="H18" s="1692"/>
      <c r="I18" s="1692"/>
      <c r="J18" s="1692"/>
      <c r="K18" s="1692"/>
      <c r="L18" s="1692"/>
      <c r="M18" s="1692"/>
      <c r="N18" s="1692"/>
      <c r="O18" s="1692"/>
      <c r="P18" s="1692"/>
      <c r="Q18" s="1692"/>
      <c r="R18" s="1692"/>
      <c r="S18" s="1693"/>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2.9" customHeight="1">
      <c r="B19" s="1202"/>
      <c r="C19" s="1692" t="s">
        <v>1000</v>
      </c>
      <c r="D19" s="1692"/>
      <c r="E19" s="1692"/>
      <c r="F19" s="1692"/>
      <c r="G19" s="1692"/>
      <c r="H19" s="1692"/>
      <c r="I19" s="1692"/>
      <c r="J19" s="1692"/>
      <c r="K19" s="1692"/>
      <c r="L19" s="1692"/>
      <c r="M19" s="1692"/>
      <c r="N19" s="1692"/>
      <c r="O19" s="1692"/>
      <c r="P19" s="1692"/>
      <c r="Q19" s="1692"/>
      <c r="R19" s="1692"/>
      <c r="S19" s="1693"/>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2.9" customHeight="1">
      <c r="B20" s="2486" t="s">
        <v>511</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2.9" customHeight="1">
      <c r="B21" s="2486" t="s">
        <v>1421</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2.9" customHeight="1">
      <c r="B22" s="2486" t="s">
        <v>512</v>
      </c>
      <c r="C22" s="2487"/>
      <c r="D22" s="2487"/>
      <c r="E22" s="2487"/>
      <c r="F22" s="2487"/>
      <c r="G22" s="2487"/>
      <c r="H22" s="2487"/>
      <c r="I22" s="2487"/>
      <c r="J22" s="2487"/>
      <c r="K22" s="2487"/>
      <c r="L22" s="2487"/>
      <c r="M22" s="2487"/>
      <c r="N22" s="2487"/>
      <c r="O22" s="2487"/>
      <c r="P22" s="2487"/>
      <c r="Q22" s="2487"/>
      <c r="R22" s="2487"/>
      <c r="S22" s="2488"/>
      <c r="T22" s="2507">
        <f>(T20+T21)*-1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 customHeight="1">
      <c r="B23" s="2486" t="s">
        <v>513</v>
      </c>
      <c r="C23" s="2487"/>
      <c r="D23" s="2487"/>
      <c r="E23" s="2487"/>
      <c r="F23" s="2487"/>
      <c r="G23" s="2487"/>
      <c r="H23" s="2487"/>
      <c r="I23" s="2487"/>
      <c r="J23" s="2487"/>
      <c r="K23" s="2487"/>
      <c r="L23" s="2487"/>
      <c r="M23" s="2487"/>
      <c r="N23" s="2487"/>
      <c r="O23" s="2487"/>
      <c r="P23" s="2487"/>
      <c r="Q23" s="2487"/>
      <c r="R23" s="2487"/>
      <c r="S23" s="2488"/>
      <c r="T23" s="2502">
        <f>T11+T22</f>
        <v>141170910</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2.9" customHeight="1">
      <c r="B24" s="2486" t="s">
        <v>1001</v>
      </c>
      <c r="C24" s="2487"/>
      <c r="D24" s="2487"/>
      <c r="E24" s="2487"/>
      <c r="F24" s="2487"/>
      <c r="G24" s="2487"/>
      <c r="H24" s="2487"/>
      <c r="I24" s="2487"/>
      <c r="J24" s="2487"/>
      <c r="K24" s="2487"/>
      <c r="L24" s="2487"/>
      <c r="M24" s="2487"/>
      <c r="N24" s="2487"/>
      <c r="O24" s="2487"/>
      <c r="P24" s="2487"/>
      <c r="Q24" s="2487"/>
      <c r="R24" s="2487"/>
      <c r="S24" s="2488"/>
      <c r="T24" s="2490">
        <f>Application!AJ1018</f>
        <v>346560513</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2.9" customHeight="1">
      <c r="B25" s="2533" t="s">
        <v>1422</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2.9" customHeight="1">
      <c r="B26" s="2486" t="s">
        <v>514</v>
      </c>
      <c r="C26" s="2487"/>
      <c r="D26" s="2487"/>
      <c r="E26" s="2487"/>
      <c r="F26" s="2487"/>
      <c r="G26" s="2487"/>
      <c r="H26" s="2487"/>
      <c r="I26" s="2487"/>
      <c r="J26" s="2487"/>
      <c r="K26" s="2487"/>
      <c r="L26" s="2487"/>
      <c r="M26" s="2487"/>
      <c r="N26" s="2487"/>
      <c r="O26" s="2487"/>
      <c r="P26" s="2487"/>
      <c r="Q26" s="2487"/>
      <c r="R26" s="2487"/>
      <c r="S26" s="2488"/>
      <c r="T26" s="2502">
        <f>T23*T25</f>
        <v>183522183</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2.9" customHeight="1">
      <c r="A27" s="441"/>
      <c r="B27" s="2536" t="s">
        <v>428</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2.9" customHeight="1">
      <c r="A28" s="435"/>
      <c r="B28" s="2486" t="s">
        <v>515</v>
      </c>
      <c r="C28" s="2487"/>
      <c r="D28" s="2487"/>
      <c r="E28" s="2487"/>
      <c r="F28" s="2487"/>
      <c r="G28" s="2487"/>
      <c r="H28" s="2487"/>
      <c r="I28" s="2487"/>
      <c r="J28" s="2487"/>
      <c r="K28" s="2487"/>
      <c r="L28" s="2487"/>
      <c r="M28" s="2487"/>
      <c r="N28" s="2487"/>
      <c r="O28" s="2487"/>
      <c r="P28" s="2487"/>
      <c r="Q28" s="2487"/>
      <c r="R28" s="2487"/>
      <c r="S28" s="2488"/>
      <c r="T28" s="2502">
        <f>IF(ISERROR((T26*T27)),0,(T26*T27))</f>
        <v>183522183</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2.9" customHeight="1">
      <c r="B29" s="2486" t="s">
        <v>532</v>
      </c>
      <c r="C29" s="2487"/>
      <c r="D29" s="2487"/>
      <c r="E29" s="2487"/>
      <c r="F29" s="2487"/>
      <c r="G29" s="2487"/>
      <c r="H29" s="2487"/>
      <c r="I29" s="2487"/>
      <c r="J29" s="2487"/>
      <c r="K29" s="2487"/>
      <c r="L29" s="2487"/>
      <c r="M29" s="2487"/>
      <c r="N29" s="2487"/>
      <c r="O29" s="2487"/>
      <c r="P29" s="2487"/>
      <c r="Q29" s="2487"/>
      <c r="R29" s="2487"/>
      <c r="S29" s="2488"/>
      <c r="T29" s="2490">
        <f>T28+Y28+AD28+AI28</f>
        <v>183522183</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2.9" customHeight="1">
      <c r="B30" s="2506" t="s">
        <v>1424</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2.9" customHeight="1">
      <c r="B31" s="2506" t="s">
        <v>1423</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2"/>
    </row>
    <row r="32" spans="1:40" ht="12.9" customHeight="1">
      <c r="B32" s="466"/>
      <c r="C32" s="545" t="s">
        <v>389</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503" t="s">
        <v>1293</v>
      </c>
      <c r="Z35" s="2503"/>
      <c r="AA35" s="2503"/>
      <c r="AB35" s="2503"/>
      <c r="AC35" s="2503"/>
      <c r="AD35" s="2504" t="s">
        <v>371</v>
      </c>
      <c r="AE35" s="2504"/>
      <c r="AF35" s="2504"/>
      <c r="AG35" s="2504"/>
      <c r="AH35" s="2504"/>
    </row>
    <row r="36" spans="1:76" ht="12.9" customHeight="1">
      <c r="B36" s="438"/>
      <c r="X36" s="443"/>
      <c r="Y36" s="2503"/>
      <c r="Z36" s="2503"/>
      <c r="AA36" s="2503"/>
      <c r="AB36" s="2503"/>
      <c r="AC36" s="2503"/>
      <c r="AD36" s="2504"/>
      <c r="AE36" s="2504"/>
      <c r="AF36" s="2504"/>
      <c r="AG36" s="2504"/>
      <c r="AH36" s="2504"/>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503"/>
      <c r="Z37" s="2503"/>
      <c r="AA37" s="2503"/>
      <c r="AB37" s="2503"/>
      <c r="AC37" s="2503"/>
      <c r="AD37" s="2504"/>
      <c r="AE37" s="2504"/>
      <c r="AF37" s="2504"/>
      <c r="AG37" s="2504"/>
      <c r="AH37" s="2504"/>
    </row>
    <row r="38" spans="1:76" ht="12.9" customHeight="1">
      <c r="A38" s="435"/>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183522183</v>
      </c>
      <c r="Z38" s="2480"/>
      <c r="AA38" s="2480"/>
      <c r="AB38" s="2480"/>
      <c r="AC38" s="2480"/>
      <c r="AD38" s="2480">
        <f>IF(T24&gt;=(T23+Y23+AD23+AI23),AD28+AI28,0)</f>
        <v>0</v>
      </c>
      <c r="AE38" s="2480"/>
      <c r="AF38" s="2480"/>
      <c r="AG38" s="2480"/>
      <c r="AH38" s="2480"/>
    </row>
    <row r="39" spans="1:76" ht="12.9" customHeight="1">
      <c r="B39" s="2486" t="s">
        <v>1951</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2.9" customHeight="1">
      <c r="A40" s="435"/>
      <c r="B40" s="2486" t="s">
        <v>651</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7340887</v>
      </c>
      <c r="Z40" s="2480"/>
      <c r="AA40" s="2480"/>
      <c r="AB40" s="2480"/>
      <c r="AC40" s="2480"/>
      <c r="AD40" s="2502">
        <f>ROUND(AD38*AD39,0)</f>
        <v>0</v>
      </c>
      <c r="AE40" s="2480"/>
      <c r="AF40" s="2480"/>
      <c r="AG40" s="2480"/>
      <c r="AH40" s="2480"/>
    </row>
    <row r="41" spans="1:76" ht="12.9" customHeight="1">
      <c r="B41" s="2486" t="s">
        <v>652</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7340887</v>
      </c>
      <c r="Z41" s="2501"/>
      <c r="AA41" s="2501"/>
      <c r="AB41" s="2501"/>
      <c r="AC41" s="2501"/>
      <c r="AD41" s="2501"/>
      <c r="AE41" s="2501"/>
      <c r="AF41" s="2501"/>
      <c r="AG41" s="2501"/>
      <c r="AH41" s="2502"/>
    </row>
    <row r="42" spans="1:76" ht="12.9"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500" t="s">
        <v>1434</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2.9" customHeight="1" thickTop="1"/>
    <row r="46" spans="1:76" ht="12.9" customHeight="1">
      <c r="A46" s="435" t="s">
        <v>595</v>
      </c>
      <c r="C46" s="435" t="s">
        <v>284</v>
      </c>
    </row>
    <row r="47" spans="1:76" ht="12.9" customHeight="1">
      <c r="D47" s="435" t="s">
        <v>285</v>
      </c>
      <c r="AB47" s="2494">
        <f>'Sources and Uses Budget'!B105-MAX(IF('Sources and Uses Budget'!B15="",0,'Sources and Uses Budget'!B15),IF(Application!AG393="",0,Application!AG393))</f>
        <v>164557781</v>
      </c>
      <c r="AC47" s="2495"/>
      <c r="AD47" s="2495"/>
      <c r="AE47" s="2495"/>
      <c r="AF47" s="2496"/>
    </row>
    <row r="48" spans="1:76" ht="12.9" customHeight="1">
      <c r="D48" s="435" t="s">
        <v>21</v>
      </c>
      <c r="AB48" s="2494">
        <f>Application!AO635-MAX(IF('Sources and Uses Budget'!B15="",0,'Sources and Uses Budget'!B15),IF(Application!AG393="",0,Application!AG393))</f>
        <v>80357060</v>
      </c>
      <c r="AC48" s="2495"/>
      <c r="AD48" s="2495"/>
      <c r="AE48" s="2495"/>
      <c r="AF48" s="2496"/>
    </row>
    <row r="49" spans="1:76" ht="12.9" customHeight="1">
      <c r="D49" s="435" t="s">
        <v>92</v>
      </c>
      <c r="AB49" s="2494">
        <f>AB47-AB48</f>
        <v>84200721</v>
      </c>
      <c r="AC49" s="2495"/>
      <c r="AD49" s="2495"/>
      <c r="AE49" s="2495"/>
      <c r="AF49" s="2496"/>
    </row>
    <row r="50" spans="1:76" ht="12.9" customHeight="1">
      <c r="D50" s="435" t="s">
        <v>690</v>
      </c>
      <c r="AA50" s="446"/>
      <c r="AB50" s="2482">
        <f>(68263425-195000)/10/Y41</f>
        <v>0.92725068510113284</v>
      </c>
      <c r="AC50" s="2483"/>
      <c r="AD50" s="2483"/>
      <c r="AE50" s="2483"/>
      <c r="AF50" s="2484"/>
    </row>
    <row r="51" spans="1:76" s="448" customFormat="1" ht="12.9" customHeight="1">
      <c r="A51" s="433"/>
      <c r="B51" s="433"/>
      <c r="C51" s="433"/>
      <c r="D51" s="433"/>
      <c r="E51" s="2493" t="s">
        <v>2112</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334</v>
      </c>
      <c r="AB54" s="2494">
        <f>ROUND(IF(ISERROR((AB49/AB50)),0,(AB49/AB50)),0)</f>
        <v>90806858</v>
      </c>
      <c r="AC54" s="2495"/>
      <c r="AD54" s="2495"/>
      <c r="AE54" s="2495"/>
      <c r="AF54" s="2496"/>
    </row>
    <row r="55" spans="1:76" ht="12.9" customHeight="1">
      <c r="D55" s="435" t="s">
        <v>335</v>
      </c>
      <c r="AB55" s="2494">
        <f>(AB54/10)</f>
        <v>9080685.8000000007</v>
      </c>
      <c r="AC55" s="2495"/>
      <c r="AD55" s="2495"/>
      <c r="AE55" s="2495"/>
      <c r="AF55" s="2496"/>
    </row>
    <row r="56" spans="1:76" ht="12.9" customHeight="1">
      <c r="D56" s="435" t="s">
        <v>768</v>
      </c>
      <c r="AB56" s="2497">
        <f>(IF((Y41&lt;AB55),Y41,AB55))</f>
        <v>7340887</v>
      </c>
      <c r="AC56" s="2498"/>
      <c r="AD56" s="2498"/>
      <c r="AE56" s="2498"/>
      <c r="AF56" s="2499"/>
    </row>
    <row r="57" spans="1:76" ht="12.9" customHeight="1">
      <c r="D57" s="435" t="s">
        <v>767</v>
      </c>
      <c r="AB57" s="2494">
        <f>ROUND((10*AB56*AB50),0)</f>
        <v>68068425</v>
      </c>
      <c r="AC57" s="2495"/>
      <c r="AD57" s="2495"/>
      <c r="AE57" s="2495"/>
      <c r="AF57" s="2496"/>
    </row>
    <row r="58" spans="1:76" ht="12.9" customHeight="1">
      <c r="D58" s="435"/>
      <c r="AB58" s="454"/>
      <c r="AC58" s="454"/>
      <c r="AD58" s="454"/>
      <c r="AE58" s="454"/>
      <c r="AF58" s="454"/>
    </row>
    <row r="59" spans="1:76" ht="12.9" customHeight="1">
      <c r="D59" s="435" t="s">
        <v>766</v>
      </c>
      <c r="AB59" s="2478">
        <f>AB49-AB57</f>
        <v>16132296</v>
      </c>
      <c r="AC59" s="2478"/>
      <c r="AD59" s="2478"/>
      <c r="AE59" s="2478"/>
      <c r="AF59" s="2478"/>
    </row>
    <row r="60" spans="1:76" ht="12.9" customHeight="1">
      <c r="D60" s="435"/>
      <c r="AB60" s="454"/>
      <c r="AC60" s="454"/>
      <c r="AD60" s="454"/>
      <c r="AE60" s="454"/>
      <c r="AF60" s="454"/>
    </row>
    <row r="61" spans="1:76" s="218" customFormat="1" ht="12.9"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2.9" customHeight="1" thickTop="1"/>
    <row r="63" spans="1:76" ht="12.9" customHeight="1">
      <c r="A63" s="435" t="s">
        <v>598</v>
      </c>
      <c r="C63" s="219" t="s">
        <v>1405</v>
      </c>
      <c r="Y63" s="2489" t="s">
        <v>1024</v>
      </c>
      <c r="Z63" s="2489"/>
      <c r="AA63" s="2489"/>
      <c r="AB63" s="2489"/>
      <c r="AC63" s="2489"/>
      <c r="AD63" s="2489" t="s">
        <v>371</v>
      </c>
      <c r="AE63" s="2489"/>
      <c r="AF63" s="2489"/>
      <c r="AG63" s="2489"/>
      <c r="AH63" s="2489"/>
    </row>
    <row r="64" spans="1:76" ht="12.9" customHeight="1">
      <c r="C64" s="435"/>
      <c r="D64" s="408" t="s">
        <v>1406</v>
      </c>
      <c r="E64" s="451"/>
      <c r="F64" s="451"/>
      <c r="G64" s="451"/>
      <c r="H64" s="451"/>
      <c r="I64" s="451"/>
      <c r="J64" s="451"/>
      <c r="K64" s="451"/>
      <c r="L64" s="451"/>
      <c r="M64" s="451"/>
      <c r="N64" s="451"/>
      <c r="O64" s="451"/>
      <c r="P64" s="451"/>
      <c r="Q64" s="451"/>
      <c r="R64" s="451"/>
      <c r="S64" s="451"/>
      <c r="T64" s="451"/>
      <c r="U64" s="451"/>
      <c r="V64" s="451"/>
      <c r="W64" s="451"/>
      <c r="X64" s="451"/>
      <c r="Y64" s="2490">
        <f>IF(Application!Z204="(select)",0,((T23*T27)+Y28))</f>
        <v>141170910</v>
      </c>
      <c r="Z64" s="2491"/>
      <c r="AA64" s="2491"/>
      <c r="AB64" s="2491"/>
      <c r="AC64" s="2492"/>
      <c r="AD64" s="2490">
        <f>IF(AND(OR(Application!D210="At-Risk",Application!D210="At-Risk and Special Needs"),Application!M357="yes"),AD28+AI28,0)</f>
        <v>0</v>
      </c>
      <c r="AE64" s="2491"/>
      <c r="AF64" s="2491"/>
      <c r="AG64" s="2491"/>
      <c r="AH64" s="2492"/>
    </row>
    <row r="65" spans="1:36" ht="12.9" customHeight="1">
      <c r="C65" s="435"/>
      <c r="E65" s="1053" t="s">
        <v>2110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3" t="s">
        <v>2111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272</v>
      </c>
      <c r="E67" s="452"/>
      <c r="F67" s="452"/>
      <c r="G67" s="452"/>
      <c r="H67" s="452"/>
      <c r="I67" s="452"/>
      <c r="J67" s="452"/>
      <c r="K67" s="452"/>
      <c r="L67" s="452"/>
      <c r="M67" s="452"/>
      <c r="N67" s="452"/>
      <c r="O67" s="452"/>
      <c r="P67" s="452"/>
      <c r="Q67" s="452"/>
      <c r="R67" s="452"/>
      <c r="S67" s="452"/>
      <c r="T67" s="452"/>
      <c r="U67" s="452"/>
      <c r="V67" s="452"/>
      <c r="W67" s="452"/>
      <c r="X67" s="452"/>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2.9" customHeight="1">
      <c r="C68" s="435"/>
      <c r="D68" s="219" t="s">
        <v>1407</v>
      </c>
      <c r="Y68" s="2480">
        <f>ROUND(Y64*Y67,0)</f>
        <v>42351273</v>
      </c>
      <c r="Z68" s="2481"/>
      <c r="AA68" s="2481"/>
      <c r="AB68" s="2481"/>
      <c r="AC68" s="2481"/>
      <c r="AD68" s="2480">
        <f>ROUND(AD64*AD67,0)</f>
        <v>0</v>
      </c>
      <c r="AE68" s="2481"/>
      <c r="AF68" s="2481"/>
      <c r="AG68" s="2481"/>
      <c r="AH68" s="2481"/>
    </row>
    <row r="69" spans="1:36" ht="12.9" customHeight="1">
      <c r="C69" s="435"/>
      <c r="E69" s="435"/>
      <c r="AB69" s="453"/>
      <c r="AC69" s="453"/>
      <c r="AD69" s="453"/>
      <c r="AE69" s="453"/>
      <c r="AF69" s="453"/>
    </row>
    <row r="70" spans="1:36" ht="12.9" customHeight="1">
      <c r="A70" s="435" t="s">
        <v>599</v>
      </c>
      <c r="C70" s="219" t="s">
        <v>286</v>
      </c>
    </row>
    <row r="71" spans="1:36" ht="12.9" customHeight="1">
      <c r="A71" s="435"/>
      <c r="C71" s="435"/>
      <c r="D71" s="219" t="s">
        <v>1408</v>
      </c>
      <c r="AB71" s="2482">
        <v>0.82</v>
      </c>
      <c r="AC71" s="2483"/>
      <c r="AD71" s="2483"/>
      <c r="AE71" s="2483"/>
      <c r="AF71" s="2484"/>
    </row>
    <row r="72" spans="1:36" ht="12.9" customHeight="1">
      <c r="A72" s="435"/>
      <c r="C72" s="435"/>
      <c r="D72" s="435"/>
      <c r="E72" s="2485" t="s">
        <v>1409</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1"/>
      <c r="AC72" s="471"/>
    </row>
    <row r="73" spans="1:36" ht="12.9" customHeight="1">
      <c r="A73" s="435"/>
      <c r="C73" s="435"/>
      <c r="D73" s="435"/>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1"/>
      <c r="AC73" s="471"/>
    </row>
    <row r="74" spans="1:36" ht="12.9" customHeight="1">
      <c r="A74" s="435"/>
      <c r="C74" s="435"/>
      <c r="D74" s="435"/>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1410</v>
      </c>
      <c r="AB76" s="2473">
        <f>ROUND(IF(ISERROR((AB59/AB71)),0,(AB59/AB71)),0)</f>
        <v>19673532</v>
      </c>
      <c r="AC76" s="2473"/>
      <c r="AD76" s="2473"/>
      <c r="AE76" s="2473"/>
      <c r="AF76" s="2473"/>
    </row>
    <row r="77" spans="1:36" ht="12.9" customHeight="1">
      <c r="C77" s="435"/>
      <c r="D77" s="219" t="s">
        <v>1411</v>
      </c>
      <c r="AB77" s="2474">
        <f>IF((Y68+AD68&lt;AB76),Y68+AD68,AB76)</f>
        <v>19673532</v>
      </c>
      <c r="AC77" s="2475"/>
      <c r="AD77" s="2475"/>
      <c r="AE77" s="2475"/>
      <c r="AF77" s="2476"/>
    </row>
    <row r="78" spans="1:36" ht="12.9" customHeight="1">
      <c r="C78" s="435"/>
      <c r="D78" s="219" t="s">
        <v>1412</v>
      </c>
      <c r="AB78" s="2477">
        <f>AB77*AB71</f>
        <v>16132296.239999998</v>
      </c>
      <c r="AC78" s="2477"/>
      <c r="AD78" s="2477"/>
      <c r="AE78" s="2477"/>
      <c r="AF78" s="2477"/>
    </row>
    <row r="79" spans="1:36" ht="12.9" customHeight="1">
      <c r="C79" s="435"/>
      <c r="D79" s="435"/>
      <c r="AB79" s="456"/>
      <c r="AC79" s="456"/>
      <c r="AD79" s="456"/>
      <c r="AE79" s="456"/>
      <c r="AF79" s="456"/>
    </row>
    <row r="80" spans="1:36" ht="12.9" customHeight="1">
      <c r="D80" s="435" t="s">
        <v>766</v>
      </c>
      <c r="AB80" s="2478">
        <f>AB49-(AB57+AB78)</f>
        <v>-0.23999999463558197</v>
      </c>
      <c r="AC80" s="2478"/>
      <c r="AD80" s="2478"/>
      <c r="AE80" s="2478"/>
      <c r="AF80" s="2478"/>
    </row>
    <row r="81" spans="1:78" ht="12.9" customHeight="1">
      <c r="F81" s="556"/>
      <c r="J81" s="556" t="str">
        <f>IF(AB80&gt;0,"FUNDING GAP MUST NOT EXCEED ZERO","")</f>
        <v/>
      </c>
    </row>
    <row r="82" spans="1:78" ht="12.9" customHeight="1">
      <c r="D82" s="557"/>
    </row>
    <row r="83" spans="1:78" ht="12.9"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2.9" customHeight="1" thickTop="1"/>
    <row r="85" spans="1:78" ht="12.9" customHeight="1">
      <c r="A85" s="435"/>
      <c r="C85" s="219"/>
    </row>
    <row r="86" spans="1:78" ht="12.9" customHeight="1">
      <c r="D86" s="219"/>
      <c r="AB86" s="2532"/>
      <c r="AC86" s="2532"/>
      <c r="AD86" s="2532"/>
      <c r="AE86" s="2532"/>
      <c r="AF86" s="2532"/>
    </row>
    <row r="87" spans="1:78" ht="12.9" customHeight="1" thickBot="1">
      <c r="D87" s="219"/>
      <c r="AB87" s="2531"/>
      <c r="AC87" s="2531"/>
      <c r="AD87" s="2531"/>
      <c r="AE87" s="2531"/>
      <c r="AF87" s="253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24" sqref="F24"/>
    </sheetView>
  </sheetViews>
  <sheetFormatPr defaultColWidth="0" defaultRowHeight="13.8" zeroHeight="1"/>
  <cols>
    <col min="1" max="2" width="15.6640625" style="326" customWidth="1"/>
    <col min="3" max="3" width="11" style="326" customWidth="1"/>
    <col min="4" max="4" width="15.6640625" style="326" customWidth="1"/>
    <col min="5" max="5" width="3.6640625" style="326" customWidth="1"/>
    <col min="6" max="7" width="15.6640625" style="326" customWidth="1"/>
    <col min="8" max="8" width="3.6640625" style="326" customWidth="1"/>
    <col min="9" max="10" width="15.6640625" style="326" customWidth="1"/>
    <col min="11" max="11" width="3.33203125" style="326" customWidth="1"/>
    <col min="12" max="17" width="15.6640625" style="326" hidden="1" customWidth="1"/>
    <col min="18" max="16384" width="9.109375" style="326"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2.8">
      <c r="A3" s="457" t="s">
        <v>943</v>
      </c>
      <c r="B3" s="457" t="s">
        <v>944</v>
      </c>
      <c r="C3" s="457" t="s">
        <v>2341</v>
      </c>
      <c r="D3" s="1198" t="s">
        <v>945</v>
      </c>
      <c r="E3" s="218"/>
      <c r="F3" s="1198" t="s">
        <v>946</v>
      </c>
      <c r="G3" s="457" t="s">
        <v>947</v>
      </c>
      <c r="H3" s="458"/>
      <c r="I3" s="457" t="s">
        <v>948</v>
      </c>
      <c r="J3" s="457" t="s">
        <v>949</v>
      </c>
      <c r="K3" s="218"/>
      <c r="L3" s="327"/>
    </row>
    <row r="4" spans="1:12">
      <c r="A4" s="459" t="str">
        <f>Application!B714</f>
        <v>SRO/Studio</v>
      </c>
      <c r="B4" s="1129">
        <f>Application!G714</f>
        <v>20</v>
      </c>
      <c r="C4" s="1130" t="s">
        <v>387</v>
      </c>
      <c r="D4" s="459">
        <f>Application!O714</f>
        <v>785</v>
      </c>
      <c r="E4" s="460"/>
      <c r="F4" s="1131">
        <v>2123</v>
      </c>
      <c r="G4" s="459">
        <f>F4*B4</f>
        <v>42460</v>
      </c>
      <c r="H4" s="460"/>
      <c r="I4" s="459">
        <f>IF(F4=0," ",(F4-D4))</f>
        <v>1338</v>
      </c>
      <c r="J4" s="459">
        <f>IF(F4=0," ",(I4*B4))</f>
        <v>26760</v>
      </c>
      <c r="K4" s="218"/>
      <c r="L4" s="327"/>
    </row>
    <row r="5" spans="1:12">
      <c r="A5" s="459" t="str">
        <f>Application!B715</f>
        <v>SRO/Studio</v>
      </c>
      <c r="B5" s="1129">
        <f>Application!G715</f>
        <v>10</v>
      </c>
      <c r="C5" s="1130" t="s">
        <v>387</v>
      </c>
      <c r="D5" s="459">
        <f>Application!O715</f>
        <v>785</v>
      </c>
      <c r="E5" s="460"/>
      <c r="F5" s="1131"/>
      <c r="G5" s="459">
        <f t="shared" ref="G5:G28" si="0">F5*B5</f>
        <v>0</v>
      </c>
      <c r="H5" s="460"/>
      <c r="I5" s="459" t="str">
        <f t="shared" ref="I5:I28" si="1">IF(F5=0," ",(F5-D5))</f>
        <v xml:space="preserve"> </v>
      </c>
      <c r="J5" s="459" t="str">
        <f t="shared" ref="J5:J28" si="2">IF(F5=0," ",(I5*B5))</f>
        <v xml:space="preserve"> </v>
      </c>
      <c r="K5" s="218"/>
      <c r="L5" s="327"/>
    </row>
    <row r="6" spans="1:12">
      <c r="A6" s="459" t="str">
        <f>Application!B716</f>
        <v>SRO/Studio</v>
      </c>
      <c r="B6" s="1129">
        <f>Application!G716</f>
        <v>5</v>
      </c>
      <c r="C6" s="1130" t="s">
        <v>387</v>
      </c>
      <c r="D6" s="459">
        <f>Application!O716</f>
        <v>1080</v>
      </c>
      <c r="E6" s="460"/>
      <c r="F6" s="1131"/>
      <c r="G6" s="459">
        <f t="shared" si="0"/>
        <v>0</v>
      </c>
      <c r="H6" s="460"/>
      <c r="I6" s="459" t="str">
        <f t="shared" si="1"/>
        <v xml:space="preserve"> </v>
      </c>
      <c r="J6" s="459" t="str">
        <f t="shared" si="2"/>
        <v xml:space="preserve"> </v>
      </c>
      <c r="K6" s="218"/>
      <c r="L6" s="327"/>
    </row>
    <row r="7" spans="1:12">
      <c r="A7" s="459" t="str">
        <f>Application!B717</f>
        <v>SRO/Studio</v>
      </c>
      <c r="B7" s="1129">
        <f>Application!G717</f>
        <v>4</v>
      </c>
      <c r="C7" s="1130" t="s">
        <v>387</v>
      </c>
      <c r="D7" s="459">
        <f>Application!O717</f>
        <v>1375</v>
      </c>
      <c r="E7" s="460"/>
      <c r="F7" s="1131"/>
      <c r="G7" s="459">
        <f t="shared" si="0"/>
        <v>0</v>
      </c>
      <c r="H7" s="460"/>
      <c r="I7" s="459" t="str">
        <f t="shared" si="1"/>
        <v xml:space="preserve"> </v>
      </c>
      <c r="J7" s="459" t="str">
        <f t="shared" si="2"/>
        <v xml:space="preserve"> </v>
      </c>
      <c r="K7" s="218"/>
      <c r="L7" s="327"/>
    </row>
    <row r="8" spans="1:12">
      <c r="A8" s="459" t="str">
        <f>Application!B718</f>
        <v>1 Bedroom</v>
      </c>
      <c r="B8" s="1129">
        <f>Application!G718</f>
        <v>20</v>
      </c>
      <c r="C8" s="1130" t="s">
        <v>387</v>
      </c>
      <c r="D8" s="459">
        <f>Application!O718</f>
        <v>840</v>
      </c>
      <c r="E8" s="460"/>
      <c r="F8" s="1131">
        <v>2405</v>
      </c>
      <c r="G8" s="459">
        <f t="shared" si="0"/>
        <v>48100</v>
      </c>
      <c r="H8" s="460"/>
      <c r="I8" s="459">
        <f t="shared" si="1"/>
        <v>1565</v>
      </c>
      <c r="J8" s="459">
        <f t="shared" si="2"/>
        <v>31300</v>
      </c>
      <c r="K8" s="218"/>
      <c r="L8" s="327"/>
    </row>
    <row r="9" spans="1:12">
      <c r="A9" s="459" t="str">
        <f>Application!B719</f>
        <v>1 Bedroom</v>
      </c>
      <c r="B9" s="1129">
        <f>Application!G719</f>
        <v>7</v>
      </c>
      <c r="C9" s="1130" t="s">
        <v>387</v>
      </c>
      <c r="D9" s="459">
        <f>Application!O719</f>
        <v>840</v>
      </c>
      <c r="E9" s="460"/>
      <c r="F9" s="1131"/>
      <c r="G9" s="459">
        <f t="shared" si="0"/>
        <v>0</v>
      </c>
      <c r="H9" s="460"/>
      <c r="I9" s="459" t="str">
        <f t="shared" si="1"/>
        <v xml:space="preserve"> </v>
      </c>
      <c r="J9" s="459" t="str">
        <f t="shared" si="2"/>
        <v xml:space="preserve"> </v>
      </c>
      <c r="K9" s="218"/>
      <c r="L9" s="327"/>
    </row>
    <row r="10" spans="1:12">
      <c r="A10" s="459" t="str">
        <f>Application!B720</f>
        <v>1 Bedroom</v>
      </c>
      <c r="B10" s="1129">
        <f>Application!G720</f>
        <v>5</v>
      </c>
      <c r="C10" s="1130" t="s">
        <v>387</v>
      </c>
      <c r="D10" s="459">
        <f>Application!O720</f>
        <v>1156</v>
      </c>
      <c r="E10" s="460"/>
      <c r="F10" s="1131"/>
      <c r="G10" s="459">
        <f t="shared" si="0"/>
        <v>0</v>
      </c>
      <c r="H10" s="460"/>
      <c r="I10" s="459" t="str">
        <f t="shared" si="1"/>
        <v xml:space="preserve"> </v>
      </c>
      <c r="J10" s="459" t="str">
        <f t="shared" si="2"/>
        <v xml:space="preserve"> </v>
      </c>
      <c r="K10" s="218"/>
      <c r="L10" s="327"/>
    </row>
    <row r="11" spans="1:12">
      <c r="A11" s="459" t="str">
        <f>Application!B721</f>
        <v>1 Bedroom</v>
      </c>
      <c r="B11" s="1129">
        <f>Application!G721</f>
        <v>6</v>
      </c>
      <c r="C11" s="1130" t="s">
        <v>387</v>
      </c>
      <c r="D11" s="459">
        <f>Application!O721</f>
        <v>1472</v>
      </c>
      <c r="E11" s="460"/>
      <c r="F11" s="1131"/>
      <c r="G11" s="459">
        <f t="shared" si="0"/>
        <v>0</v>
      </c>
      <c r="H11" s="460"/>
      <c r="I11" s="459" t="str">
        <f t="shared" si="1"/>
        <v xml:space="preserve"> </v>
      </c>
      <c r="J11" s="459" t="str">
        <f t="shared" si="2"/>
        <v xml:space="preserve"> </v>
      </c>
      <c r="K11" s="218"/>
      <c r="L11" s="327"/>
    </row>
    <row r="12" spans="1:12">
      <c r="A12" s="459" t="str">
        <f>Application!B722</f>
        <v>1 Bedroom</v>
      </c>
      <c r="B12" s="1129">
        <f>Application!G722</f>
        <v>9</v>
      </c>
      <c r="C12" s="1130" t="s">
        <v>387</v>
      </c>
      <c r="D12" s="459">
        <f>Application!O722</f>
        <v>1788</v>
      </c>
      <c r="E12" s="460"/>
      <c r="F12" s="1131"/>
      <c r="G12" s="459">
        <f t="shared" si="0"/>
        <v>0</v>
      </c>
      <c r="H12" s="460"/>
      <c r="I12" s="459" t="str">
        <f t="shared" si="1"/>
        <v xml:space="preserve"> </v>
      </c>
      <c r="J12" s="459" t="str">
        <f t="shared" si="2"/>
        <v xml:space="preserve"> </v>
      </c>
      <c r="K12" s="218"/>
      <c r="L12" s="327"/>
    </row>
    <row r="13" spans="1:12">
      <c r="A13" s="459" t="str">
        <f>Application!B723</f>
        <v>2 Bedrooms</v>
      </c>
      <c r="B13" s="1129">
        <f>Application!G723</f>
        <v>3</v>
      </c>
      <c r="C13" s="1130" t="s">
        <v>387</v>
      </c>
      <c r="D13" s="459">
        <f>Application!O723</f>
        <v>996</v>
      </c>
      <c r="E13" s="460"/>
      <c r="F13" s="1131">
        <v>2800</v>
      </c>
      <c r="G13" s="459">
        <f t="shared" si="0"/>
        <v>8400</v>
      </c>
      <c r="H13" s="460"/>
      <c r="I13" s="459">
        <f t="shared" si="1"/>
        <v>1804</v>
      </c>
      <c r="J13" s="459">
        <f t="shared" si="2"/>
        <v>5412</v>
      </c>
      <c r="K13" s="218"/>
      <c r="L13" s="327"/>
    </row>
    <row r="14" spans="1:12">
      <c r="A14" s="459" t="str">
        <f>Application!B724</f>
        <v>2 Bedrooms</v>
      </c>
      <c r="B14" s="1129">
        <f>Application!G724</f>
        <v>12</v>
      </c>
      <c r="C14" s="1130" t="s">
        <v>387</v>
      </c>
      <c r="D14" s="459">
        <f>Application!O724</f>
        <v>996</v>
      </c>
      <c r="E14" s="460"/>
      <c r="F14" s="1131">
        <v>2800</v>
      </c>
      <c r="G14" s="459">
        <f t="shared" si="0"/>
        <v>33600</v>
      </c>
      <c r="H14" s="460"/>
      <c r="I14" s="459">
        <f t="shared" si="1"/>
        <v>1804</v>
      </c>
      <c r="J14" s="459">
        <f t="shared" si="2"/>
        <v>21648</v>
      </c>
      <c r="K14" s="218"/>
      <c r="L14" s="327"/>
    </row>
    <row r="15" spans="1:12">
      <c r="A15" s="459" t="str">
        <f>Application!B725</f>
        <v>2 Bedrooms</v>
      </c>
      <c r="B15" s="1129">
        <f>Application!G725</f>
        <v>3</v>
      </c>
      <c r="C15" s="1130" t="s">
        <v>387</v>
      </c>
      <c r="D15" s="459">
        <f>Application!O725</f>
        <v>1375</v>
      </c>
      <c r="E15" s="460"/>
      <c r="F15" s="1131"/>
      <c r="G15" s="459">
        <f t="shared" si="0"/>
        <v>0</v>
      </c>
      <c r="H15" s="460"/>
      <c r="I15" s="459" t="str">
        <f t="shared" si="1"/>
        <v xml:space="preserve"> </v>
      </c>
      <c r="J15" s="459" t="str">
        <f t="shared" si="2"/>
        <v xml:space="preserve"> </v>
      </c>
      <c r="K15" s="218"/>
      <c r="L15" s="327"/>
    </row>
    <row r="16" spans="1:12">
      <c r="A16" s="459" t="str">
        <f>Application!B726</f>
        <v>2 Bedrooms</v>
      </c>
      <c r="B16" s="1129">
        <f>Application!G726</f>
        <v>3</v>
      </c>
      <c r="C16" s="1130" t="s">
        <v>387</v>
      </c>
      <c r="D16" s="459">
        <f>Application!O726</f>
        <v>1755</v>
      </c>
      <c r="E16" s="460"/>
      <c r="F16" s="1131">
        <v>2800</v>
      </c>
      <c r="G16" s="459">
        <f t="shared" si="0"/>
        <v>8400</v>
      </c>
      <c r="H16" s="460"/>
      <c r="I16" s="459">
        <f t="shared" si="1"/>
        <v>1045</v>
      </c>
      <c r="J16" s="459">
        <f t="shared" si="2"/>
        <v>3135</v>
      </c>
      <c r="K16" s="218"/>
      <c r="L16" s="327"/>
    </row>
    <row r="17" spans="1:12">
      <c r="A17" s="459" t="str">
        <f>Application!B727</f>
        <v>2 Bedrooms</v>
      </c>
      <c r="B17" s="1129">
        <f>Application!G727</f>
        <v>6</v>
      </c>
      <c r="C17" s="1130" t="s">
        <v>387</v>
      </c>
      <c r="D17" s="459">
        <f>Application!O727</f>
        <v>1755</v>
      </c>
      <c r="E17" s="460"/>
      <c r="F17" s="1131"/>
      <c r="G17" s="459">
        <f t="shared" si="0"/>
        <v>0</v>
      </c>
      <c r="H17" s="460"/>
      <c r="I17" s="459" t="str">
        <f t="shared" si="1"/>
        <v xml:space="preserve"> </v>
      </c>
      <c r="J17" s="459" t="str">
        <f t="shared" si="2"/>
        <v xml:space="preserve"> </v>
      </c>
      <c r="K17" s="218"/>
      <c r="L17" s="327"/>
    </row>
    <row r="18" spans="1:12">
      <c r="A18" s="459" t="str">
        <f>Application!B728</f>
        <v>2 Bedrooms</v>
      </c>
      <c r="B18" s="1129">
        <f>Application!G728</f>
        <v>12</v>
      </c>
      <c r="C18" s="1130" t="s">
        <v>387</v>
      </c>
      <c r="D18" s="459">
        <f>Application!O728</f>
        <v>2134</v>
      </c>
      <c r="E18" s="460"/>
      <c r="F18" s="1131"/>
      <c r="G18" s="459">
        <f t="shared" si="0"/>
        <v>0</v>
      </c>
      <c r="H18" s="460"/>
      <c r="I18" s="459" t="str">
        <f t="shared" si="1"/>
        <v xml:space="preserve"> </v>
      </c>
      <c r="J18" s="459" t="str">
        <f t="shared" si="2"/>
        <v xml:space="preserve"> </v>
      </c>
      <c r="K18" s="218"/>
      <c r="L18" s="327"/>
    </row>
    <row r="19" spans="1:12">
      <c r="A19" s="459" t="str">
        <f>Application!B729</f>
        <v>2 Bedrooms</v>
      </c>
      <c r="B19" s="1129">
        <f>Application!G729</f>
        <v>5</v>
      </c>
      <c r="C19" s="1130" t="s">
        <v>387</v>
      </c>
      <c r="D19" s="459">
        <f>Application!O729</f>
        <v>2513</v>
      </c>
      <c r="E19" s="460"/>
      <c r="F19" s="1131"/>
      <c r="G19" s="459">
        <f t="shared" si="0"/>
        <v>0</v>
      </c>
      <c r="H19" s="460"/>
      <c r="I19" s="459" t="str">
        <f t="shared" si="1"/>
        <v xml:space="preserve"> </v>
      </c>
      <c r="J19" s="459" t="str">
        <f t="shared" si="2"/>
        <v xml:space="preserve"> </v>
      </c>
      <c r="K19" s="218"/>
      <c r="L19" s="327"/>
    </row>
    <row r="20" spans="1:12">
      <c r="A20" s="459" t="str">
        <f>Application!B730</f>
        <v>3 Bedrooms</v>
      </c>
      <c r="B20" s="1129">
        <f>Application!G730</f>
        <v>2</v>
      </c>
      <c r="C20" s="1130" t="s">
        <v>387</v>
      </c>
      <c r="D20" s="459">
        <f>Application!O730</f>
        <v>1141</v>
      </c>
      <c r="E20" s="460"/>
      <c r="F20" s="1131">
        <v>3577</v>
      </c>
      <c r="G20" s="459">
        <f t="shared" si="0"/>
        <v>7154</v>
      </c>
      <c r="H20" s="460"/>
      <c r="I20" s="459">
        <f t="shared" si="1"/>
        <v>2436</v>
      </c>
      <c r="J20" s="459">
        <f t="shared" si="2"/>
        <v>4872</v>
      </c>
      <c r="K20" s="218"/>
      <c r="L20" s="327"/>
    </row>
    <row r="21" spans="1:12">
      <c r="A21" s="459" t="str">
        <f>Application!B731</f>
        <v>3 Bedrooms</v>
      </c>
      <c r="B21" s="1129">
        <f>Application!G731</f>
        <v>13</v>
      </c>
      <c r="C21" s="1130" t="s">
        <v>387</v>
      </c>
      <c r="D21" s="459">
        <f>Application!O731</f>
        <v>1141</v>
      </c>
      <c r="E21" s="460"/>
      <c r="F21" s="1131">
        <v>3577</v>
      </c>
      <c r="G21" s="459">
        <f t="shared" si="0"/>
        <v>46501</v>
      </c>
      <c r="H21" s="460"/>
      <c r="I21" s="459">
        <f t="shared" si="1"/>
        <v>2436</v>
      </c>
      <c r="J21" s="459">
        <f t="shared" si="2"/>
        <v>31668</v>
      </c>
      <c r="K21" s="218"/>
      <c r="L21" s="327"/>
    </row>
    <row r="22" spans="1:12">
      <c r="A22" s="459" t="str">
        <f>Application!B732</f>
        <v>3 Bedrooms</v>
      </c>
      <c r="B22" s="1129">
        <f>Application!G732</f>
        <v>3</v>
      </c>
      <c r="C22" s="1130" t="s">
        <v>387</v>
      </c>
      <c r="D22" s="459">
        <f>Application!O732</f>
        <v>1579</v>
      </c>
      <c r="E22" s="460"/>
      <c r="F22" s="1131"/>
      <c r="G22" s="459">
        <f t="shared" si="0"/>
        <v>0</v>
      </c>
      <c r="H22" s="460"/>
      <c r="I22" s="459" t="str">
        <f t="shared" si="1"/>
        <v xml:space="preserve"> </v>
      </c>
      <c r="J22" s="459" t="str">
        <f t="shared" si="2"/>
        <v xml:space="preserve"> </v>
      </c>
      <c r="K22" s="218"/>
      <c r="L22" s="327"/>
    </row>
    <row r="23" spans="1:12">
      <c r="A23" s="459" t="str">
        <f>Application!B733</f>
        <v>3 Bedrooms</v>
      </c>
      <c r="B23" s="1129">
        <f>Application!G733</f>
        <v>2</v>
      </c>
      <c r="C23" s="1130" t="s">
        <v>387</v>
      </c>
      <c r="D23" s="459">
        <f>Application!O733</f>
        <v>2017</v>
      </c>
      <c r="E23" s="460"/>
      <c r="F23" s="1131">
        <v>3577</v>
      </c>
      <c r="G23" s="459">
        <f t="shared" si="0"/>
        <v>7154</v>
      </c>
      <c r="H23" s="460"/>
      <c r="I23" s="459">
        <f t="shared" si="1"/>
        <v>1560</v>
      </c>
      <c r="J23" s="459">
        <f t="shared" si="2"/>
        <v>3120</v>
      </c>
      <c r="K23" s="218"/>
      <c r="L23" s="327"/>
    </row>
    <row r="24" spans="1:12">
      <c r="A24" s="459" t="str">
        <f>Application!B734</f>
        <v>3 Bedrooms</v>
      </c>
      <c r="B24" s="1129">
        <f>Application!G734</f>
        <v>7</v>
      </c>
      <c r="C24" s="1130" t="s">
        <v>387</v>
      </c>
      <c r="D24" s="459">
        <f>Application!O734</f>
        <v>2017</v>
      </c>
      <c r="E24" s="460"/>
      <c r="F24" s="1131"/>
      <c r="G24" s="459">
        <f t="shared" si="0"/>
        <v>0</v>
      </c>
      <c r="H24" s="460"/>
      <c r="I24" s="459" t="str">
        <f t="shared" si="1"/>
        <v xml:space="preserve"> </v>
      </c>
      <c r="J24" s="459" t="str">
        <f t="shared" si="2"/>
        <v xml:space="preserve"> </v>
      </c>
      <c r="K24" s="218"/>
      <c r="L24" s="327"/>
    </row>
    <row r="25" spans="1:12">
      <c r="A25" s="459" t="str">
        <f>Application!B735</f>
        <v>3 Bedrooms</v>
      </c>
      <c r="B25" s="1129">
        <f>Application!G735</f>
        <v>12</v>
      </c>
      <c r="C25" s="1130"/>
      <c r="D25" s="459">
        <f>Application!O735</f>
        <v>2455</v>
      </c>
      <c r="E25" s="460"/>
      <c r="F25" s="1131"/>
      <c r="G25" s="459">
        <f t="shared" si="0"/>
        <v>0</v>
      </c>
      <c r="H25" s="460"/>
      <c r="I25" s="459" t="str">
        <f t="shared" si="1"/>
        <v xml:space="preserve"> </v>
      </c>
      <c r="J25" s="459" t="str">
        <f t="shared" si="2"/>
        <v xml:space="preserve"> </v>
      </c>
      <c r="K25" s="218"/>
      <c r="L25" s="327"/>
    </row>
    <row r="26" spans="1:12">
      <c r="A26" s="459" t="str">
        <f>Application!B736</f>
        <v>3 Bedrooms</v>
      </c>
      <c r="B26" s="1129">
        <f>Application!G736</f>
        <v>5</v>
      </c>
      <c r="C26" s="1130"/>
      <c r="D26" s="459">
        <f>Application!O736</f>
        <v>2893</v>
      </c>
      <c r="E26" s="460"/>
      <c r="F26" s="1131"/>
      <c r="G26" s="459">
        <f t="shared" si="0"/>
        <v>0</v>
      </c>
      <c r="H26" s="460"/>
      <c r="I26" s="459" t="str">
        <f t="shared" si="1"/>
        <v xml:space="preserve"> </v>
      </c>
      <c r="J26" s="459" t="str">
        <f t="shared" si="2"/>
        <v xml:space="preserve"> </v>
      </c>
      <c r="K26" s="218"/>
      <c r="L26" s="327"/>
    </row>
    <row r="27" spans="1:12">
      <c r="A27" s="459">
        <f>Application!B737</f>
        <v>0</v>
      </c>
      <c r="B27" s="1129">
        <f>Application!G737</f>
        <v>0</v>
      </c>
      <c r="C27" s="1130"/>
      <c r="D27" s="459">
        <f>Application!O737</f>
        <v>0</v>
      </c>
      <c r="E27" s="460"/>
      <c r="F27" s="1131"/>
      <c r="G27" s="459">
        <f t="shared" si="0"/>
        <v>0</v>
      </c>
      <c r="H27" s="460"/>
      <c r="I27" s="459" t="str">
        <f t="shared" si="1"/>
        <v xml:space="preserve"> </v>
      </c>
      <c r="J27" s="459" t="str">
        <f t="shared" si="2"/>
        <v xml:space="preserve"> </v>
      </c>
      <c r="K27" s="218"/>
      <c r="L27" s="327"/>
    </row>
    <row r="28" spans="1:12">
      <c r="A28" s="459">
        <f>Application!B738</f>
        <v>0</v>
      </c>
      <c r="B28" s="1129">
        <f>Application!G738</f>
        <v>0</v>
      </c>
      <c r="C28" s="1130"/>
      <c r="D28" s="459">
        <f>Application!O738</f>
        <v>0</v>
      </c>
      <c r="E28" s="460"/>
      <c r="F28" s="1131"/>
      <c r="G28" s="459">
        <f t="shared" si="0"/>
        <v>0</v>
      </c>
      <c r="H28" s="460"/>
      <c r="I28" s="459" t="str">
        <f t="shared" si="1"/>
        <v xml:space="preserve"> </v>
      </c>
      <c r="J28" s="459" t="str">
        <f t="shared" si="2"/>
        <v xml:space="preserve"> </v>
      </c>
      <c r="K28" s="218"/>
      <c r="L28" s="327"/>
    </row>
    <row r="29" spans="1:12">
      <c r="A29" s="218"/>
      <c r="B29" s="218"/>
      <c r="C29" s="218"/>
      <c r="D29" s="460"/>
      <c r="E29" s="460"/>
      <c r="F29" s="460"/>
      <c r="G29" s="460"/>
      <c r="H29" s="460"/>
      <c r="I29" s="460"/>
      <c r="J29" s="218"/>
      <c r="K29" s="218"/>
      <c r="L29" s="327"/>
    </row>
    <row r="30" spans="1:12">
      <c r="A30" s="461" t="s">
        <v>950</v>
      </c>
      <c r="B30" s="462"/>
      <c r="C30" s="462"/>
      <c r="D30" s="463">
        <f>Application!O739</f>
        <v>244797</v>
      </c>
      <c r="E30" s="460"/>
      <c r="F30" s="460"/>
      <c r="G30" s="463">
        <f>SUM(G4:G28)*12</f>
        <v>2421228</v>
      </c>
      <c r="H30" s="464"/>
      <c r="I30" s="462"/>
      <c r="J30" s="463">
        <f>SUM(J4:J28)*12</f>
        <v>1534980</v>
      </c>
      <c r="K30" s="218"/>
      <c r="L30" s="328"/>
    </row>
    <row r="31" spans="1:12">
      <c r="A31" s="461"/>
      <c r="B31" s="462"/>
      <c r="C31" s="462"/>
      <c r="D31" s="464"/>
      <c r="E31" s="460"/>
      <c r="F31" s="460"/>
      <c r="G31" s="464"/>
      <c r="H31" s="464"/>
      <c r="I31" s="462"/>
      <c r="J31" s="464"/>
      <c r="K31" s="218"/>
      <c r="L31" s="328"/>
    </row>
    <row r="32" spans="1:12">
      <c r="A32" s="465" t="s">
        <v>951</v>
      </c>
      <c r="B32" s="225"/>
      <c r="C32" s="225"/>
      <c r="D32" s="225"/>
      <c r="E32" s="225"/>
      <c r="F32" s="225"/>
      <c r="G32" s="225"/>
      <c r="H32" s="225"/>
      <c r="I32" s="225"/>
      <c r="J32" s="225"/>
    </row>
    <row r="33" spans="1:10">
      <c r="A33" s="465"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80" zoomScaleNormal="80" zoomScaleSheetLayoutView="100" workbookViewId="0">
      <selection activeCell="G52" sqref="G52"/>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2517</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2937564</v>
      </c>
      <c r="G4" s="235">
        <f>E4*$C$4</f>
        <v>3011003.0999999996</v>
      </c>
      <c r="I4" s="235">
        <f>G4*$C$4</f>
        <v>3086278.1774999993</v>
      </c>
      <c r="K4" s="235">
        <f>I4*$C$4</f>
        <v>3163435.1319374992</v>
      </c>
      <c r="M4" s="235">
        <f>K4*$C$4</f>
        <v>3242521.0102359364</v>
      </c>
      <c r="O4" s="235">
        <f>M4*$C$4</f>
        <v>3323584.0354918344</v>
      </c>
      <c r="Q4" s="235">
        <f>O4*$C$4</f>
        <v>3406673.6363791302</v>
      </c>
      <c r="S4" s="235">
        <f>Q4*$C$4</f>
        <v>3491840.477288608</v>
      </c>
      <c r="U4" s="235">
        <f>S4*$C$4</f>
        <v>3579136.4892208227</v>
      </c>
      <c r="W4" s="235">
        <f>U4*$C$4</f>
        <v>3668614.9014513427</v>
      </c>
      <c r="Y4" s="235">
        <f>W4*$C$4</f>
        <v>3760330.2739876262</v>
      </c>
      <c r="AA4" s="235">
        <f>Y4*$C$4</f>
        <v>3854338.5308373165</v>
      </c>
      <c r="AC4" s="235">
        <f>AA4*$C$4</f>
        <v>3950696.994108249</v>
      </c>
      <c r="AE4" s="235">
        <f>AC4*$C$4</f>
        <v>4049464.418960955</v>
      </c>
      <c r="AG4" s="235">
        <f>AE4*$C$4</f>
        <v>4150701.0294349785</v>
      </c>
    </row>
    <row r="5" spans="1:34" s="225" customFormat="1" ht="13.8">
      <c r="B5" s="225" t="s">
        <v>866</v>
      </c>
      <c r="C5" s="254">
        <f>IF(Application!$D$210="Special Needs",0.1,0.05)</f>
        <v>0.05</v>
      </c>
      <c r="E5" s="237">
        <f>-E4*$C$5</f>
        <v>-146878.20000000001</v>
      </c>
      <c r="F5" s="237"/>
      <c r="G5" s="237">
        <f>-G4*$C$5</f>
        <v>-150550.155</v>
      </c>
      <c r="H5" s="237"/>
      <c r="I5" s="237">
        <f>-I4*$C$5</f>
        <v>-154313.90887499996</v>
      </c>
      <c r="J5" s="237"/>
      <c r="K5" s="237">
        <f>-K4*$C$5</f>
        <v>-158171.75659687497</v>
      </c>
      <c r="L5" s="237"/>
      <c r="M5" s="237">
        <f>-M4*$C$5</f>
        <v>-162126.05051179684</v>
      </c>
      <c r="N5" s="237"/>
      <c r="O5" s="237">
        <f>-O4*$C$5</f>
        <v>-166179.20177459173</v>
      </c>
      <c r="P5" s="237"/>
      <c r="Q5" s="237">
        <f>-Q4*$C$5</f>
        <v>-170333.68181895651</v>
      </c>
      <c r="R5" s="237"/>
      <c r="S5" s="237">
        <f>-S4*$C$5</f>
        <v>-174592.0238644304</v>
      </c>
      <c r="T5" s="237"/>
      <c r="U5" s="237">
        <f>-U4*$C$5</f>
        <v>-178956.82446104113</v>
      </c>
      <c r="V5" s="237"/>
      <c r="W5" s="237">
        <f>-W4*$C$5</f>
        <v>-183430.74507256714</v>
      </c>
      <c r="X5" s="237"/>
      <c r="Y5" s="237">
        <f>-Y4*$C$5</f>
        <v>-188016.51369938132</v>
      </c>
      <c r="Z5" s="237"/>
      <c r="AA5" s="237">
        <f>-AA4*$C$5</f>
        <v>-192716.92654186583</v>
      </c>
      <c r="AB5" s="237"/>
      <c r="AC5" s="237">
        <f>-AC4*$C$5</f>
        <v>-197534.84970541246</v>
      </c>
      <c r="AD5" s="237"/>
      <c r="AE5" s="237">
        <f>-AE4*$C$5</f>
        <v>-202473.22094804776</v>
      </c>
      <c r="AF5" s="237"/>
      <c r="AG5" s="237">
        <f>-AG4*$C$5</f>
        <v>-207535.05147174894</v>
      </c>
    </row>
    <row r="6" spans="1:34" s="225" customFormat="1" ht="13.8">
      <c r="A6" s="225" t="s">
        <v>864</v>
      </c>
      <c r="C6" s="253">
        <v>1.0249999999999999</v>
      </c>
      <c r="E6" s="238">
        <f>Application!Z793</f>
        <v>1534980</v>
      </c>
      <c r="F6" s="238"/>
      <c r="G6" s="238">
        <f>E6*$C$6</f>
        <v>1573354.4999999998</v>
      </c>
      <c r="H6" s="238"/>
      <c r="I6" s="238">
        <f>G6*$C$6</f>
        <v>1612688.3624999996</v>
      </c>
      <c r="J6" s="238"/>
      <c r="K6" s="238">
        <f>I6*$C$6</f>
        <v>1653005.5715624995</v>
      </c>
      <c r="L6" s="238"/>
      <c r="M6" s="238">
        <f>K6*$C$6</f>
        <v>1694330.7108515617</v>
      </c>
      <c r="N6" s="238"/>
      <c r="O6" s="238">
        <f>M6*$C$6</f>
        <v>1736688.9786228507</v>
      </c>
      <c r="P6" s="238"/>
      <c r="Q6" s="238">
        <f>O6*$C$6</f>
        <v>1780106.2030884218</v>
      </c>
      <c r="R6" s="238"/>
      <c r="S6" s="238">
        <f>Q6*$C$6</f>
        <v>1824608.8581656322</v>
      </c>
      <c r="T6" s="238"/>
      <c r="U6" s="238">
        <f>S6*$C$6</f>
        <v>1870224.079619773</v>
      </c>
      <c r="V6" s="238"/>
      <c r="W6" s="238">
        <f>U6*$C$6</f>
        <v>1916979.6816102671</v>
      </c>
      <c r="X6" s="238"/>
      <c r="Y6" s="238">
        <f>W6*$C$6</f>
        <v>1964904.1736505236</v>
      </c>
      <c r="Z6" s="238"/>
      <c r="AA6" s="238">
        <f>Y6*$C$6</f>
        <v>2014026.7779917866</v>
      </c>
      <c r="AB6" s="238"/>
      <c r="AC6" s="238">
        <f>AA6*$C$6</f>
        <v>2064377.4474415812</v>
      </c>
      <c r="AD6" s="238"/>
      <c r="AE6" s="238">
        <f>AC6*$C$6</f>
        <v>2115986.8836276205</v>
      </c>
      <c r="AF6" s="238"/>
      <c r="AG6" s="238">
        <f>AE6*$C$6</f>
        <v>2168886.5557183106</v>
      </c>
    </row>
    <row r="7" spans="1:34" s="225" customFormat="1" ht="13.8">
      <c r="B7" s="225" t="s">
        <v>866</v>
      </c>
      <c r="C7" s="254">
        <f>IF(Application!$D$210="Special Needs",0.1,0.05)</f>
        <v>0.05</v>
      </c>
      <c r="E7" s="237">
        <f>-E6*$C$7</f>
        <v>-76749</v>
      </c>
      <c r="F7" s="237"/>
      <c r="G7" s="237">
        <f>-G6*$C$7</f>
        <v>-78667.724999999991</v>
      </c>
      <c r="H7" s="237"/>
      <c r="I7" s="237">
        <f>-I6*$C$7</f>
        <v>-80634.418124999982</v>
      </c>
      <c r="J7" s="237"/>
      <c r="K7" s="237">
        <f>-K6*$C$7</f>
        <v>-82650.278578124984</v>
      </c>
      <c r="L7" s="237"/>
      <c r="M7" s="237">
        <f>-M6*$C$7</f>
        <v>-84716.535542578087</v>
      </c>
      <c r="N7" s="237"/>
      <c r="O7" s="237">
        <f>-O6*$C$7</f>
        <v>-86834.448931142542</v>
      </c>
      <c r="P7" s="237"/>
      <c r="Q7" s="237">
        <f>-Q6*$C$7</f>
        <v>-89005.310154421095</v>
      </c>
      <c r="R7" s="237"/>
      <c r="S7" s="237">
        <f>-S6*$C$7</f>
        <v>-91230.44290828162</v>
      </c>
      <c r="T7" s="237"/>
      <c r="U7" s="237">
        <f>-U6*$C$7</f>
        <v>-93511.203980988648</v>
      </c>
      <c r="V7" s="237"/>
      <c r="W7" s="237">
        <f>-W6*$C$7</f>
        <v>-95848.984080513357</v>
      </c>
      <c r="X7" s="237"/>
      <c r="Y7" s="237">
        <f>-Y6*$C$7</f>
        <v>-98245.208682526194</v>
      </c>
      <c r="Z7" s="237"/>
      <c r="AA7" s="237">
        <f>-AA6*$C$7</f>
        <v>-100701.33889958933</v>
      </c>
      <c r="AB7" s="237"/>
      <c r="AC7" s="237">
        <f>-AC6*$C$7</f>
        <v>-103218.87237207906</v>
      </c>
      <c r="AD7" s="237"/>
      <c r="AE7" s="237">
        <f>-AE6*$C$7</f>
        <v>-105799.34418138104</v>
      </c>
      <c r="AF7" s="237"/>
      <c r="AG7" s="237">
        <f>-AG6*$C$7</f>
        <v>-108444.32778591554</v>
      </c>
    </row>
    <row r="8" spans="1:34" s="225" customFormat="1" ht="13.8">
      <c r="A8" s="225" t="s">
        <v>290</v>
      </c>
      <c r="C8" s="253">
        <v>1.0249999999999999</v>
      </c>
      <c r="E8" s="238">
        <f>Application!Z801</f>
        <v>21120</v>
      </c>
      <c r="F8" s="238"/>
      <c r="G8" s="238">
        <f>E8*$C$8</f>
        <v>21647.999999999996</v>
      </c>
      <c r="H8" s="238"/>
      <c r="I8" s="238">
        <f>G8*$C$8</f>
        <v>22189.199999999993</v>
      </c>
      <c r="J8" s="238"/>
      <c r="K8" s="238">
        <f>I8*$C$8</f>
        <v>22743.929999999993</v>
      </c>
      <c r="L8" s="238"/>
      <c r="M8" s="238">
        <f>K8*$C$8</f>
        <v>23312.528249999992</v>
      </c>
      <c r="N8" s="238"/>
      <c r="O8" s="238">
        <f>M8*$C$8</f>
        <v>23895.341456249989</v>
      </c>
      <c r="P8" s="238"/>
      <c r="Q8" s="238">
        <f>O8*$C$8</f>
        <v>24492.724992656236</v>
      </c>
      <c r="R8" s="238"/>
      <c r="S8" s="238">
        <f>Q8*$C$8</f>
        <v>25105.04311747264</v>
      </c>
      <c r="T8" s="238"/>
      <c r="U8" s="238">
        <f>S8*$C$8</f>
        <v>25732.669195409453</v>
      </c>
      <c r="V8" s="238"/>
      <c r="W8" s="238">
        <f>U8*$C$8</f>
        <v>26375.985925294688</v>
      </c>
      <c r="X8" s="238"/>
      <c r="Y8" s="238">
        <f>W8*$C$8</f>
        <v>27035.385573427055</v>
      </c>
      <c r="Z8" s="238"/>
      <c r="AA8" s="238">
        <f>Y8*$C$8</f>
        <v>27711.270212762727</v>
      </c>
      <c r="AB8" s="238"/>
      <c r="AC8" s="238">
        <f>AA8*$C$8</f>
        <v>28404.051968081792</v>
      </c>
      <c r="AD8" s="238"/>
      <c r="AE8" s="238">
        <f>AC8*$C$8</f>
        <v>29114.153267283833</v>
      </c>
      <c r="AF8" s="238"/>
      <c r="AG8" s="238">
        <f>AE8*$C$8</f>
        <v>29842.007098965925</v>
      </c>
    </row>
    <row r="9" spans="1:34" s="225" customFormat="1" ht="13.8">
      <c r="B9" s="225" t="s">
        <v>866</v>
      </c>
      <c r="C9" s="254">
        <f>IF(Application!$D$210="Special Needs",0.1,0.05)</f>
        <v>0.05</v>
      </c>
      <c r="E9" s="237">
        <f>-E8*$C$9</f>
        <v>-1056</v>
      </c>
      <c r="F9" s="237"/>
      <c r="G9" s="237">
        <f>-G8*$C$9</f>
        <v>-1082.3999999999999</v>
      </c>
      <c r="H9" s="237"/>
      <c r="I9" s="237">
        <f>-I8*$C$9</f>
        <v>-1109.4599999999998</v>
      </c>
      <c r="J9" s="237"/>
      <c r="K9" s="237">
        <f>-K8*$C$9</f>
        <v>-1137.1964999999998</v>
      </c>
      <c r="L9" s="237"/>
      <c r="M9" s="237">
        <f>-M8*$C$9</f>
        <v>-1165.6264124999996</v>
      </c>
      <c r="N9" s="237"/>
      <c r="O9" s="237">
        <f>-O8*$C$9</f>
        <v>-1194.7670728124995</v>
      </c>
      <c r="P9" s="237"/>
      <c r="Q9" s="237">
        <f>-Q8*$C$9</f>
        <v>-1224.6362496328118</v>
      </c>
      <c r="R9" s="237"/>
      <c r="S9" s="237">
        <f>-S8*$C$9</f>
        <v>-1255.2521558736321</v>
      </c>
      <c r="T9" s="237"/>
      <c r="U9" s="237">
        <f>-U8*$C$9</f>
        <v>-1286.6334597704727</v>
      </c>
      <c r="V9" s="237"/>
      <c r="W9" s="237">
        <f>-W8*$C$9</f>
        <v>-1318.7992962647345</v>
      </c>
      <c r="X9" s="237"/>
      <c r="Y9" s="237">
        <f>-Y8*$C$9</f>
        <v>-1351.7692786713528</v>
      </c>
      <c r="Z9" s="237"/>
      <c r="AA9" s="237">
        <f>-AA8*$C$9</f>
        <v>-1385.5635106381364</v>
      </c>
      <c r="AB9" s="237"/>
      <c r="AC9" s="237">
        <f>-AC8*$C$9</f>
        <v>-1420.2025984040897</v>
      </c>
      <c r="AD9" s="237"/>
      <c r="AE9" s="237">
        <f>-AE8*$C$9</f>
        <v>-1455.7076633641918</v>
      </c>
      <c r="AF9" s="237"/>
      <c r="AG9" s="237">
        <f>-AG8*$C$9</f>
        <v>-1492.1003549482964</v>
      </c>
    </row>
    <row r="10" spans="1:34" s="225" customFormat="1" ht="13.8">
      <c r="A10" s="1195" t="s">
        <v>2522</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3.8">
      <c r="A11" s="239" t="s">
        <v>887</v>
      </c>
      <c r="C11" s="231"/>
      <c r="E11" s="239">
        <f>SUM(E4:E10)</f>
        <v>4268980.8</v>
      </c>
      <c r="G11" s="239">
        <f>SUM(G4:G10)</f>
        <v>4375705.3199999994</v>
      </c>
      <c r="I11" s="239">
        <f>SUM(I4:I10)</f>
        <v>4485097.9529999997</v>
      </c>
      <c r="K11" s="239">
        <f>SUM(K4:K10)</f>
        <v>4597225.4018249987</v>
      </c>
      <c r="M11" s="239">
        <f>SUM(M4:M10)</f>
        <v>4712156.036870623</v>
      </c>
      <c r="O11" s="239">
        <f>SUM(O4:O10)</f>
        <v>4829959.9377923887</v>
      </c>
      <c r="Q11" s="239">
        <f>SUM(Q4:Q10)</f>
        <v>4950708.9362371974</v>
      </c>
      <c r="S11" s="239">
        <f>SUM(S4:S10)</f>
        <v>5074476.6596431276</v>
      </c>
      <c r="U11" s="239">
        <f>SUM(U4:U10)</f>
        <v>5201338.5761342058</v>
      </c>
      <c r="W11" s="239">
        <f>SUM(W4:W10)</f>
        <v>5331372.0405375604</v>
      </c>
      <c r="Y11" s="239">
        <f>SUM(Y4:Y10)</f>
        <v>5464656.3415509984</v>
      </c>
      <c r="AA11" s="239">
        <f>SUM(AA4:AA10)</f>
        <v>5601272.7500897739</v>
      </c>
      <c r="AC11" s="239">
        <f>SUM(AC4:AC10)</f>
        <v>5741304.5688420162</v>
      </c>
      <c r="AE11" s="239">
        <f>SUM(AE4:AE10)</f>
        <v>5884837.1830630666</v>
      </c>
      <c r="AG11" s="239">
        <f>SUM(AG4:AG10)</f>
        <v>6031958.1126396423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62576</v>
      </c>
      <c r="G15" s="235">
        <f>E15*$C$14</f>
        <v>64766.159999999996</v>
      </c>
      <c r="I15" s="235">
        <f>G15*$C$14</f>
        <v>67032.975599999991</v>
      </c>
      <c r="K15" s="235">
        <f>I15*$C$14</f>
        <v>69379.129745999991</v>
      </c>
      <c r="M15" s="235">
        <f>K15*$C$14</f>
        <v>71807.399287109991</v>
      </c>
      <c r="O15" s="235">
        <f>M15*$C$14</f>
        <v>74320.658262158831</v>
      </c>
      <c r="Q15" s="235">
        <f>O15*$C$14</f>
        <v>76921.88130133439</v>
      </c>
      <c r="S15" s="235">
        <f>Q15*$C$14</f>
        <v>79614.147146881092</v>
      </c>
      <c r="U15" s="235">
        <f>S15*$C$14</f>
        <v>82400.642297021928</v>
      </c>
      <c r="W15" s="235">
        <f>U15*$C$14</f>
        <v>85284.664777417696</v>
      </c>
      <c r="Y15" s="235">
        <f>W15*$C$14</f>
        <v>88269.628044627316</v>
      </c>
      <c r="AA15" s="235">
        <f>Y15*$C$14</f>
        <v>91359.065026189259</v>
      </c>
      <c r="AC15" s="235">
        <f>AA15*$C$14</f>
        <v>94556.632302105878</v>
      </c>
      <c r="AE15" s="235">
        <f>AC15*$C$14</f>
        <v>97866.114432679577</v>
      </c>
      <c r="AG15" s="235">
        <f>AE15*$C$14</f>
        <v>101291.42843782336</v>
      </c>
    </row>
    <row r="16" spans="1:34" s="225" customFormat="1" ht="13.8">
      <c r="A16" s="225" t="s">
        <v>346</v>
      </c>
      <c r="C16" s="249"/>
      <c r="E16" s="238">
        <f>Application!W833</f>
        <v>175338</v>
      </c>
      <c r="F16" s="238"/>
      <c r="G16" s="238">
        <f t="shared" ref="G16:AG21" si="0">E16*$C$14</f>
        <v>181474.83</v>
      </c>
      <c r="H16" s="238"/>
      <c r="I16" s="238">
        <f t="shared" si="0"/>
        <v>187826.44904999997</v>
      </c>
      <c r="J16" s="238"/>
      <c r="K16" s="238">
        <f t="shared" si="0"/>
        <v>194400.37476674994</v>
      </c>
      <c r="L16" s="238"/>
      <c r="M16" s="238">
        <f t="shared" si="0"/>
        <v>201204.38788358617</v>
      </c>
      <c r="N16" s="238"/>
      <c r="O16" s="238">
        <f t="shared" si="0"/>
        <v>208246.54145951167</v>
      </c>
      <c r="P16" s="238"/>
      <c r="Q16" s="238">
        <f t="shared" si="0"/>
        <v>215535.17041059455</v>
      </c>
      <c r="R16" s="238"/>
      <c r="S16" s="238">
        <f t="shared" si="0"/>
        <v>223078.90137496535</v>
      </c>
      <c r="T16" s="238"/>
      <c r="U16" s="238">
        <f t="shared" si="0"/>
        <v>230886.66292308911</v>
      </c>
      <c r="V16" s="238"/>
      <c r="W16" s="238">
        <f t="shared" si="0"/>
        <v>238967.69612539723</v>
      </c>
      <c r="X16" s="238"/>
      <c r="Y16" s="238">
        <f t="shared" si="0"/>
        <v>247331.56548978612</v>
      </c>
      <c r="Z16" s="238"/>
      <c r="AA16" s="238">
        <f t="shared" si="0"/>
        <v>255988.17028192861</v>
      </c>
      <c r="AB16" s="238"/>
      <c r="AC16" s="238">
        <f t="shared" si="0"/>
        <v>264947.75624179607</v>
      </c>
      <c r="AD16" s="238"/>
      <c r="AE16" s="238">
        <f t="shared" si="0"/>
        <v>274220.92771025893</v>
      </c>
      <c r="AF16" s="238"/>
      <c r="AG16" s="238">
        <f t="shared" si="0"/>
        <v>283818.66018011799</v>
      </c>
    </row>
    <row r="17" spans="1:33" s="225" customFormat="1" ht="13.8">
      <c r="A17" s="225" t="s">
        <v>570</v>
      </c>
      <c r="C17" s="249"/>
      <c r="E17" s="238">
        <f>Application!W839</f>
        <v>322272</v>
      </c>
      <c r="F17" s="238"/>
      <c r="G17" s="238">
        <f t="shared" si="0"/>
        <v>333551.51999999996</v>
      </c>
      <c r="H17" s="238"/>
      <c r="I17" s="238">
        <f t="shared" si="0"/>
        <v>345225.82319999993</v>
      </c>
      <c r="J17" s="238"/>
      <c r="K17" s="238">
        <f t="shared" si="0"/>
        <v>357308.72701199987</v>
      </c>
      <c r="L17" s="238"/>
      <c r="M17" s="238">
        <f t="shared" si="0"/>
        <v>369814.53245741985</v>
      </c>
      <c r="N17" s="238"/>
      <c r="O17" s="238">
        <f t="shared" si="0"/>
        <v>382758.04109342949</v>
      </c>
      <c r="P17" s="238"/>
      <c r="Q17" s="238">
        <f t="shared" si="0"/>
        <v>396154.57253169949</v>
      </c>
      <c r="R17" s="238"/>
      <c r="S17" s="238">
        <f t="shared" si="0"/>
        <v>410019.98257030896</v>
      </c>
      <c r="T17" s="238"/>
      <c r="U17" s="238">
        <f t="shared" si="0"/>
        <v>424370.68196026975</v>
      </c>
      <c r="V17" s="238"/>
      <c r="W17" s="238">
        <f t="shared" si="0"/>
        <v>439223.65582887916</v>
      </c>
      <c r="X17" s="238"/>
      <c r="Y17" s="238">
        <f t="shared" si="0"/>
        <v>454596.4837828899</v>
      </c>
      <c r="Z17" s="238"/>
      <c r="AA17" s="238">
        <f t="shared" si="0"/>
        <v>470507.360715291</v>
      </c>
      <c r="AB17" s="238"/>
      <c r="AC17" s="238">
        <f t="shared" si="0"/>
        <v>486975.11834032612</v>
      </c>
      <c r="AD17" s="238"/>
      <c r="AE17" s="238">
        <f t="shared" si="0"/>
        <v>504019.24748223752</v>
      </c>
      <c r="AF17" s="238"/>
      <c r="AG17" s="238">
        <f t="shared" si="0"/>
        <v>521659.9211441158</v>
      </c>
    </row>
    <row r="18" spans="1:33" s="225" customFormat="1" ht="13.8">
      <c r="A18" s="225" t="s">
        <v>870</v>
      </c>
      <c r="C18" s="249"/>
      <c r="E18" s="238">
        <f>Application!W846</f>
        <v>697089</v>
      </c>
      <c r="F18" s="238"/>
      <c r="G18" s="238">
        <f t="shared" si="0"/>
        <v>721487.11499999999</v>
      </c>
      <c r="H18" s="238"/>
      <c r="I18" s="238">
        <f t="shared" si="0"/>
        <v>746739.16402499995</v>
      </c>
      <c r="J18" s="238"/>
      <c r="K18" s="238">
        <f t="shared" si="0"/>
        <v>772875.03476587485</v>
      </c>
      <c r="L18" s="238"/>
      <c r="M18" s="238">
        <f t="shared" si="0"/>
        <v>799925.66098268039</v>
      </c>
      <c r="N18" s="238"/>
      <c r="O18" s="238">
        <f t="shared" si="0"/>
        <v>827923.05911707412</v>
      </c>
      <c r="P18" s="238"/>
      <c r="Q18" s="238">
        <f t="shared" si="0"/>
        <v>856900.36618617165</v>
      </c>
      <c r="R18" s="238"/>
      <c r="S18" s="238">
        <f t="shared" si="0"/>
        <v>886891.87900268764</v>
      </c>
      <c r="T18" s="238"/>
      <c r="U18" s="238">
        <f t="shared" si="0"/>
        <v>917933.09476778167</v>
      </c>
      <c r="V18" s="238"/>
      <c r="W18" s="238">
        <f t="shared" si="0"/>
        <v>950060.75308465399</v>
      </c>
      <c r="X18" s="238"/>
      <c r="Y18" s="238">
        <f t="shared" si="0"/>
        <v>983312.87944261683</v>
      </c>
      <c r="Z18" s="238"/>
      <c r="AA18" s="238">
        <f t="shared" si="0"/>
        <v>1017728.8302231083</v>
      </c>
      <c r="AB18" s="238"/>
      <c r="AC18" s="238">
        <f t="shared" si="0"/>
        <v>1053349.3392809171</v>
      </c>
      <c r="AD18" s="238"/>
      <c r="AE18" s="238">
        <f t="shared" si="0"/>
        <v>1090216.5661557491</v>
      </c>
      <c r="AF18" s="238"/>
      <c r="AG18" s="238">
        <f t="shared" si="0"/>
        <v>1128374.1459712002</v>
      </c>
    </row>
    <row r="19" spans="1:33" s="225" customFormat="1" ht="13.8">
      <c r="A19" s="225" t="s">
        <v>156</v>
      </c>
      <c r="C19" s="249"/>
      <c r="E19" s="238">
        <f>Application!W847</f>
        <v>93164</v>
      </c>
      <c r="F19" s="238"/>
      <c r="G19" s="238">
        <f t="shared" si="0"/>
        <v>96424.739999999991</v>
      </c>
      <c r="H19" s="238"/>
      <c r="I19" s="238">
        <f t="shared" si="0"/>
        <v>99799.60589999998</v>
      </c>
      <c r="J19" s="238"/>
      <c r="K19" s="238">
        <f t="shared" si="0"/>
        <v>103292.59210649997</v>
      </c>
      <c r="L19" s="238"/>
      <c r="M19" s="238">
        <f t="shared" si="0"/>
        <v>106907.83283022746</v>
      </c>
      <c r="N19" s="238"/>
      <c r="O19" s="238">
        <f t="shared" si="0"/>
        <v>110649.60697928541</v>
      </c>
      <c r="P19" s="238"/>
      <c r="Q19" s="238">
        <f t="shared" si="0"/>
        <v>114522.3432235604</v>
      </c>
      <c r="R19" s="238"/>
      <c r="S19" s="238">
        <f t="shared" si="0"/>
        <v>118530.62523638501</v>
      </c>
      <c r="T19" s="238"/>
      <c r="U19" s="238">
        <f t="shared" si="0"/>
        <v>122679.19711965848</v>
      </c>
      <c r="V19" s="238"/>
      <c r="W19" s="238">
        <f t="shared" si="0"/>
        <v>126972.96901884652</v>
      </c>
      <c r="X19" s="238"/>
      <c r="Y19" s="238">
        <f t="shared" si="0"/>
        <v>131417.02293450612</v>
      </c>
      <c r="Z19" s="238"/>
      <c r="AA19" s="238">
        <f t="shared" si="0"/>
        <v>136016.61873721384</v>
      </c>
      <c r="AB19" s="238"/>
      <c r="AC19" s="238">
        <f t="shared" si="0"/>
        <v>140777.2003930163</v>
      </c>
      <c r="AD19" s="238"/>
      <c r="AE19" s="238">
        <f t="shared" si="0"/>
        <v>145704.40240677187</v>
      </c>
      <c r="AF19" s="238"/>
      <c r="AG19" s="238">
        <f t="shared" si="0"/>
        <v>150804.05649100887</v>
      </c>
    </row>
    <row r="20" spans="1:33" s="225" customFormat="1" ht="13.8">
      <c r="A20" s="225" t="s">
        <v>392</v>
      </c>
      <c r="C20" s="249"/>
      <c r="E20" s="238">
        <f>Application!W856</f>
        <v>220249</v>
      </c>
      <c r="F20" s="238"/>
      <c r="G20" s="238">
        <f t="shared" si="0"/>
        <v>227957.715</v>
      </c>
      <c r="H20" s="238"/>
      <c r="I20" s="238">
        <f t="shared" si="0"/>
        <v>235936.23502499997</v>
      </c>
      <c r="J20" s="238"/>
      <c r="K20" s="238">
        <f t="shared" si="0"/>
        <v>244194.00325087496</v>
      </c>
      <c r="L20" s="238"/>
      <c r="M20" s="238">
        <f t="shared" si="0"/>
        <v>252740.79336465558</v>
      </c>
      <c r="N20" s="238"/>
      <c r="O20" s="238">
        <f t="shared" si="0"/>
        <v>261586.72113241849</v>
      </c>
      <c r="P20" s="238"/>
      <c r="Q20" s="238">
        <f t="shared" si="0"/>
        <v>270742.25637205312</v>
      </c>
      <c r="R20" s="238"/>
      <c r="S20" s="238">
        <f t="shared" si="0"/>
        <v>280218.23534507497</v>
      </c>
      <c r="T20" s="238"/>
      <c r="U20" s="238">
        <f t="shared" si="0"/>
        <v>290025.87358215259</v>
      </c>
      <c r="V20" s="238"/>
      <c r="W20" s="238">
        <f t="shared" si="0"/>
        <v>300176.7791575279</v>
      </c>
      <c r="X20" s="238"/>
      <c r="Y20" s="238">
        <f t="shared" si="0"/>
        <v>310682.96642804134</v>
      </c>
      <c r="Z20" s="238"/>
      <c r="AA20" s="238">
        <f t="shared" si="0"/>
        <v>321556.87025302276</v>
      </c>
      <c r="AB20" s="238"/>
      <c r="AC20" s="238">
        <f t="shared" si="0"/>
        <v>332811.36071187851</v>
      </c>
      <c r="AD20" s="238"/>
      <c r="AE20" s="238">
        <f t="shared" si="0"/>
        <v>344459.75833679421</v>
      </c>
      <c r="AF20" s="238"/>
      <c r="AG20" s="238">
        <f t="shared" si="0"/>
        <v>356515.849878582</v>
      </c>
    </row>
    <row r="21" spans="1:33" s="225" customFormat="1" ht="13.8">
      <c r="A21" s="242" t="s">
        <v>1002</v>
      </c>
      <c r="B21" s="242"/>
      <c r="C21" s="249"/>
      <c r="E21" s="248">
        <f>Application!W863</f>
        <v>857</v>
      </c>
      <c r="F21" s="238"/>
      <c r="G21" s="248">
        <f t="shared" si="0"/>
        <v>886.99499999999989</v>
      </c>
      <c r="H21" s="238"/>
      <c r="I21" s="248">
        <f t="shared" si="0"/>
        <v>918.03982499999984</v>
      </c>
      <c r="J21" s="238"/>
      <c r="K21" s="248">
        <f t="shared" si="0"/>
        <v>950.17121887499979</v>
      </c>
      <c r="L21" s="238"/>
      <c r="M21" s="248">
        <f t="shared" si="0"/>
        <v>983.42721153562468</v>
      </c>
      <c r="N21" s="238"/>
      <c r="O21" s="248">
        <f t="shared" si="0"/>
        <v>1017.8471639393715</v>
      </c>
      <c r="P21" s="238"/>
      <c r="Q21" s="248">
        <f t="shared" si="0"/>
        <v>1053.4718146772495</v>
      </c>
      <c r="R21" s="238"/>
      <c r="S21" s="248">
        <f t="shared" si="0"/>
        <v>1090.3433281909531</v>
      </c>
      <c r="T21" s="238"/>
      <c r="U21" s="248">
        <f t="shared" si="0"/>
        <v>1128.5053446776365</v>
      </c>
      <c r="V21" s="238"/>
      <c r="W21" s="248">
        <f t="shared" si="0"/>
        <v>1168.0030317413537</v>
      </c>
      <c r="X21" s="238"/>
      <c r="Y21" s="248">
        <f t="shared" si="0"/>
        <v>1208.8831378523009</v>
      </c>
      <c r="Z21" s="238"/>
      <c r="AA21" s="248">
        <f t="shared" si="0"/>
        <v>1251.1940476771313</v>
      </c>
      <c r="AB21" s="238"/>
      <c r="AC21" s="248">
        <f t="shared" si="0"/>
        <v>1294.9858393458308</v>
      </c>
      <c r="AD21" s="238"/>
      <c r="AE21" s="248">
        <f t="shared" si="0"/>
        <v>1340.3103437229347</v>
      </c>
      <c r="AF21" s="238"/>
      <c r="AG21" s="248">
        <f t="shared" si="0"/>
        <v>1387.2212057532372</v>
      </c>
    </row>
    <row r="22" spans="1:33" s="239" customFormat="1" ht="13.8">
      <c r="A22" s="239" t="s">
        <v>871</v>
      </c>
      <c r="C22" s="249"/>
      <c r="E22" s="239">
        <f>SUM(E15:E21)</f>
        <v>1571545</v>
      </c>
      <c r="G22" s="239">
        <f>SUM(G15:G21)</f>
        <v>1626549.0750000002</v>
      </c>
      <c r="I22" s="239">
        <f>SUM(I15:I21)</f>
        <v>1683478.292625</v>
      </c>
      <c r="K22" s="239">
        <f>SUM(K15:K21)</f>
        <v>1742400.0328668747</v>
      </c>
      <c r="M22" s="239">
        <f>SUM(M15:M21)</f>
        <v>1803384.034017215</v>
      </c>
      <c r="O22" s="239">
        <f>SUM(O15:O21)</f>
        <v>1866502.4752078173</v>
      </c>
      <c r="Q22" s="239">
        <f>SUM(Q15:Q21)</f>
        <v>1931830.0618400909</v>
      </c>
      <c r="S22" s="239">
        <f>SUM(S15:S21)</f>
        <v>1999444.1140044939</v>
      </c>
      <c r="U22" s="239">
        <f>SUM(U15:U21)</f>
        <v>2069424.6579946515</v>
      </c>
      <c r="W22" s="239">
        <f>SUM(W15:W21)</f>
        <v>2141854.5210244637</v>
      </c>
      <c r="Y22" s="239">
        <f>SUM(Y15:Y21)</f>
        <v>2216819.42926032</v>
      </c>
      <c r="AA22" s="239">
        <f>SUM(AA15:AA21)</f>
        <v>2294408.1092844312</v>
      </c>
      <c r="AC22" s="239">
        <f>SUM(AC15:AC21)</f>
        <v>2374712.3931093859</v>
      </c>
      <c r="AE22" s="239">
        <f>SUM(AE15:AE21)</f>
        <v>2457827.3268682137</v>
      </c>
      <c r="AG22" s="239">
        <f>SUM(AG15:AG21)</f>
        <v>2543851.2833086015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1941</v>
      </c>
      <c r="C24" s="249"/>
      <c r="E24" s="946"/>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335410</v>
      </c>
      <c r="F27" s="238"/>
      <c r="G27" s="238">
        <f>E27*$C$27</f>
        <v>347149.35</v>
      </c>
      <c r="H27" s="238"/>
      <c r="I27" s="238">
        <f>G27*$C$27</f>
        <v>359299.57724999997</v>
      </c>
      <c r="J27" s="238"/>
      <c r="K27" s="238">
        <f>I27*$C$27</f>
        <v>371875.06245374994</v>
      </c>
      <c r="L27" s="238"/>
      <c r="M27" s="238">
        <f>K27*$C$27</f>
        <v>384890.68963963113</v>
      </c>
      <c r="N27" s="238"/>
      <c r="O27" s="238">
        <f>M27*$C$27</f>
        <v>398361.86377701821</v>
      </c>
      <c r="P27" s="238"/>
      <c r="Q27" s="238">
        <f>O27*$C$27</f>
        <v>412304.52900921379</v>
      </c>
      <c r="R27" s="238"/>
      <c r="S27" s="238">
        <f>Q27*$C$27</f>
        <v>426735.18752453622</v>
      </c>
      <c r="T27" s="238"/>
      <c r="U27" s="238">
        <f>S27*$C$27</f>
        <v>441670.91908789496</v>
      </c>
      <c r="V27" s="238"/>
      <c r="W27" s="238">
        <f>U27*$C$27</f>
        <v>457129.40125597123</v>
      </c>
      <c r="X27" s="238"/>
      <c r="Y27" s="238">
        <f>W27*$C$27</f>
        <v>473128.93029993016</v>
      </c>
      <c r="Z27" s="238"/>
      <c r="AA27" s="238">
        <f>Y27*$C$27</f>
        <v>489688.44286042766</v>
      </c>
      <c r="AB27" s="238"/>
      <c r="AC27" s="238">
        <f>AA27*$C$27</f>
        <v>506827.53836054262</v>
      </c>
      <c r="AD27" s="238"/>
      <c r="AE27" s="238">
        <f>AC27*$C$27</f>
        <v>524566.5022031616</v>
      </c>
      <c r="AF27" s="238"/>
      <c r="AG27" s="238">
        <f>AE27*$C$27</f>
        <v>542926.32978027221</v>
      </c>
    </row>
    <row r="28" spans="1:33" s="225" customFormat="1" ht="13.8">
      <c r="A28" s="225" t="s">
        <v>874</v>
      </c>
      <c r="C28" s="253"/>
      <c r="E28" s="238">
        <f>Application!AC873</f>
        <v>88000</v>
      </c>
      <c r="F28" s="238"/>
      <c r="G28" s="238">
        <f>$E$28</f>
        <v>88000</v>
      </c>
      <c r="H28" s="238"/>
      <c r="I28" s="238">
        <f>$E$28</f>
        <v>88000</v>
      </c>
      <c r="J28" s="238"/>
      <c r="K28" s="238">
        <f>$E$28</f>
        <v>88000</v>
      </c>
      <c r="L28" s="238"/>
      <c r="M28" s="238">
        <f>$E$28</f>
        <v>88000</v>
      </c>
      <c r="N28" s="238"/>
      <c r="O28" s="238">
        <f>$E$28</f>
        <v>88000</v>
      </c>
      <c r="P28" s="238"/>
      <c r="Q28" s="238">
        <f>$E$28</f>
        <v>88000</v>
      </c>
      <c r="R28" s="238"/>
      <c r="S28" s="238">
        <f>$E$28</f>
        <v>88000</v>
      </c>
      <c r="T28" s="238"/>
      <c r="U28" s="238">
        <f>$E$28</f>
        <v>88000</v>
      </c>
      <c r="V28" s="238"/>
      <c r="W28" s="238">
        <f>$E$28</f>
        <v>88000</v>
      </c>
      <c r="X28" s="238"/>
      <c r="Y28" s="238">
        <f>$E$28</f>
        <v>88000</v>
      </c>
      <c r="Z28" s="238"/>
      <c r="AA28" s="238">
        <f>$E$28</f>
        <v>88000</v>
      </c>
      <c r="AB28" s="238"/>
      <c r="AC28" s="238">
        <f>$E$28</f>
        <v>88000</v>
      </c>
      <c r="AD28" s="238"/>
      <c r="AE28" s="238">
        <f>$E$28</f>
        <v>88000</v>
      </c>
      <c r="AF28" s="238"/>
      <c r="AG28" s="238">
        <f>$E$28</f>
        <v>88000</v>
      </c>
    </row>
    <row r="29" spans="1:33" s="225" customFormat="1" ht="13.8">
      <c r="A29" s="225" t="s">
        <v>1939</v>
      </c>
      <c r="C29" s="253"/>
      <c r="E29" s="238">
        <f>Application!AC874</f>
        <v>17400</v>
      </c>
      <c r="F29" s="238"/>
      <c r="G29" s="238">
        <f>$E$29</f>
        <v>17400</v>
      </c>
      <c r="H29" s="238"/>
      <c r="I29" s="238">
        <f>$E$29</f>
        <v>17400</v>
      </c>
      <c r="J29" s="238"/>
      <c r="K29" s="238">
        <f>$E$29</f>
        <v>17400</v>
      </c>
      <c r="L29" s="238"/>
      <c r="M29" s="238">
        <f>$E$29</f>
        <v>17400</v>
      </c>
      <c r="N29" s="238"/>
      <c r="O29" s="238">
        <f>$E$29</f>
        <v>17400</v>
      </c>
      <c r="P29" s="238"/>
      <c r="Q29" s="238">
        <f>$E$29</f>
        <v>17400</v>
      </c>
      <c r="R29" s="238"/>
      <c r="S29" s="238">
        <f>$E$29</f>
        <v>17400</v>
      </c>
      <c r="T29" s="238"/>
      <c r="U29" s="238">
        <f>$E$29</f>
        <v>17400</v>
      </c>
      <c r="V29" s="238"/>
      <c r="W29" s="238">
        <f>$E$29</f>
        <v>17400</v>
      </c>
      <c r="X29" s="238"/>
      <c r="Y29" s="238">
        <f>$E$29</f>
        <v>17400</v>
      </c>
      <c r="Z29" s="238"/>
      <c r="AA29" s="238">
        <f>$E$29</f>
        <v>17400</v>
      </c>
      <c r="AB29" s="238"/>
      <c r="AC29" s="238">
        <f>$E$29</f>
        <v>17400</v>
      </c>
      <c r="AD29" s="238"/>
      <c r="AE29" s="238">
        <f>$E$29</f>
        <v>17400</v>
      </c>
      <c r="AF29" s="238"/>
      <c r="AG29" s="238">
        <f>$E$29</f>
        <v>17400</v>
      </c>
    </row>
    <row r="30" spans="1:33" s="225" customFormat="1" ht="13.8">
      <c r="A30" s="225" t="s">
        <v>872</v>
      </c>
      <c r="C30" s="253">
        <v>1.02</v>
      </c>
      <c r="E30" s="238">
        <f>Application!AC875</f>
        <v>14038</v>
      </c>
      <c r="F30" s="238"/>
      <c r="G30" s="238">
        <f>E30*$C$30</f>
        <v>14318.76</v>
      </c>
      <c r="H30" s="238"/>
      <c r="I30" s="238">
        <f>G30*$C$30</f>
        <v>14605.135200000001</v>
      </c>
      <c r="J30" s="238"/>
      <c r="K30" s="238">
        <f>I30*$C$30</f>
        <v>14897.237904000001</v>
      </c>
      <c r="L30" s="238"/>
      <c r="M30" s="238">
        <f>K30*$C$30</f>
        <v>15195.182662080002</v>
      </c>
      <c r="N30" s="238"/>
      <c r="O30" s="238">
        <f>M30*$C$30</f>
        <v>15499.086315321603</v>
      </c>
      <c r="P30" s="238"/>
      <c r="Q30" s="238">
        <f>O30*$C$30</f>
        <v>15809.068041628036</v>
      </c>
      <c r="R30" s="238"/>
      <c r="S30" s="238">
        <f>Q30*$C$30</f>
        <v>16125.249402460597</v>
      </c>
      <c r="T30" s="238"/>
      <c r="U30" s="238">
        <f>S30*$C$30</f>
        <v>16447.75439050981</v>
      </c>
      <c r="V30" s="238"/>
      <c r="W30" s="238">
        <f>U30*$C$30</f>
        <v>16776.709478320008</v>
      </c>
      <c r="X30" s="238"/>
      <c r="Y30" s="238">
        <f>W30*$C$30</f>
        <v>17112.243667886407</v>
      </c>
      <c r="Z30" s="238"/>
      <c r="AA30" s="238">
        <f>Y30*$C$30</f>
        <v>17454.488541244136</v>
      </c>
      <c r="AB30" s="238"/>
      <c r="AC30" s="238">
        <f>AA30*$C$30</f>
        <v>17803.578312069018</v>
      </c>
      <c r="AD30" s="238"/>
      <c r="AE30" s="238">
        <f>AC30*$C$30</f>
        <v>18159.6498783104</v>
      </c>
      <c r="AF30" s="238"/>
      <c r="AG30" s="238">
        <f>AE30*$C$30</f>
        <v>18522.842875876609</v>
      </c>
    </row>
    <row r="31" spans="1:33" s="225" customFormat="1" ht="13.8">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(Annual Issuer Fee):</v>
      </c>
      <c r="C32" s="339">
        <v>1</v>
      </c>
      <c r="E32" s="238">
        <f>Application!AC877</f>
        <v>12829.5</v>
      </c>
      <c r="F32" s="238"/>
      <c r="G32" s="238">
        <f>E32*$C$32</f>
        <v>12829.5</v>
      </c>
      <c r="H32" s="238"/>
      <c r="I32" s="238">
        <f>G32*$C$32</f>
        <v>12829.5</v>
      </c>
      <c r="J32" s="238"/>
      <c r="K32" s="238">
        <f>I32*$C$32</f>
        <v>12829.5</v>
      </c>
      <c r="L32" s="238"/>
      <c r="M32" s="238">
        <f>K32*$C$32</f>
        <v>12829.5</v>
      </c>
      <c r="N32" s="238"/>
      <c r="O32" s="238">
        <f>M32*$C$32</f>
        <v>12829.5</v>
      </c>
      <c r="P32" s="238"/>
      <c r="Q32" s="238">
        <f>O32*$C$32</f>
        <v>12829.5</v>
      </c>
      <c r="R32" s="238"/>
      <c r="S32" s="238">
        <f>Q32*$C$32</f>
        <v>12829.5</v>
      </c>
      <c r="T32" s="238"/>
      <c r="U32" s="238">
        <f>S32*$C$32</f>
        <v>12829.5</v>
      </c>
      <c r="V32" s="238"/>
      <c r="W32" s="238">
        <f>U32*$C$32</f>
        <v>12829.5</v>
      </c>
      <c r="X32" s="238"/>
      <c r="Y32" s="238">
        <f>W32*$C$32</f>
        <v>12829.5</v>
      </c>
      <c r="Z32" s="238"/>
      <c r="AA32" s="238">
        <f>Y32*$C$32</f>
        <v>12829.5</v>
      </c>
      <c r="AB32" s="238"/>
      <c r="AC32" s="238">
        <f>AA32*$C$32</f>
        <v>12829.5</v>
      </c>
      <c r="AD32" s="238"/>
      <c r="AE32" s="238">
        <f>AC32*$C$32</f>
        <v>12829.5</v>
      </c>
      <c r="AF32" s="238"/>
      <c r="AG32" s="238">
        <f>AE32*$C$32</f>
        <v>12829.5</v>
      </c>
    </row>
    <row r="33" spans="1:33" s="225" customFormat="1" ht="13.8">
      <c r="A33" s="225" t="str">
        <f>Application!C878</f>
        <v>Other (Specify):</v>
      </c>
      <c r="C33" s="339">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2039222.5</v>
      </c>
      <c r="G35" s="239">
        <f>SUM(G22:G33)</f>
        <v>2106246.6850000005</v>
      </c>
      <c r="I35" s="239">
        <f>SUM(I22:I33)</f>
        <v>2175612.5050749998</v>
      </c>
      <c r="K35" s="239">
        <f>SUM(K22:K33)</f>
        <v>2247401.8332246249</v>
      </c>
      <c r="M35" s="239">
        <f>SUM(M22:M33)</f>
        <v>2321699.4063189263</v>
      </c>
      <c r="O35" s="239">
        <f>SUM(O22:O33)</f>
        <v>2398592.9253001572</v>
      </c>
      <c r="Q35" s="239">
        <f>SUM(Q22:Q33)</f>
        <v>2478173.1588909328</v>
      </c>
      <c r="S35" s="239">
        <f>SUM(S22:S33)</f>
        <v>2560534.050931491</v>
      </c>
      <c r="U35" s="239">
        <f>SUM(U22:U33)</f>
        <v>2645772.8314730562</v>
      </c>
      <c r="W35" s="239">
        <f>SUM(W22:W33)</f>
        <v>2733990.1317587551</v>
      </c>
      <c r="Y35" s="239">
        <f>SUM(Y22:Y33)</f>
        <v>2825290.1032281369</v>
      </c>
      <c r="AA35" s="239">
        <f>SUM(AA22:AA33)</f>
        <v>2919780.540686103</v>
      </c>
      <c r="AC35" s="239">
        <f>SUM(AC22:AC33)</f>
        <v>3017573.0097819977</v>
      </c>
      <c r="AE35" s="239">
        <f>SUM(AE22:AE33)</f>
        <v>3118782.978949686</v>
      </c>
      <c r="AG35" s="239">
        <f>SUM(AG22:AG33)</f>
        <v>3223529.9559647501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2229758.2999999998</v>
      </c>
      <c r="G37" s="239">
        <f>G11-G35</f>
        <v>2269458.6349999988</v>
      </c>
      <c r="I37" s="239">
        <f>I11-I35</f>
        <v>2309485.447925</v>
      </c>
      <c r="K37" s="239">
        <f>K11-K35</f>
        <v>2349823.5686003738</v>
      </c>
      <c r="M37" s="239">
        <f>M11-M35</f>
        <v>2390456.6305516968</v>
      </c>
      <c r="O37" s="239">
        <f>O11-O35</f>
        <v>2431367.0124922316</v>
      </c>
      <c r="Q37" s="239">
        <f>Q11-Q35</f>
        <v>2472535.7773462646</v>
      </c>
      <c r="S37" s="239">
        <f>S11-S35</f>
        <v>2513942.6087116366</v>
      </c>
      <c r="U37" s="239">
        <f>U11-U35</f>
        <v>2555565.7446611496</v>
      </c>
      <c r="W37" s="239">
        <f>W11-W35</f>
        <v>2597381.9087788053</v>
      </c>
      <c r="Y37" s="239">
        <f>Y11-Y35</f>
        <v>2639366.2383228615</v>
      </c>
      <c r="AA37" s="239">
        <f>AA11-AA35</f>
        <v>2681492.2094036709</v>
      </c>
      <c r="AC37" s="239">
        <f>AC11-AC35</f>
        <v>2723731.5590600185</v>
      </c>
      <c r="AE37" s="239">
        <f>AE11-AE35</f>
        <v>2766054.2041133805</v>
      </c>
      <c r="AG37" s="239">
        <f>AG11-AG35</f>
        <v>2808428.1566748922</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Silicon Valley Bank-Tranche A</v>
      </c>
      <c r="B40" s="242"/>
      <c r="C40" s="236"/>
      <c r="E40" s="238">
        <f>Application!AF623</f>
        <v>639848.72178988671</v>
      </c>
      <c r="F40" s="238"/>
      <c r="G40" s="238">
        <f>$E$40</f>
        <v>639848.72178988671</v>
      </c>
      <c r="H40" s="238"/>
      <c r="I40" s="238">
        <f>$E$40</f>
        <v>639848.72178988671</v>
      </c>
      <c r="J40" s="238"/>
      <c r="K40" s="238">
        <f>$E$40</f>
        <v>639848.72178988671</v>
      </c>
      <c r="L40" s="238"/>
      <c r="M40" s="238">
        <f>$E$40</f>
        <v>639848.72178988671</v>
      </c>
      <c r="N40" s="238"/>
      <c r="O40" s="238">
        <f>$E$40</f>
        <v>639848.72178988671</v>
      </c>
      <c r="P40" s="238"/>
      <c r="Q40" s="238">
        <f>$E$40</f>
        <v>639848.72178988671</v>
      </c>
      <c r="R40" s="238"/>
      <c r="S40" s="238">
        <f>$E$40</f>
        <v>639848.72178988671</v>
      </c>
      <c r="T40" s="238"/>
      <c r="U40" s="238">
        <f>$E$40</f>
        <v>639848.72178988671</v>
      </c>
      <c r="V40" s="238"/>
      <c r="W40" s="238">
        <f>$E$40</f>
        <v>639848.72178988671</v>
      </c>
      <c r="X40" s="238"/>
      <c r="Y40" s="238">
        <f>$E$40</f>
        <v>639848.72178988671</v>
      </c>
      <c r="Z40" s="238"/>
      <c r="AA40" s="238">
        <f>$E$40</f>
        <v>639848.72178988671</v>
      </c>
      <c r="AB40" s="238"/>
      <c r="AC40" s="238">
        <f>$E$40</f>
        <v>639848.72178988671</v>
      </c>
      <c r="AD40" s="238"/>
      <c r="AE40" s="238">
        <f>$E$40</f>
        <v>639848.72178988671</v>
      </c>
      <c r="AF40" s="238"/>
      <c r="AG40" s="238">
        <f>$E$40</f>
        <v>639848.72178988671</v>
      </c>
    </row>
    <row r="41" spans="1:33" s="225" customFormat="1" ht="13.8">
      <c r="A41" s="241" t="str">
        <f>Application!C624</f>
        <v>Silicon Valley Bank-Tranche B</v>
      </c>
      <c r="B41" s="242"/>
      <c r="C41" s="236"/>
      <c r="E41" s="238">
        <f>Application!AF624</f>
        <v>1257952.4980005077</v>
      </c>
      <c r="F41" s="238"/>
      <c r="G41" s="238">
        <f>$E$41</f>
        <v>1257952.4980005077</v>
      </c>
      <c r="H41" s="238"/>
      <c r="I41" s="238">
        <f>$E$41</f>
        <v>1257952.4980005077</v>
      </c>
      <c r="J41" s="238"/>
      <c r="K41" s="238">
        <f>$E$41</f>
        <v>1257952.4980005077</v>
      </c>
      <c r="L41" s="238"/>
      <c r="M41" s="238">
        <f>$E$41</f>
        <v>1257952.4980005077</v>
      </c>
      <c r="N41" s="238"/>
      <c r="O41" s="238">
        <f>$E$41</f>
        <v>1257952.4980005077</v>
      </c>
      <c r="P41" s="238"/>
      <c r="Q41" s="238">
        <f>$E$41</f>
        <v>1257952.4980005077</v>
      </c>
      <c r="R41" s="238"/>
      <c r="S41" s="238">
        <f>$E$41</f>
        <v>1257952.4980005077</v>
      </c>
      <c r="T41" s="238"/>
      <c r="U41" s="238">
        <f>$E$41</f>
        <v>1257952.4980005077</v>
      </c>
      <c r="V41" s="238"/>
      <c r="W41" s="238">
        <f>$E$41</f>
        <v>1257952.4980005077</v>
      </c>
      <c r="X41" s="238"/>
      <c r="Y41" s="238">
        <f>$E$41</f>
        <v>1257952.4980005077</v>
      </c>
      <c r="Z41" s="238"/>
      <c r="AA41" s="238">
        <f>$E$41</f>
        <v>1257952.4980005077</v>
      </c>
      <c r="AB41" s="238"/>
      <c r="AC41" s="238">
        <f>$E$41</f>
        <v>1257952.4980005077</v>
      </c>
      <c r="AD41" s="238"/>
      <c r="AE41" s="238">
        <f>$E$41</f>
        <v>1257952.4980005077</v>
      </c>
      <c r="AF41" s="238"/>
      <c r="AG41" s="238">
        <f>$E$41</f>
        <v>1257952.4980005077</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876</v>
      </c>
      <c r="C43" s="240"/>
      <c r="E43" s="239">
        <f>SUM(E40:E42)</f>
        <v>1897801.2197903944</v>
      </c>
      <c r="G43" s="239">
        <f>SUM(G40:G42)</f>
        <v>1897801.2197903944</v>
      </c>
      <c r="I43" s="239">
        <f>SUM(I40:I42)</f>
        <v>1897801.2197903944</v>
      </c>
      <c r="K43" s="239">
        <f>SUM(K40:K42)</f>
        <v>1897801.2197903944</v>
      </c>
      <c r="M43" s="239">
        <f>SUM(M40:M42)</f>
        <v>1897801.2197903944</v>
      </c>
      <c r="O43" s="239">
        <f>SUM(O40:O42)</f>
        <v>1897801.2197903944</v>
      </c>
      <c r="Q43" s="239">
        <f>SUM(Q40:Q42)</f>
        <v>1897801.2197903944</v>
      </c>
      <c r="S43" s="239">
        <f>SUM(S40:S42)</f>
        <v>1897801.2197903944</v>
      </c>
      <c r="U43" s="239">
        <f>SUM(U40:U42)</f>
        <v>1897801.2197903944</v>
      </c>
      <c r="W43" s="239">
        <f>SUM(W40:W42)</f>
        <v>1897801.2197903944</v>
      </c>
      <c r="Y43" s="239">
        <f>SUM(Y40:Y42)</f>
        <v>1897801.2197903944</v>
      </c>
      <c r="AA43" s="239">
        <f>SUM(AA40:AA42)</f>
        <v>1897801.2197903944</v>
      </c>
      <c r="AC43" s="239">
        <f>SUM(AC40:AC42)</f>
        <v>1897801.2197903944</v>
      </c>
      <c r="AE43" s="239">
        <f>SUM(AE40:AE42)</f>
        <v>1897801.2197903944</v>
      </c>
      <c r="AG43" s="239">
        <f>SUM(AG40:AG42)</f>
        <v>1897801.2197903944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331957.0802096054</v>
      </c>
      <c r="G45" s="239">
        <f>G37-G43</f>
        <v>371657.41520960443</v>
      </c>
      <c r="I45" s="239">
        <f>I37-I43</f>
        <v>411684.22813460557</v>
      </c>
      <c r="K45" s="239">
        <f>K37-K43</f>
        <v>452022.34880997939</v>
      </c>
      <c r="M45" s="239">
        <f>M37-M43</f>
        <v>492655.41076130234</v>
      </c>
      <c r="O45" s="239">
        <f>O37-O43</f>
        <v>533565.79270183714</v>
      </c>
      <c r="Q45" s="239">
        <f>Q37-Q43</f>
        <v>574734.55755587015</v>
      </c>
      <c r="S45" s="239">
        <f>S37-S43</f>
        <v>616141.38892124221</v>
      </c>
      <c r="U45" s="239">
        <f>U37-U43</f>
        <v>657764.52487075515</v>
      </c>
      <c r="W45" s="239">
        <f>W37-W43</f>
        <v>699580.68898841087</v>
      </c>
      <c r="Y45" s="239">
        <f>Y37-Y43</f>
        <v>741565.01853246707</v>
      </c>
      <c r="AA45" s="239">
        <f>AA37-AA43</f>
        <v>783690.98961327644</v>
      </c>
      <c r="AC45" s="239">
        <f>AC37-AC43</f>
        <v>825930.33926962409</v>
      </c>
      <c r="AE45" s="239">
        <f>AE37-AE43</f>
        <v>868252.9843229861</v>
      </c>
      <c r="AG45" s="239">
        <f>AG37-AG43</f>
        <v>910626.93688449776</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7.3872252177645106E-2</v>
      </c>
      <c r="G47" s="243">
        <f>G45/(G4+G6+G8)</f>
        <v>8.0689744539087074E-2</v>
      </c>
      <c r="I47" s="243">
        <f>I45/(I4+I6+I8)</f>
        <v>8.7199882996150779E-2</v>
      </c>
      <c r="K47" s="243">
        <f>K45/(K4+K6+K8)</f>
        <v>9.3408783306341586E-2</v>
      </c>
      <c r="M47" s="243">
        <f>M45/(M4+M6+M8)</f>
        <v>9.9322398613534521E-2</v>
      </c>
      <c r="O47" s="243">
        <f>O45/(O4+O6+O8)</f>
        <v>0.10494652328284661</v>
      </c>
      <c r="Q47" s="243">
        <f>Q45/(Q4+Q6+Q8)</f>
        <v>0.11028679664069771</v>
      </c>
      <c r="S47" s="243">
        <f>S45/(S4+S6+S8)</f>
        <v>0.11534870662235834</v>
      </c>
      <c r="U47" s="243">
        <f>U45/(U4+U6+U8)</f>
        <v>0.12013759332922423</v>
      </c>
      <c r="W47" s="243">
        <f>W45/(W4+W6+W8)</f>
        <v>0.12465865249801231</v>
      </c>
      <c r="Y47" s="243">
        <f>Y45/(Y4+Y6+Y8)</f>
        <v>0.12891693888400926</v>
      </c>
      <c r="AA47" s="243">
        <f>AA45/(AA4+AA6+AA8)</f>
        <v>0.13291736956045933</v>
      </c>
      <c r="AC47" s="243">
        <f>AC45/(AC4+AC6+AC8)</f>
        <v>0.13666472713611819</v>
      </c>
      <c r="AE47" s="243">
        <f>AE45/(AE4+AE6+AE8)</f>
        <v>0.14016366289296489</v>
      </c>
      <c r="AG47" s="243">
        <f>AG45/(AG4+AG6+AG8)</f>
        <v>0.14341869984599392</v>
      </c>
    </row>
    <row r="48" spans="1:33" s="243" customFormat="1" ht="13.8">
      <c r="A48" s="243" t="s">
        <v>880</v>
      </c>
      <c r="C48" s="236"/>
      <c r="E48" s="243">
        <f>E45/E43</f>
        <v>0.17491667554427481</v>
      </c>
      <c r="G48" s="243">
        <f>G45/G43</f>
        <v>0.19583579741331009</v>
      </c>
      <c r="I48" s="243">
        <f>I45/I43</f>
        <v>0.21692694885087843</v>
      </c>
      <c r="K48" s="243">
        <f>K45/K43</f>
        <v>0.23818213630398219</v>
      </c>
      <c r="M48" s="243">
        <f>M45/M43</f>
        <v>0.25959273585866616</v>
      </c>
      <c r="O48" s="243">
        <f>O45/O43</f>
        <v>0.2811494624082746</v>
      </c>
      <c r="Q48" s="243">
        <f>Q45/Q43</f>
        <v>0.30284233752328793</v>
      </c>
      <c r="S48" s="243">
        <f>S45/S43</f>
        <v>0.32466065597180555</v>
      </c>
      <c r="U48" s="243">
        <f>U45/U43</f>
        <v>0.34659295083781377</v>
      </c>
      <c r="W48" s="243">
        <f>W45/W43</f>
        <v>0.36862695718241617</v>
      </c>
      <c r="Y48" s="243">
        <f>Y45/Y43</f>
        <v>0.39074957419111067</v>
      </c>
      <c r="AA48" s="243">
        <f>AA45/AA43</f>
        <v>0.41294682574807934</v>
      </c>
      <c r="AC48" s="243">
        <f>AC45/AC43</f>
        <v>0.43520381937621749</v>
      </c>
      <c r="AE48" s="243">
        <f>AE45/AE43</f>
        <v>0.45750470347936739</v>
      </c>
      <c r="AG48" s="243">
        <f>AG45/AG43</f>
        <v>0.47983262282077854</v>
      </c>
    </row>
    <row r="49" spans="1:35" s="244" customFormat="1" ht="13.8">
      <c r="A49" s="244" t="s">
        <v>878</v>
      </c>
      <c r="C49" s="245"/>
      <c r="E49" s="244">
        <f>E37/E43</f>
        <v>1.1749166755442748</v>
      </c>
      <c r="G49" s="244">
        <f>G37/G43</f>
        <v>1.19583579741331</v>
      </c>
      <c r="I49" s="244">
        <f>I37/I43</f>
        <v>1.2169269488508785</v>
      </c>
      <c r="K49" s="244">
        <f>K37/K43</f>
        <v>1.2381821363039822</v>
      </c>
      <c r="M49" s="244">
        <f>M37/M43</f>
        <v>1.2595927358586663</v>
      </c>
      <c r="O49" s="244">
        <f>O37/O43</f>
        <v>1.2811494624082747</v>
      </c>
      <c r="Q49" s="244">
        <f>Q37/Q43</f>
        <v>1.3028423375232878</v>
      </c>
      <c r="S49" s="244">
        <f>S37/S43</f>
        <v>1.3246606559718055</v>
      </c>
      <c r="U49" s="244">
        <f>U37/U43</f>
        <v>1.3465929508378138</v>
      </c>
      <c r="W49" s="244">
        <f>W37/W43</f>
        <v>1.3686269571824161</v>
      </c>
      <c r="Y49" s="244">
        <f>Y37/Y43</f>
        <v>1.3907495741911107</v>
      </c>
      <c r="AA49" s="244">
        <f>AA37/AA43</f>
        <v>1.4129468257480793</v>
      </c>
      <c r="AC49" s="244">
        <f>AC37/AC43</f>
        <v>1.4352038193762175</v>
      </c>
      <c r="AE49" s="244">
        <f>AE37/AE43</f>
        <v>1.4575047034793673</v>
      </c>
      <c r="AG49" s="244">
        <f>AG37/AG43</f>
        <v>1.4798326228207785</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7"/>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row>
    <row r="52" spans="1:35" s="3" customFormat="1">
      <c r="A52" s="2542" t="s">
        <v>1327</v>
      </c>
      <c r="B52" s="2542"/>
      <c r="C52" s="2542"/>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row>
    <row r="53" spans="1:35" s="998" customFormat="1">
      <c r="A53" s="998" t="s">
        <v>882</v>
      </c>
      <c r="C53" s="999"/>
      <c r="E53" s="1000"/>
      <c r="G53" s="996">
        <f>E53*$C$53</f>
        <v>0</v>
      </c>
      <c r="I53" s="996">
        <f>G53*$C$53</f>
        <v>0</v>
      </c>
      <c r="K53" s="996">
        <f>I53*$C$53</f>
        <v>0</v>
      </c>
      <c r="M53" s="996">
        <f>K53*$C$53</f>
        <v>0</v>
      </c>
      <c r="O53" s="996">
        <f>M53*$C$53</f>
        <v>0</v>
      </c>
      <c r="Q53" s="996">
        <f>O53*$C$53</f>
        <v>0</v>
      </c>
      <c r="S53" s="996">
        <f>Q53*$C$53</f>
        <v>0</v>
      </c>
      <c r="U53" s="996">
        <f>S53*$C$53</f>
        <v>0</v>
      </c>
      <c r="W53" s="996">
        <f>U53*$C$53</f>
        <v>0</v>
      </c>
      <c r="Y53" s="996">
        <f>W53*$C$53</f>
        <v>0</v>
      </c>
      <c r="AA53" s="996">
        <f>Y53*$C$53</f>
        <v>0</v>
      </c>
      <c r="AC53" s="996">
        <f>AA53*$C$53</f>
        <v>0</v>
      </c>
      <c r="AE53" s="996">
        <f>AC53*$C$53</f>
        <v>0</v>
      </c>
      <c r="AG53" s="996">
        <f>AE53*$C$53</f>
        <v>0</v>
      </c>
    </row>
    <row r="54" spans="1:35" s="3" customFormat="1">
      <c r="A54" s="3" t="s">
        <v>883</v>
      </c>
      <c r="C54" s="994"/>
      <c r="E54" s="1001"/>
      <c r="F54" s="996"/>
      <c r="G54" s="996">
        <f t="shared" ref="G54:AG57" si="1">E54*$C$53</f>
        <v>0</v>
      </c>
      <c r="H54" s="996"/>
      <c r="I54" s="996">
        <f t="shared" si="1"/>
        <v>0</v>
      </c>
      <c r="J54" s="996"/>
      <c r="K54" s="996">
        <f t="shared" si="1"/>
        <v>0</v>
      </c>
      <c r="L54" s="996"/>
      <c r="M54" s="996">
        <f t="shared" si="1"/>
        <v>0</v>
      </c>
      <c r="N54" s="996"/>
      <c r="O54" s="996">
        <f t="shared" si="1"/>
        <v>0</v>
      </c>
      <c r="P54" s="996"/>
      <c r="Q54" s="996">
        <f t="shared" si="1"/>
        <v>0</v>
      </c>
      <c r="R54" s="996"/>
      <c r="S54" s="996">
        <f t="shared" si="1"/>
        <v>0</v>
      </c>
      <c r="T54" s="996"/>
      <c r="U54" s="996">
        <f t="shared" si="1"/>
        <v>0</v>
      </c>
      <c r="V54" s="996"/>
      <c r="W54" s="996">
        <f t="shared" si="1"/>
        <v>0</v>
      </c>
      <c r="X54" s="996"/>
      <c r="Y54" s="996">
        <f t="shared" si="1"/>
        <v>0</v>
      </c>
      <c r="Z54" s="996"/>
      <c r="AA54" s="996">
        <f t="shared" si="1"/>
        <v>0</v>
      </c>
      <c r="AB54" s="996"/>
      <c r="AC54" s="996">
        <f t="shared" si="1"/>
        <v>0</v>
      </c>
      <c r="AD54" s="996"/>
      <c r="AE54" s="996">
        <f t="shared" si="1"/>
        <v>0</v>
      </c>
      <c r="AF54" s="996"/>
      <c r="AG54" s="996">
        <f t="shared" si="1"/>
        <v>0</v>
      </c>
      <c r="AH54" s="996"/>
      <c r="AI54" s="996"/>
    </row>
    <row r="55" spans="1:35" s="3" customFormat="1">
      <c r="A55" s="3" t="s">
        <v>884</v>
      </c>
      <c r="C55" s="994"/>
      <c r="E55" s="1001"/>
      <c r="F55" s="996"/>
      <c r="G55" s="996">
        <f t="shared" si="1"/>
        <v>0</v>
      </c>
      <c r="H55" s="996"/>
      <c r="I55" s="996">
        <f t="shared" si="1"/>
        <v>0</v>
      </c>
      <c r="J55" s="996"/>
      <c r="K55" s="996">
        <f t="shared" si="1"/>
        <v>0</v>
      </c>
      <c r="L55" s="996"/>
      <c r="M55" s="996">
        <f t="shared" si="1"/>
        <v>0</v>
      </c>
      <c r="N55" s="996"/>
      <c r="O55" s="996">
        <f t="shared" si="1"/>
        <v>0</v>
      </c>
      <c r="P55" s="996"/>
      <c r="Q55" s="996">
        <f t="shared" si="1"/>
        <v>0</v>
      </c>
      <c r="R55" s="996"/>
      <c r="S55" s="996">
        <f t="shared" si="1"/>
        <v>0</v>
      </c>
      <c r="T55" s="996"/>
      <c r="U55" s="996">
        <f t="shared" si="1"/>
        <v>0</v>
      </c>
      <c r="V55" s="996"/>
      <c r="W55" s="996">
        <f t="shared" si="1"/>
        <v>0</v>
      </c>
      <c r="X55" s="996"/>
      <c r="Y55" s="996">
        <f t="shared" si="1"/>
        <v>0</v>
      </c>
      <c r="Z55" s="996"/>
      <c r="AA55" s="996">
        <f t="shared" si="1"/>
        <v>0</v>
      </c>
      <c r="AB55" s="996"/>
      <c r="AC55" s="996">
        <f t="shared" si="1"/>
        <v>0</v>
      </c>
      <c r="AD55" s="996"/>
      <c r="AE55" s="996">
        <f t="shared" si="1"/>
        <v>0</v>
      </c>
      <c r="AF55" s="996"/>
      <c r="AG55" s="996">
        <f t="shared" si="1"/>
        <v>0</v>
      </c>
      <c r="AH55" s="996"/>
      <c r="AI55" s="996"/>
    </row>
    <row r="56" spans="1:35" s="3" customFormat="1">
      <c r="A56" s="1002"/>
      <c r="B56" s="1002"/>
      <c r="C56" s="994"/>
      <c r="E56" s="1001"/>
      <c r="F56" s="996"/>
      <c r="G56" s="996">
        <f t="shared" si="1"/>
        <v>0</v>
      </c>
      <c r="H56" s="996"/>
      <c r="I56" s="996">
        <f t="shared" si="1"/>
        <v>0</v>
      </c>
      <c r="J56" s="996"/>
      <c r="K56" s="996">
        <f t="shared" si="1"/>
        <v>0</v>
      </c>
      <c r="L56" s="996"/>
      <c r="M56" s="996">
        <f t="shared" si="1"/>
        <v>0</v>
      </c>
      <c r="N56" s="996"/>
      <c r="O56" s="996">
        <f t="shared" si="1"/>
        <v>0</v>
      </c>
      <c r="P56" s="996"/>
      <c r="Q56" s="996">
        <f t="shared" si="1"/>
        <v>0</v>
      </c>
      <c r="R56" s="996"/>
      <c r="S56" s="996">
        <f t="shared" si="1"/>
        <v>0</v>
      </c>
      <c r="T56" s="996"/>
      <c r="U56" s="996">
        <f t="shared" si="1"/>
        <v>0</v>
      </c>
      <c r="V56" s="996"/>
      <c r="W56" s="996">
        <f t="shared" si="1"/>
        <v>0</v>
      </c>
      <c r="X56" s="996"/>
      <c r="Y56" s="996">
        <f t="shared" si="1"/>
        <v>0</v>
      </c>
      <c r="Z56" s="996"/>
      <c r="AA56" s="996">
        <f t="shared" si="1"/>
        <v>0</v>
      </c>
      <c r="AB56" s="996"/>
      <c r="AC56" s="996">
        <f t="shared" si="1"/>
        <v>0</v>
      </c>
      <c r="AD56" s="996"/>
      <c r="AE56" s="996">
        <f t="shared" si="1"/>
        <v>0</v>
      </c>
      <c r="AF56" s="996"/>
      <c r="AG56" s="996">
        <f t="shared" si="1"/>
        <v>0</v>
      </c>
      <c r="AH56" s="996"/>
      <c r="AI56" s="996"/>
    </row>
    <row r="57" spans="1:35" s="3" customFormat="1">
      <c r="A57" s="1002"/>
      <c r="B57" s="1002"/>
      <c r="C57" s="994"/>
      <c r="E57" s="1003"/>
      <c r="F57" s="996"/>
      <c r="G57" s="1004">
        <f t="shared" si="1"/>
        <v>0</v>
      </c>
      <c r="H57" s="996"/>
      <c r="I57" s="1004">
        <f t="shared" si="1"/>
        <v>0</v>
      </c>
      <c r="J57" s="996"/>
      <c r="K57" s="1004">
        <f t="shared" si="1"/>
        <v>0</v>
      </c>
      <c r="L57" s="996"/>
      <c r="M57" s="1004">
        <f t="shared" si="1"/>
        <v>0</v>
      </c>
      <c r="N57" s="996"/>
      <c r="O57" s="1004">
        <f t="shared" si="1"/>
        <v>0</v>
      </c>
      <c r="P57" s="996"/>
      <c r="Q57" s="1004">
        <f t="shared" si="1"/>
        <v>0</v>
      </c>
      <c r="R57" s="996"/>
      <c r="S57" s="1004">
        <f t="shared" si="1"/>
        <v>0</v>
      </c>
      <c r="T57" s="996"/>
      <c r="U57" s="1004">
        <f t="shared" si="1"/>
        <v>0</v>
      </c>
      <c r="V57" s="996"/>
      <c r="W57" s="1004">
        <f t="shared" si="1"/>
        <v>0</v>
      </c>
      <c r="X57" s="996"/>
      <c r="Y57" s="1004">
        <f t="shared" si="1"/>
        <v>0</v>
      </c>
      <c r="Z57" s="996"/>
      <c r="AA57" s="1004">
        <f t="shared" si="1"/>
        <v>0</v>
      </c>
      <c r="AB57" s="996"/>
      <c r="AC57" s="1004">
        <f t="shared" si="1"/>
        <v>0</v>
      </c>
      <c r="AD57" s="996"/>
      <c r="AE57" s="1004">
        <f t="shared" si="1"/>
        <v>0</v>
      </c>
      <c r="AF57" s="996"/>
      <c r="AG57" s="1004">
        <f t="shared" si="1"/>
        <v>0</v>
      </c>
      <c r="AH57" s="996"/>
      <c r="AI57" s="996"/>
    </row>
    <row r="58" spans="1:35" s="3" customFormat="1">
      <c r="A58" s="998" t="s">
        <v>881</v>
      </c>
      <c r="C58" s="997"/>
      <c r="E58" s="996">
        <f>SUM(E53:E57)</f>
        <v>0</v>
      </c>
      <c r="F58" s="996"/>
      <c r="G58" s="996">
        <f>SUM(G53:G57)</f>
        <v>0</v>
      </c>
      <c r="H58" s="996"/>
      <c r="I58" s="996">
        <f>SUM(I53:I57)</f>
        <v>0</v>
      </c>
      <c r="J58" s="996"/>
      <c r="K58" s="996">
        <f>SUM(K53:K57)</f>
        <v>0</v>
      </c>
      <c r="L58" s="996"/>
      <c r="M58" s="996">
        <f>SUM(M53:M57)</f>
        <v>0</v>
      </c>
      <c r="N58" s="996"/>
      <c r="O58" s="996">
        <f>SUM(O53:O57)</f>
        <v>0</v>
      </c>
      <c r="P58" s="996"/>
      <c r="Q58" s="996">
        <f>SUM(Q53:Q57)</f>
        <v>0</v>
      </c>
      <c r="R58" s="996"/>
      <c r="S58" s="996">
        <f>SUM(S53:S57)</f>
        <v>0</v>
      </c>
      <c r="T58" s="996"/>
      <c r="U58" s="996">
        <f>SUM(U53:U57)</f>
        <v>0</v>
      </c>
      <c r="V58" s="996"/>
      <c r="W58" s="996">
        <f>SUM(W53:W57)</f>
        <v>0</v>
      </c>
      <c r="X58" s="996"/>
      <c r="Y58" s="996">
        <f>SUM(Y53:Y57)</f>
        <v>0</v>
      </c>
      <c r="Z58" s="996"/>
      <c r="AA58" s="996">
        <f>SUM(AA53:AA57)</f>
        <v>0</v>
      </c>
      <c r="AB58" s="996"/>
      <c r="AC58" s="996">
        <f>SUM(AC53:AC57)</f>
        <v>0</v>
      </c>
      <c r="AD58" s="996"/>
      <c r="AE58" s="996">
        <f>SUM(AE53:AE57)</f>
        <v>0</v>
      </c>
      <c r="AF58" s="996"/>
      <c r="AG58" s="996">
        <f>SUM(AG53:AG57)</f>
        <v>0</v>
      </c>
      <c r="AH58" s="996"/>
      <c r="AI58" s="996"/>
    </row>
    <row r="59" spans="1:35" s="3" customFormat="1" ht="12.75" customHeight="1">
      <c r="A59" s="998"/>
      <c r="C59" s="997"/>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row>
    <row r="60" spans="1:35" s="998" customFormat="1">
      <c r="A60" s="998" t="s">
        <v>886</v>
      </c>
      <c r="C60" s="1005"/>
      <c r="E60" s="998">
        <f>E45-E58</f>
        <v>331957.0802096054</v>
      </c>
      <c r="G60" s="998">
        <f>G45-G58</f>
        <v>371657.41520960443</v>
      </c>
      <c r="I60" s="998">
        <f>I45-I58</f>
        <v>411684.22813460557</v>
      </c>
      <c r="K60" s="998">
        <f>K45-K58</f>
        <v>452022.34880997939</v>
      </c>
      <c r="M60" s="998">
        <f>M45-M58</f>
        <v>492655.41076130234</v>
      </c>
      <c r="O60" s="998">
        <f>O45-O58</f>
        <v>533565.79270183714</v>
      </c>
      <c r="Q60" s="998">
        <f>Q45-Q58</f>
        <v>574734.55755587015</v>
      </c>
      <c r="S60" s="998">
        <f>S45-S58</f>
        <v>616141.38892124221</v>
      </c>
      <c r="U60" s="998">
        <f>U45-U58</f>
        <v>657764.52487075515</v>
      </c>
      <c r="W60" s="998">
        <f>W45-W58</f>
        <v>699580.68898841087</v>
      </c>
      <c r="Y60" s="998">
        <f>Y45-Y58</f>
        <v>741565.01853246707</v>
      </c>
      <c r="AA60" s="998">
        <f>AA45-AA58</f>
        <v>783690.98961327644</v>
      </c>
      <c r="AC60" s="998">
        <f>AC45-AC58</f>
        <v>825930.33926962409</v>
      </c>
      <c r="AE60" s="998">
        <f>AE45-AE58</f>
        <v>868252.9843229861</v>
      </c>
      <c r="AG60" s="998">
        <f>AG45-AG58</f>
        <v>910626.93688449776</v>
      </c>
    </row>
    <row r="61" spans="1:35" s="3" customFormat="1" ht="8.25" customHeight="1">
      <c r="C61" s="997"/>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row>
    <row r="62" spans="1:35" s="998" customFormat="1">
      <c r="A62" s="998" t="s">
        <v>885</v>
      </c>
      <c r="C62" s="995">
        <v>0.5</v>
      </c>
      <c r="E62" s="1000">
        <f>E60*$C$62</f>
        <v>165978.5401048027</v>
      </c>
      <c r="G62" s="998">
        <f>G60*$C$62</f>
        <v>185828.70760480221</v>
      </c>
      <c r="I62" s="998">
        <f>I60*$C$62</f>
        <v>205842.11406730278</v>
      </c>
      <c r="K62" s="998">
        <f>K60*$C$62</f>
        <v>226011.1744049897</v>
      </c>
      <c r="M62" s="998">
        <f>M60*$C$62</f>
        <v>246327.70538065117</v>
      </c>
      <c r="O62" s="998">
        <f>O60*$C$62</f>
        <v>266782.89635091857</v>
      </c>
      <c r="Q62" s="998">
        <f>Q60*$C$62</f>
        <v>287367.27877793508</v>
      </c>
      <c r="S62" s="998">
        <f>S60*$C$62</f>
        <v>308070.6944606211</v>
      </c>
      <c r="U62" s="998">
        <f>U60*$C$62</f>
        <v>328882.26243537758</v>
      </c>
      <c r="W62" s="998">
        <f>W60*$C$62</f>
        <v>349790.34449420543</v>
      </c>
      <c r="Y62" s="998">
        <f>Y60*$C$62</f>
        <v>370782.50926623354</v>
      </c>
      <c r="AA62" s="998">
        <f>AA60*$C$62</f>
        <v>391845.49480663822</v>
      </c>
      <c r="AC62" s="998">
        <f>AC60*$C$62</f>
        <v>412965.16963481205</v>
      </c>
      <c r="AE62" s="998">
        <f>AE60*$C$62</f>
        <v>434126.49216149305</v>
      </c>
      <c r="AG62" s="998">
        <f>AG60*$C$62</f>
        <v>455313.46844224888</v>
      </c>
    </row>
    <row r="63" spans="1:35" s="998" customFormat="1">
      <c r="A63" s="2542" t="s">
        <v>1327</v>
      </c>
      <c r="B63" s="2542"/>
      <c r="C63" s="2542"/>
    </row>
    <row r="64" spans="1:35" s="3" customFormat="1" ht="8.25" customHeight="1">
      <c r="C64" s="997"/>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row>
    <row r="65" spans="1:35" s="3" customFormat="1">
      <c r="A65" s="3" t="s">
        <v>889</v>
      </c>
      <c r="C65" s="995">
        <v>0.25</v>
      </c>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row>
    <row r="66" spans="1:35" s="998" customFormat="1">
      <c r="A66" s="1000"/>
      <c r="B66" s="1000"/>
      <c r="C66" s="999"/>
      <c r="E66" s="1000">
        <f>$E60*$C$65</f>
        <v>82989.270052401349</v>
      </c>
      <c r="G66" s="996">
        <f>G60*$C$65</f>
        <v>92914.353802401107</v>
      </c>
      <c r="I66" s="996">
        <f>I60*$C$65</f>
        <v>102921.05703365139</v>
      </c>
      <c r="K66" s="996">
        <f>K60*$C$65</f>
        <v>113005.58720249485</v>
      </c>
      <c r="M66" s="996">
        <f>M60*$C$65</f>
        <v>123163.85269032558</v>
      </c>
      <c r="O66" s="996">
        <f>O60*$C$65</f>
        <v>133391.44817545929</v>
      </c>
      <c r="Q66" s="996">
        <f>Q60*$C$65</f>
        <v>143683.63938896754</v>
      </c>
      <c r="S66" s="996">
        <f>S60*$C$65</f>
        <v>154035.34723031055</v>
      </c>
      <c r="U66" s="996">
        <f>U60*$C$65</f>
        <v>164441.13121768879</v>
      </c>
      <c r="W66" s="996">
        <f>W60*$C$65</f>
        <v>174895.17224710272</v>
      </c>
      <c r="Y66" s="996">
        <f>Y60*$C$65</f>
        <v>185391.25463311677</v>
      </c>
      <c r="AA66" s="996">
        <f>AA60*$C$65</f>
        <v>195922.74740331911</v>
      </c>
      <c r="AC66" s="996">
        <f>AC60*$C$65</f>
        <v>206482.58481740602</v>
      </c>
      <c r="AE66" s="996">
        <f>AE60*$C$65</f>
        <v>217063.24608074652</v>
      </c>
      <c r="AG66" s="996">
        <f>AG60*$C$65</f>
        <v>227656.73422112444</v>
      </c>
    </row>
    <row r="67" spans="1:35" s="996" customFormat="1">
      <c r="A67" s="1001"/>
      <c r="B67" s="1001"/>
      <c r="C67" s="1006"/>
      <c r="E67" s="1000">
        <f>$E60*$C$65</f>
        <v>82989.270052401349</v>
      </c>
      <c r="G67" s="996">
        <f>G60*$C$65</f>
        <v>92914.353802401107</v>
      </c>
      <c r="I67" s="996">
        <f>I60*$C$65</f>
        <v>102921.05703365139</v>
      </c>
      <c r="K67" s="996">
        <f>K60*$C$65</f>
        <v>113005.58720249485</v>
      </c>
      <c r="M67" s="996">
        <f>M60*$C$65</f>
        <v>123163.85269032558</v>
      </c>
      <c r="O67" s="996">
        <f>O60*$C$65</f>
        <v>133391.44817545929</v>
      </c>
      <c r="Q67" s="996">
        <f>Q60*$C$65</f>
        <v>143683.63938896754</v>
      </c>
      <c r="S67" s="996">
        <f>S60*$C$65</f>
        <v>154035.34723031055</v>
      </c>
      <c r="U67" s="996">
        <f>U60*$C$65</f>
        <v>164441.13121768879</v>
      </c>
      <c r="W67" s="996">
        <f>W60*$C$65</f>
        <v>174895.17224710272</v>
      </c>
      <c r="Y67" s="996">
        <f>Y60*$C$65</f>
        <v>185391.25463311677</v>
      </c>
      <c r="AA67" s="996">
        <f>AA60*$C$65</f>
        <v>195922.74740331911</v>
      </c>
      <c r="AC67" s="996">
        <f>AC60*$C$65</f>
        <v>206482.58481740602</v>
      </c>
      <c r="AE67" s="996">
        <f>AE60*$C$65</f>
        <v>217063.24608074652</v>
      </c>
      <c r="AG67" s="996">
        <f>AG60*$C$65</f>
        <v>227656.73422112444</v>
      </c>
    </row>
    <row r="68" spans="1:35" s="996" customFormat="1">
      <c r="A68" s="1001"/>
      <c r="B68" s="1001"/>
      <c r="C68" s="1006"/>
      <c r="E68" s="1001"/>
      <c r="G68" s="996">
        <f t="shared" ref="G68:AG69" si="2">E68*$C$66</f>
        <v>0</v>
      </c>
      <c r="I68" s="996">
        <f t="shared" si="2"/>
        <v>0</v>
      </c>
      <c r="K68" s="996">
        <f t="shared" si="2"/>
        <v>0</v>
      </c>
      <c r="M68" s="996">
        <f t="shared" si="2"/>
        <v>0</v>
      </c>
      <c r="O68" s="996">
        <f t="shared" si="2"/>
        <v>0</v>
      </c>
      <c r="Q68" s="996">
        <f t="shared" si="2"/>
        <v>0</v>
      </c>
      <c r="S68" s="996">
        <f t="shared" si="2"/>
        <v>0</v>
      </c>
      <c r="U68" s="996">
        <f t="shared" si="2"/>
        <v>0</v>
      </c>
      <c r="W68" s="996">
        <f t="shared" si="2"/>
        <v>0</v>
      </c>
      <c r="Y68" s="996">
        <f t="shared" si="2"/>
        <v>0</v>
      </c>
      <c r="AA68" s="996">
        <f t="shared" si="2"/>
        <v>0</v>
      </c>
      <c r="AC68" s="996">
        <f t="shared" si="2"/>
        <v>0</v>
      </c>
      <c r="AE68" s="996">
        <f t="shared" si="2"/>
        <v>0</v>
      </c>
      <c r="AG68" s="996">
        <f t="shared" si="2"/>
        <v>0</v>
      </c>
    </row>
    <row r="69" spans="1:35" s="996" customFormat="1">
      <c r="A69" s="1001"/>
      <c r="B69" s="1001"/>
      <c r="C69" s="1006"/>
      <c r="E69" s="1003"/>
      <c r="G69" s="1004">
        <f t="shared" si="2"/>
        <v>0</v>
      </c>
      <c r="I69" s="1004">
        <f t="shared" si="2"/>
        <v>0</v>
      </c>
      <c r="K69" s="1004">
        <f t="shared" si="2"/>
        <v>0</v>
      </c>
      <c r="M69" s="1004">
        <f t="shared" si="2"/>
        <v>0</v>
      </c>
      <c r="O69" s="1004">
        <f t="shared" si="2"/>
        <v>0</v>
      </c>
      <c r="Q69" s="1004">
        <f t="shared" si="2"/>
        <v>0</v>
      </c>
      <c r="S69" s="1004">
        <f t="shared" si="2"/>
        <v>0</v>
      </c>
      <c r="U69" s="1004">
        <f t="shared" si="2"/>
        <v>0</v>
      </c>
      <c r="W69" s="1004">
        <f t="shared" si="2"/>
        <v>0</v>
      </c>
      <c r="Y69" s="1004">
        <f t="shared" si="2"/>
        <v>0</v>
      </c>
      <c r="AA69" s="1004">
        <f t="shared" si="2"/>
        <v>0</v>
      </c>
      <c r="AC69" s="1004">
        <f t="shared" si="2"/>
        <v>0</v>
      </c>
      <c r="AE69" s="1004">
        <f t="shared" si="2"/>
        <v>0</v>
      </c>
      <c r="AG69" s="1004">
        <f t="shared" si="2"/>
        <v>0</v>
      </c>
    </row>
    <row r="70" spans="1:35" s="996" customFormat="1">
      <c r="A70" s="998" t="s">
        <v>881</v>
      </c>
      <c r="C70" s="1006"/>
      <c r="E70" s="996">
        <f>SUM(E66:E69)</f>
        <v>165978.5401048027</v>
      </c>
      <c r="G70" s="996">
        <f>SUM(G66:G69)</f>
        <v>185828.70760480221</v>
      </c>
      <c r="I70" s="996">
        <f>SUM(I66:I69)</f>
        <v>205842.11406730278</v>
      </c>
      <c r="K70" s="996">
        <f>SUM(K66:K69)</f>
        <v>226011.1744049897</v>
      </c>
      <c r="M70" s="996">
        <f>SUM(M66:M69)</f>
        <v>246327.70538065117</v>
      </c>
      <c r="O70" s="996">
        <f>SUM(O66:O69)</f>
        <v>266782.89635091857</v>
      </c>
      <c r="Q70" s="996">
        <f>SUM(Q66:Q69)</f>
        <v>287367.27877793508</v>
      </c>
      <c r="S70" s="996">
        <f>SUM(S66:S69)</f>
        <v>308070.6944606211</v>
      </c>
      <c r="U70" s="996">
        <f>SUM(U66:U69)</f>
        <v>328882.26243537758</v>
      </c>
      <c r="W70" s="996">
        <f>SUM(W66:W69)</f>
        <v>349790.34449420543</v>
      </c>
      <c r="Y70" s="996">
        <f>SUM(Y66:Y69)</f>
        <v>370782.50926623354</v>
      </c>
      <c r="AA70" s="996">
        <f>SUM(AA66:AA69)</f>
        <v>391845.49480663822</v>
      </c>
      <c r="AC70" s="996">
        <f>SUM(AC66:AC69)</f>
        <v>412965.16963481205</v>
      </c>
      <c r="AE70" s="996">
        <f>SUM(AE66:AE69)</f>
        <v>434126.49216149305</v>
      </c>
      <c r="AG70" s="996">
        <f>SUM(AG66:AG69)</f>
        <v>455313.46844224888</v>
      </c>
    </row>
    <row r="71" spans="1:35" s="996" customFormat="1">
      <c r="A71" s="998"/>
      <c r="C71" s="1006"/>
    </row>
    <row r="72" spans="1:35" s="996" customFormat="1">
      <c r="A72" s="998" t="s">
        <v>1983</v>
      </c>
      <c r="C72" s="1006"/>
      <c r="E72" s="998">
        <f>E60-E62-E70</f>
        <v>0</v>
      </c>
      <c r="G72" s="998">
        <f>G60-G62-G70</f>
        <v>0</v>
      </c>
      <c r="I72" s="998">
        <f>I60-I62-I70</f>
        <v>0</v>
      </c>
      <c r="K72" s="998">
        <f>K60-K62-K70</f>
        <v>0</v>
      </c>
      <c r="M72" s="998">
        <f>M60-M62-M70</f>
        <v>0</v>
      </c>
      <c r="O72" s="998">
        <f>O60-O62-O70</f>
        <v>0</v>
      </c>
      <c r="Q72" s="998">
        <f>Q60-Q62-Q70</f>
        <v>0</v>
      </c>
      <c r="S72" s="998">
        <f>S60-S62-S70</f>
        <v>0</v>
      </c>
      <c r="U72" s="998">
        <f>U60-U62-U70</f>
        <v>0</v>
      </c>
      <c r="W72" s="998">
        <f>W60-W62-W70</f>
        <v>0</v>
      </c>
      <c r="Y72" s="998">
        <f>Y60-Y62-Y70</f>
        <v>0</v>
      </c>
      <c r="AA72" s="998">
        <f>AA60-AA62-AA70</f>
        <v>0</v>
      </c>
      <c r="AC72" s="998">
        <f>AC60-AC62-AC70</f>
        <v>0</v>
      </c>
      <c r="AE72" s="998">
        <f>AE60-AE62-AE70</f>
        <v>0</v>
      </c>
      <c r="AG72" s="998">
        <f>AG60-AG62-AG70</f>
        <v>0</v>
      </c>
    </row>
    <row r="73" spans="1:35" s="996" customFormat="1">
      <c r="A73" s="563"/>
      <c r="C73" s="1006"/>
    </row>
    <row r="74" spans="1:35" s="233" customFormat="1">
      <c r="A74" s="563"/>
      <c r="C74" s="192"/>
    </row>
    <row r="75" spans="1:35" s="233" customFormat="1">
      <c r="A75" s="996" t="s">
        <v>1982</v>
      </c>
      <c r="C75" s="192"/>
    </row>
    <row r="76" spans="1:35" s="233" customFormat="1">
      <c r="C76" s="192"/>
    </row>
    <row r="77" spans="1:35" s="250" customFormat="1" ht="30" customHeight="1">
      <c r="A77" s="2540" t="s">
        <v>1981</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6" t="s">
        <v>1011</v>
      </c>
    </row>
    <row r="2" spans="1:1" ht="15.6">
      <c r="A2" s="337"/>
    </row>
    <row r="3" spans="1:1" ht="15.6">
      <c r="A3" s="338" t="s">
        <v>1006</v>
      </c>
    </row>
    <row r="4" spans="1:1" ht="15.6">
      <c r="A4" s="338" t="s">
        <v>1007</v>
      </c>
    </row>
    <row r="5" spans="1:1" ht="15.6">
      <c r="A5" s="338" t="s">
        <v>1008</v>
      </c>
    </row>
    <row r="6" spans="1:1" ht="15.6">
      <c r="A6" s="338" t="s">
        <v>1010</v>
      </c>
    </row>
    <row r="7" spans="1:1" ht="15.6">
      <c r="A7" s="338" t="s">
        <v>1009</v>
      </c>
    </row>
    <row r="8" spans="1:1" ht="15.6">
      <c r="A8" s="374" t="s">
        <v>1085</v>
      </c>
    </row>
    <row r="9" spans="1:1" ht="15.6">
      <c r="A9" s="338"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5" customFormat="1" ht="18" customHeight="1">
      <c r="A1" s="547" t="s">
        <v>1361</v>
      </c>
      <c r="D1" s="300"/>
    </row>
    <row r="2" spans="1:7" s="295" customFormat="1">
      <c r="A2" s="278" t="s">
        <v>921</v>
      </c>
      <c r="B2" s="280"/>
      <c r="C2" s="280"/>
      <c r="D2" s="277"/>
      <c r="E2" s="281"/>
      <c r="F2" s="280"/>
    </row>
    <row r="3" spans="1:7" s="379" customFormat="1" ht="80.25" customHeight="1">
      <c r="A3" s="297"/>
      <c r="B3" s="282" t="s">
        <v>922</v>
      </c>
      <c r="C3" s="282" t="s">
        <v>923</v>
      </c>
      <c r="D3" s="282" t="s">
        <v>924</v>
      </c>
      <c r="E3" s="279" t="s">
        <v>925</v>
      </c>
      <c r="F3" s="279"/>
      <c r="G3" s="382"/>
    </row>
    <row r="4" spans="1:7" s="380" customFormat="1">
      <c r="A4" s="283" t="s">
        <v>26</v>
      </c>
      <c r="B4" s="283"/>
      <c r="C4" s="283"/>
      <c r="D4" s="283"/>
      <c r="E4" s="302"/>
      <c r="F4" s="283"/>
      <c r="G4" s="383"/>
    </row>
    <row r="5" spans="1:7" s="380" customFormat="1">
      <c r="A5" s="395" t="s">
        <v>27</v>
      </c>
      <c r="B5" s="285">
        <f>'Sources and Uses Budget'!$C4</f>
        <v>13550000</v>
      </c>
      <c r="C5" s="285">
        <f>'Sources and Uses Budget'!$C4</f>
        <v>13550000</v>
      </c>
      <c r="D5" s="289">
        <f>C5-B5</f>
        <v>0</v>
      </c>
      <c r="E5" s="287"/>
      <c r="F5" s="286"/>
      <c r="G5" s="383"/>
    </row>
    <row r="6" spans="1:7" s="380" customFormat="1">
      <c r="A6" s="395" t="s">
        <v>28</v>
      </c>
      <c r="B6" s="285">
        <f>'Sources and Uses Budget'!$C5</f>
        <v>354923</v>
      </c>
      <c r="C6" s="285">
        <f>'Sources and Uses Budget'!$C5</f>
        <v>354923</v>
      </c>
      <c r="D6" s="289">
        <f t="shared" ref="D6:D77" si="0">C6-B6</f>
        <v>0</v>
      </c>
      <c r="E6" s="287"/>
      <c r="F6" s="286"/>
      <c r="G6" s="383"/>
    </row>
    <row r="7" spans="1:7" s="380" customFormat="1">
      <c r="A7" s="395" t="s">
        <v>29</v>
      </c>
      <c r="B7" s="285">
        <f>'Sources and Uses Budget'!$C6</f>
        <v>53000</v>
      </c>
      <c r="C7" s="285">
        <f>'Sources and Uses Budget'!$C6</f>
        <v>53000</v>
      </c>
      <c r="D7" s="289">
        <f t="shared" si="0"/>
        <v>0</v>
      </c>
      <c r="E7" s="287"/>
      <c r="F7" s="286"/>
      <c r="G7" s="383"/>
    </row>
    <row r="8" spans="1:7" s="380" customFormat="1">
      <c r="A8" s="395" t="s">
        <v>98</v>
      </c>
      <c r="B8" s="285">
        <f>'Sources and Uses Budget'!$C7</f>
        <v>0</v>
      </c>
      <c r="C8" s="285">
        <f>'Sources and Uses Budget'!$C7</f>
        <v>0</v>
      </c>
      <c r="D8" s="289">
        <f t="shared" si="0"/>
        <v>0</v>
      </c>
      <c r="E8" s="287"/>
      <c r="F8" s="286"/>
      <c r="G8" s="383"/>
    </row>
    <row r="9" spans="1:7" s="380" customFormat="1">
      <c r="A9" s="396" t="s">
        <v>602</v>
      </c>
      <c r="B9" s="289">
        <f>SUM(B5:B8)</f>
        <v>13957923</v>
      </c>
      <c r="C9" s="289">
        <f>SUM(C5:C8)</f>
        <v>13957923</v>
      </c>
      <c r="D9" s="289">
        <f t="shared" si="0"/>
        <v>0</v>
      </c>
      <c r="E9" s="287"/>
      <c r="F9" s="286"/>
      <c r="G9" s="383"/>
    </row>
    <row r="10" spans="1:7" s="380" customFormat="1">
      <c r="A10" s="395" t="s">
        <v>603</v>
      </c>
      <c r="B10" s="285">
        <f>'Sources and Uses Budget'!$C9</f>
        <v>0</v>
      </c>
      <c r="C10" s="285">
        <f>'Sources and Uses Budget'!$C9</f>
        <v>0</v>
      </c>
      <c r="D10" s="289">
        <f t="shared" si="0"/>
        <v>0</v>
      </c>
      <c r="E10" s="287"/>
      <c r="F10" s="286"/>
      <c r="G10" s="383"/>
    </row>
    <row r="11" spans="1:7" s="380" customFormat="1">
      <c r="A11" s="395" t="s">
        <v>604</v>
      </c>
      <c r="B11" s="285">
        <f>'Sources and Uses Budget'!$C10</f>
        <v>1199372</v>
      </c>
      <c r="C11" s="285">
        <f>'Sources and Uses Budget'!$C10</f>
        <v>1199372</v>
      </c>
      <c r="D11" s="289">
        <f t="shared" si="0"/>
        <v>0</v>
      </c>
      <c r="E11" s="287"/>
      <c r="F11" s="286"/>
      <c r="G11" s="383"/>
    </row>
    <row r="12" spans="1:7" s="380" customFormat="1">
      <c r="A12" s="396" t="s">
        <v>605</v>
      </c>
      <c r="B12" s="289">
        <f>SUM(B10:B11)</f>
        <v>1199372</v>
      </c>
      <c r="C12" s="289">
        <f>SUM(C10:C11)</f>
        <v>1199372</v>
      </c>
      <c r="D12" s="289">
        <f t="shared" si="0"/>
        <v>0</v>
      </c>
      <c r="E12" s="287"/>
      <c r="F12" s="286"/>
      <c r="G12" s="383"/>
    </row>
    <row r="13" spans="1:7" s="380" customFormat="1">
      <c r="A13" s="396" t="s">
        <v>85</v>
      </c>
      <c r="B13" s="289">
        <f>SUM(B9+B12)</f>
        <v>15157295</v>
      </c>
      <c r="C13" s="289">
        <f>SUM(C9+C12)</f>
        <v>15157295</v>
      </c>
      <c r="D13" s="289">
        <f t="shared" si="0"/>
        <v>0</v>
      </c>
      <c r="E13" s="287"/>
      <c r="F13" s="286"/>
      <c r="G13" s="383"/>
    </row>
    <row r="14" spans="1:7" s="380" customFormat="1">
      <c r="A14" s="397" t="s">
        <v>935</v>
      </c>
      <c r="B14" s="285">
        <f>'Sources and Uses Budget'!$C13</f>
        <v>876450</v>
      </c>
      <c r="C14" s="285">
        <f>'Sources and Uses Budget'!$C13</f>
        <v>876450</v>
      </c>
      <c r="D14" s="289">
        <f t="shared" si="0"/>
        <v>0</v>
      </c>
      <c r="E14" s="287"/>
      <c r="F14" s="286"/>
      <c r="G14" s="383"/>
    </row>
    <row r="15" spans="1:7" s="380" customFormat="1" ht="22.8">
      <c r="A15" s="395" t="s">
        <v>936</v>
      </c>
      <c r="B15" s="285">
        <f>'Sources and Uses Budget'!$C14</f>
        <v>0</v>
      </c>
      <c r="C15" s="285">
        <f>'Sources and Uses Budget'!$C14</f>
        <v>0</v>
      </c>
      <c r="D15" s="289">
        <f t="shared" si="0"/>
        <v>0</v>
      </c>
      <c r="E15" s="287"/>
      <c r="F15" s="286"/>
      <c r="G15" s="383"/>
    </row>
    <row r="16" spans="1:7" s="380" customFormat="1">
      <c r="A16" s="395" t="s">
        <v>1303</v>
      </c>
      <c r="B16" s="285">
        <f>'Sources and Uses Budget'!$C15</f>
        <v>0</v>
      </c>
      <c r="C16" s="285">
        <f>'Sources and Uses Budget'!$C15</f>
        <v>0</v>
      </c>
      <c r="D16" s="289">
        <f t="shared" si="0"/>
        <v>0</v>
      </c>
      <c r="E16" s="287"/>
      <c r="F16" s="286"/>
      <c r="G16" s="383"/>
    </row>
    <row r="17" spans="1:7" s="380" customFormat="1">
      <c r="A17" s="283" t="s">
        <v>606</v>
      </c>
      <c r="B17" s="283"/>
      <c r="C17" s="283"/>
      <c r="D17" s="283"/>
      <c r="E17" s="302"/>
      <c r="F17" s="283"/>
      <c r="G17" s="383"/>
    </row>
    <row r="18" spans="1:7" s="380" customFormat="1">
      <c r="A18" s="145" t="s">
        <v>607</v>
      </c>
      <c r="B18" s="285">
        <f>'Sources and Uses Budget'!$C17</f>
        <v>0</v>
      </c>
      <c r="C18" s="285">
        <f>'Sources and Uses Budget'!$C17</f>
        <v>0</v>
      </c>
      <c r="D18" s="289">
        <f t="shared" si="0"/>
        <v>0</v>
      </c>
      <c r="E18" s="287"/>
      <c r="F18" s="286"/>
      <c r="G18" s="383"/>
    </row>
    <row r="19" spans="1:7" s="380" customFormat="1">
      <c r="A19" s="145" t="s">
        <v>608</v>
      </c>
      <c r="B19" s="285">
        <f>'Sources and Uses Budget'!$C18</f>
        <v>0</v>
      </c>
      <c r="C19" s="285">
        <f>'Sources and Uses Budget'!$C18</f>
        <v>0</v>
      </c>
      <c r="D19" s="289">
        <f t="shared" si="0"/>
        <v>0</v>
      </c>
      <c r="E19" s="287"/>
      <c r="F19" s="286"/>
      <c r="G19" s="383"/>
    </row>
    <row r="20" spans="1:7" s="380" customFormat="1">
      <c r="A20" s="145" t="s">
        <v>609</v>
      </c>
      <c r="B20" s="285">
        <f>'Sources and Uses Budget'!$C19</f>
        <v>0</v>
      </c>
      <c r="C20" s="285">
        <f>'Sources and Uses Budget'!$C19</f>
        <v>0</v>
      </c>
      <c r="D20" s="289">
        <f t="shared" si="0"/>
        <v>0</v>
      </c>
      <c r="E20" s="287"/>
      <c r="F20" s="286"/>
      <c r="G20" s="383"/>
    </row>
    <row r="21" spans="1:7" s="380" customFormat="1">
      <c r="A21" s="145" t="s">
        <v>138</v>
      </c>
      <c r="B21" s="285">
        <f>'Sources and Uses Budget'!$C20</f>
        <v>0</v>
      </c>
      <c r="C21" s="285">
        <f>'Sources and Uses Budget'!$C20</f>
        <v>0</v>
      </c>
      <c r="D21" s="289">
        <f t="shared" si="0"/>
        <v>0</v>
      </c>
      <c r="E21" s="287"/>
      <c r="F21" s="286"/>
      <c r="G21" s="383"/>
    </row>
    <row r="22" spans="1:7" s="380" customFormat="1">
      <c r="A22" s="145" t="s">
        <v>139</v>
      </c>
      <c r="B22" s="285">
        <f>'Sources and Uses Budget'!$C21</f>
        <v>0</v>
      </c>
      <c r="C22" s="285">
        <f>'Sources and Uses Budget'!$C21</f>
        <v>0</v>
      </c>
      <c r="D22" s="289">
        <f t="shared" si="0"/>
        <v>0</v>
      </c>
      <c r="E22" s="287"/>
      <c r="F22" s="286"/>
      <c r="G22" s="383"/>
    </row>
    <row r="23" spans="1:7" s="380" customFormat="1">
      <c r="A23" s="145" t="s">
        <v>140</v>
      </c>
      <c r="B23" s="285">
        <f>'Sources and Uses Budget'!$C22</f>
        <v>0</v>
      </c>
      <c r="C23" s="285">
        <f>'Sources and Uses Budget'!$C22</f>
        <v>0</v>
      </c>
      <c r="D23" s="289">
        <f t="shared" si="0"/>
        <v>0</v>
      </c>
      <c r="E23" s="287"/>
      <c r="F23" s="286"/>
      <c r="G23" s="383"/>
    </row>
    <row r="24" spans="1:7" s="380" customFormat="1">
      <c r="A24" s="145" t="s">
        <v>141</v>
      </c>
      <c r="B24" s="285">
        <f>'Sources and Uses Budget'!$C23</f>
        <v>0</v>
      </c>
      <c r="C24" s="285">
        <f>'Sources and Uses Budget'!$C23</f>
        <v>0</v>
      </c>
      <c r="D24" s="289">
        <f t="shared" si="0"/>
        <v>0</v>
      </c>
      <c r="E24" s="287"/>
      <c r="F24" s="286"/>
      <c r="G24" s="383"/>
    </row>
    <row r="25" spans="1:7" s="380" customFormat="1">
      <c r="A25" s="542" t="s">
        <v>1820</v>
      </c>
      <c r="B25" s="285">
        <f>'Sources and Uses Budget'!$C24</f>
        <v>0</v>
      </c>
      <c r="C25" s="285">
        <f>'Sources and Uses Budget'!$C24</f>
        <v>0</v>
      </c>
      <c r="D25" s="289">
        <f t="shared" si="0"/>
        <v>0</v>
      </c>
      <c r="E25" s="287"/>
      <c r="F25" s="286"/>
      <c r="G25" s="383"/>
    </row>
    <row r="26" spans="1:7" s="380" customFormat="1">
      <c r="A26" s="155" t="str">
        <f>'Sources and Uses Budget'!A25</f>
        <v>Other: (Specify)</v>
      </c>
      <c r="B26" s="285">
        <f>'Sources and Uses Budget'!$C25</f>
        <v>0</v>
      </c>
      <c r="C26" s="285">
        <f>'Sources and Uses Budget'!$C25</f>
        <v>0</v>
      </c>
      <c r="D26" s="289">
        <f t="shared" si="0"/>
        <v>0</v>
      </c>
      <c r="E26" s="287"/>
      <c r="F26" s="286"/>
      <c r="G26" s="383"/>
    </row>
    <row r="27" spans="1:7" s="380" customFormat="1">
      <c r="A27" s="1054" t="s">
        <v>134</v>
      </c>
      <c r="B27" s="289">
        <f>SUM(B18:B26)</f>
        <v>0</v>
      </c>
      <c r="C27" s="289">
        <f>SUM(C18:C26)</f>
        <v>0</v>
      </c>
      <c r="D27" s="289">
        <f>SUM(D18:D26)</f>
        <v>0</v>
      </c>
      <c r="E27" s="287"/>
      <c r="F27" s="286"/>
      <c r="G27" s="383"/>
    </row>
    <row r="28" spans="1:7" s="380" customFormat="1">
      <c r="A28" s="290" t="s">
        <v>142</v>
      </c>
      <c r="B28" s="285">
        <f>'Sources and Uses Budget'!$C$27</f>
        <v>0</v>
      </c>
      <c r="C28" s="285">
        <f>'Sources and Uses Budget'!$C$27</f>
        <v>0</v>
      </c>
      <c r="D28" s="289">
        <f t="shared" si="0"/>
        <v>0</v>
      </c>
      <c r="E28" s="287"/>
      <c r="F28" s="286"/>
      <c r="G28" s="383"/>
    </row>
    <row r="29" spans="1:7" s="380" customFormat="1">
      <c r="A29" s="283" t="s">
        <v>143</v>
      </c>
      <c r="B29" s="283"/>
      <c r="C29" s="283"/>
      <c r="D29" s="283"/>
      <c r="E29" s="302"/>
      <c r="F29" s="283"/>
      <c r="G29" s="383"/>
    </row>
    <row r="30" spans="1:7" s="380" customFormat="1">
      <c r="A30" s="145" t="s">
        <v>607</v>
      </c>
      <c r="B30" s="285">
        <f>'Sources and Uses Budget'!$C29</f>
        <v>669680</v>
      </c>
      <c r="C30" s="285">
        <f>'Sources and Uses Budget'!$C29</f>
        <v>669680</v>
      </c>
      <c r="D30" s="289">
        <f t="shared" si="0"/>
        <v>0</v>
      </c>
      <c r="E30" s="287"/>
      <c r="F30" s="286"/>
      <c r="G30" s="383"/>
    </row>
    <row r="31" spans="1:7" s="380" customFormat="1">
      <c r="A31" s="145" t="s">
        <v>608</v>
      </c>
      <c r="B31" s="285">
        <f>'Sources and Uses Budget'!$C30</f>
        <v>87518793</v>
      </c>
      <c r="C31" s="285">
        <f>'Sources and Uses Budget'!$C30</f>
        <v>87518793</v>
      </c>
      <c r="D31" s="289">
        <f t="shared" si="0"/>
        <v>0</v>
      </c>
      <c r="E31" s="287"/>
      <c r="F31" s="286"/>
      <c r="G31" s="383"/>
    </row>
    <row r="32" spans="1:7" s="380" customFormat="1">
      <c r="A32" s="145" t="s">
        <v>609</v>
      </c>
      <c r="B32" s="285">
        <f>'Sources and Uses Budget'!$C31</f>
        <v>2980750</v>
      </c>
      <c r="C32" s="285">
        <f>'Sources and Uses Budget'!$C31</f>
        <v>2980750</v>
      </c>
      <c r="D32" s="289">
        <f t="shared" si="0"/>
        <v>0</v>
      </c>
      <c r="E32" s="287"/>
      <c r="F32" s="286"/>
      <c r="G32" s="383"/>
    </row>
    <row r="33" spans="1:7" s="380" customFormat="1">
      <c r="A33" s="145" t="s">
        <v>138</v>
      </c>
      <c r="B33" s="285">
        <f>'Sources and Uses Budget'!$C32</f>
        <v>1372354</v>
      </c>
      <c r="C33" s="285">
        <f>'Sources and Uses Budget'!$C32</f>
        <v>1372354</v>
      </c>
      <c r="D33" s="289">
        <f t="shared" si="0"/>
        <v>0</v>
      </c>
      <c r="E33" s="287"/>
      <c r="F33" s="286"/>
      <c r="G33" s="383"/>
    </row>
    <row r="34" spans="1:7" s="380" customFormat="1">
      <c r="A34" s="145" t="s">
        <v>139</v>
      </c>
      <c r="B34" s="285">
        <f>'Sources and Uses Budget'!$C33</f>
        <v>1372354</v>
      </c>
      <c r="C34" s="285">
        <f>'Sources and Uses Budget'!$C33</f>
        <v>1372354</v>
      </c>
      <c r="D34" s="289">
        <f t="shared" si="0"/>
        <v>0</v>
      </c>
      <c r="E34" s="287"/>
      <c r="F34" s="286"/>
      <c r="G34" s="383"/>
    </row>
    <row r="35" spans="1:7" s="380" customFormat="1">
      <c r="A35" s="145" t="s">
        <v>140</v>
      </c>
      <c r="B35" s="285">
        <f>'Sources and Uses Budget'!$C34</f>
        <v>0</v>
      </c>
      <c r="C35" s="285">
        <f>'Sources and Uses Budget'!$C34</f>
        <v>0</v>
      </c>
      <c r="D35" s="289">
        <f t="shared" si="0"/>
        <v>0</v>
      </c>
      <c r="E35" s="287"/>
      <c r="F35" s="286"/>
      <c r="G35" s="383"/>
    </row>
    <row r="36" spans="1:7" s="380" customFormat="1">
      <c r="A36" s="145" t="s">
        <v>141</v>
      </c>
      <c r="B36" s="285">
        <f>'Sources and Uses Budget'!$C35</f>
        <v>2823327</v>
      </c>
      <c r="C36" s="285">
        <f>'Sources and Uses Budget'!$C35</f>
        <v>2823327</v>
      </c>
      <c r="D36" s="289">
        <f t="shared" si="0"/>
        <v>0</v>
      </c>
      <c r="E36" s="287"/>
      <c r="F36" s="286"/>
      <c r="G36" s="383"/>
    </row>
    <row r="37" spans="1:7" s="380" customFormat="1">
      <c r="A37" s="303" t="s">
        <v>1820</v>
      </c>
      <c r="B37" s="285">
        <f>'Sources and Uses Budget'!$C36</f>
        <v>220425</v>
      </c>
      <c r="C37" s="285">
        <f>'Sources and Uses Budget'!$C36</f>
        <v>220425</v>
      </c>
      <c r="D37" s="289"/>
      <c r="E37" s="287"/>
      <c r="F37" s="286"/>
      <c r="G37" s="383"/>
    </row>
    <row r="38" spans="1:7" s="380" customFormat="1">
      <c r="A38" s="155" t="str">
        <f>'Sources and Uses Budget'!A37</f>
        <v>Other: (PhotoVoltaic System)</v>
      </c>
      <c r="B38" s="285">
        <f>'Sources and Uses Budget'!$C37</f>
        <v>624349</v>
      </c>
      <c r="C38" s="285">
        <f>'Sources and Uses Budget'!$C37</f>
        <v>624349</v>
      </c>
      <c r="D38" s="289">
        <f t="shared" si="0"/>
        <v>0</v>
      </c>
      <c r="E38" s="287"/>
      <c r="F38" s="286"/>
      <c r="G38" s="383"/>
    </row>
    <row r="39" spans="1:7" s="380" customFormat="1">
      <c r="A39" s="290" t="s">
        <v>144</v>
      </c>
      <c r="B39" s="289">
        <f>SUM(B30:B38)</f>
        <v>97582032</v>
      </c>
      <c r="C39" s="289">
        <f>SUM(C30:C38)</f>
        <v>97582032</v>
      </c>
      <c r="D39" s="289">
        <f t="shared" si="0"/>
        <v>0</v>
      </c>
      <c r="E39" s="287"/>
      <c r="F39" s="286"/>
      <c r="G39" s="383"/>
    </row>
    <row r="40" spans="1:7" s="380" customFormat="1">
      <c r="A40" s="283" t="s">
        <v>145</v>
      </c>
      <c r="B40" s="283"/>
      <c r="C40" s="283"/>
      <c r="D40" s="283"/>
      <c r="E40" s="302"/>
      <c r="F40" s="283"/>
      <c r="G40" s="383"/>
    </row>
    <row r="41" spans="1:7" s="380" customFormat="1">
      <c r="A41" s="288" t="s">
        <v>146</v>
      </c>
      <c r="B41" s="285">
        <f>'Sources and Uses Budget'!$C40</f>
        <v>1493545</v>
      </c>
      <c r="C41" s="285">
        <f>'Sources and Uses Budget'!$C40</f>
        <v>1493545</v>
      </c>
      <c r="D41" s="289">
        <f t="shared" si="0"/>
        <v>0</v>
      </c>
      <c r="E41" s="287"/>
      <c r="F41" s="286"/>
      <c r="G41" s="383"/>
    </row>
    <row r="42" spans="1:7" s="380" customFormat="1">
      <c r="A42" s="288" t="s">
        <v>147</v>
      </c>
      <c r="B42" s="285">
        <f>'Sources and Uses Budget'!$C41</f>
        <v>491899</v>
      </c>
      <c r="C42" s="285">
        <f>'Sources and Uses Budget'!$C41</f>
        <v>491899</v>
      </c>
      <c r="D42" s="289">
        <f t="shared" si="0"/>
        <v>0</v>
      </c>
      <c r="E42" s="287"/>
      <c r="F42" s="286"/>
      <c r="G42" s="383"/>
    </row>
    <row r="43" spans="1:7" s="380" customFormat="1">
      <c r="A43" s="290" t="s">
        <v>148</v>
      </c>
      <c r="B43" s="289">
        <f>SUM(B41:B42)</f>
        <v>1985444</v>
      </c>
      <c r="C43" s="289">
        <f>SUM(C41:C42)</f>
        <v>1985444</v>
      </c>
      <c r="D43" s="289">
        <f t="shared" si="0"/>
        <v>0</v>
      </c>
      <c r="E43" s="287"/>
      <c r="F43" s="286"/>
      <c r="G43" s="383"/>
    </row>
    <row r="44" spans="1:7" s="380" customFormat="1">
      <c r="A44" s="290" t="s">
        <v>149</v>
      </c>
      <c r="B44" s="285">
        <f>'Sources and Uses Budget'!$C43</f>
        <v>1281387</v>
      </c>
      <c r="C44" s="285">
        <f>'Sources and Uses Budget'!$C43</f>
        <v>1281387</v>
      </c>
      <c r="D44" s="289">
        <f t="shared" si="0"/>
        <v>0</v>
      </c>
      <c r="E44" s="287"/>
      <c r="F44" s="286"/>
      <c r="G44" s="383"/>
    </row>
    <row r="45" spans="1:7" s="380" customFormat="1" ht="12" customHeight="1">
      <c r="A45" s="283" t="s">
        <v>150</v>
      </c>
      <c r="B45" s="283"/>
      <c r="C45" s="283"/>
      <c r="D45" s="283"/>
      <c r="E45" s="302"/>
      <c r="F45" s="283"/>
      <c r="G45" s="383"/>
    </row>
    <row r="46" spans="1:7" s="380" customFormat="1">
      <c r="A46" s="145" t="s">
        <v>151</v>
      </c>
      <c r="B46" s="285">
        <f>'Sources and Uses Budget'!$C45</f>
        <v>13352733</v>
      </c>
      <c r="C46" s="285">
        <f>'Sources and Uses Budget'!$C45</f>
        <v>13352733</v>
      </c>
      <c r="D46" s="289">
        <f t="shared" si="0"/>
        <v>0</v>
      </c>
      <c r="E46" s="287"/>
      <c r="F46" s="286"/>
      <c r="G46" s="383"/>
    </row>
    <row r="47" spans="1:7" s="380" customFormat="1">
      <c r="A47" s="145" t="s">
        <v>152</v>
      </c>
      <c r="B47" s="285">
        <f>'Sources and Uses Budget'!$C46</f>
        <v>498458</v>
      </c>
      <c r="C47" s="285">
        <f>'Sources and Uses Budget'!$C46</f>
        <v>498458</v>
      </c>
      <c r="D47" s="289">
        <f t="shared" si="0"/>
        <v>0</v>
      </c>
      <c r="E47" s="287"/>
      <c r="F47" s="286"/>
      <c r="G47" s="383"/>
    </row>
    <row r="48" spans="1:7" s="380" customFormat="1" ht="12" customHeight="1">
      <c r="A48" s="198" t="s">
        <v>153</v>
      </c>
      <c r="B48" s="285">
        <f>'Sources and Uses Budget'!$C47</f>
        <v>0</v>
      </c>
      <c r="C48" s="285">
        <f>'Sources and Uses Budget'!$C47</f>
        <v>0</v>
      </c>
      <c r="D48" s="289">
        <f t="shared" si="0"/>
        <v>0</v>
      </c>
      <c r="E48" s="287"/>
      <c r="F48" s="286"/>
      <c r="G48" s="383"/>
    </row>
    <row r="49" spans="1:7" s="380" customFormat="1">
      <c r="A49" s="145" t="s">
        <v>154</v>
      </c>
      <c r="B49" s="285">
        <f>'Sources and Uses Budget'!$C48</f>
        <v>0</v>
      </c>
      <c r="C49" s="285">
        <f>'Sources and Uses Budget'!$C48</f>
        <v>0</v>
      </c>
      <c r="D49" s="289">
        <f t="shared" si="0"/>
        <v>0</v>
      </c>
      <c r="E49" s="287"/>
      <c r="F49" s="286"/>
      <c r="G49" s="383"/>
    </row>
    <row r="50" spans="1:7" s="380" customFormat="1">
      <c r="A50" s="145" t="s">
        <v>57</v>
      </c>
      <c r="B50" s="285">
        <f>'Sources and Uses Budget'!$C49</f>
        <v>323954</v>
      </c>
      <c r="C50" s="285">
        <f>'Sources and Uses Budget'!$C49</f>
        <v>323954</v>
      </c>
      <c r="D50" s="289">
        <f t="shared" si="0"/>
        <v>0</v>
      </c>
      <c r="E50" s="287"/>
      <c r="F50" s="286"/>
      <c r="G50" s="383"/>
    </row>
    <row r="51" spans="1:7" s="380" customFormat="1">
      <c r="A51" s="145" t="s">
        <v>157</v>
      </c>
      <c r="B51" s="285">
        <f>'Sources and Uses Budget'!$C50</f>
        <v>110000</v>
      </c>
      <c r="C51" s="285">
        <f>'Sources and Uses Budget'!$C50</f>
        <v>110000</v>
      </c>
      <c r="D51" s="289">
        <f t="shared" si="0"/>
        <v>0</v>
      </c>
      <c r="E51" s="287"/>
      <c r="F51" s="286"/>
      <c r="G51" s="383"/>
    </row>
    <row r="52" spans="1:7" s="380" customFormat="1">
      <c r="A52" s="303" t="s">
        <v>155</v>
      </c>
      <c r="B52" s="285">
        <f>'Sources and Uses Budget'!$C51</f>
        <v>30000</v>
      </c>
      <c r="C52" s="285">
        <f>'Sources and Uses Budget'!$C51</f>
        <v>30000</v>
      </c>
      <c r="D52" s="289">
        <f t="shared" si="0"/>
        <v>0</v>
      </c>
      <c r="E52" s="287"/>
      <c r="F52" s="286"/>
      <c r="G52" s="383"/>
    </row>
    <row r="53" spans="1:7" s="380" customFormat="1">
      <c r="A53" s="145" t="s">
        <v>156</v>
      </c>
      <c r="B53" s="285">
        <f>'Sources and Uses Budget'!$C52</f>
        <v>800000</v>
      </c>
      <c r="C53" s="285">
        <f>'Sources and Uses Budget'!$C52</f>
        <v>800000</v>
      </c>
      <c r="D53" s="289">
        <f t="shared" si="0"/>
        <v>0</v>
      </c>
      <c r="E53" s="287"/>
      <c r="F53" s="286"/>
      <c r="G53" s="383"/>
    </row>
    <row r="54" spans="1:7" s="380" customFormat="1">
      <c r="A54" s="155" t="str">
        <f>'Sources and Uses Budget'!A53</f>
        <v>Other: Lender Expenses</v>
      </c>
      <c r="B54" s="285">
        <f>'Sources and Uses Budget'!$C53</f>
        <v>50000</v>
      </c>
      <c r="C54" s="285">
        <f>'Sources and Uses Budget'!$C53</f>
        <v>50000</v>
      </c>
      <c r="D54" s="289">
        <f t="shared" si="0"/>
        <v>0</v>
      </c>
      <c r="E54" s="287"/>
      <c r="F54" s="286"/>
      <c r="G54" s="383"/>
    </row>
    <row r="55" spans="1:7" s="381" customFormat="1">
      <c r="A55" s="290" t="s">
        <v>158</v>
      </c>
      <c r="B55" s="292">
        <f>SUM(B46:B54)</f>
        <v>15165145</v>
      </c>
      <c r="C55" s="292">
        <f>SUM(C46:C54)</f>
        <v>15165145</v>
      </c>
      <c r="D55" s="289">
        <f t="shared" si="0"/>
        <v>0</v>
      </c>
      <c r="E55" s="287"/>
      <c r="F55" s="286"/>
      <c r="G55" s="384"/>
    </row>
    <row r="56" spans="1:7" s="380" customFormat="1">
      <c r="A56" s="283" t="s">
        <v>420</v>
      </c>
      <c r="B56" s="283"/>
      <c r="C56" s="283"/>
      <c r="D56" s="283"/>
      <c r="E56" s="302"/>
      <c r="F56" s="283"/>
      <c r="G56" s="383"/>
    </row>
    <row r="57" spans="1:7" s="380" customFormat="1">
      <c r="A57" s="288" t="s">
        <v>159</v>
      </c>
      <c r="B57" s="285">
        <f>'Sources and Uses Budget'!$C56</f>
        <v>256590</v>
      </c>
      <c r="C57" s="285">
        <f>'Sources and Uses Budget'!$C56</f>
        <v>256590</v>
      </c>
      <c r="D57" s="289">
        <f t="shared" si="0"/>
        <v>0</v>
      </c>
      <c r="E57" s="287"/>
      <c r="F57" s="286"/>
      <c r="G57" s="383"/>
    </row>
    <row r="58" spans="1:7" s="380" customFormat="1" ht="12" customHeight="1">
      <c r="A58" s="288" t="s">
        <v>153</v>
      </c>
      <c r="B58" s="285">
        <f>'Sources and Uses Budget'!$C57</f>
        <v>0</v>
      </c>
      <c r="C58" s="285">
        <f>'Sources and Uses Budget'!$C57</f>
        <v>0</v>
      </c>
      <c r="D58" s="289">
        <f t="shared" si="0"/>
        <v>0</v>
      </c>
      <c r="E58" s="287"/>
      <c r="F58" s="286"/>
      <c r="G58" s="383"/>
    </row>
    <row r="59" spans="1:7" s="380" customFormat="1">
      <c r="A59" s="288" t="s">
        <v>157</v>
      </c>
      <c r="B59" s="285">
        <f>'Sources and Uses Budget'!$C58</f>
        <v>40000</v>
      </c>
      <c r="C59" s="285">
        <f>'Sources and Uses Budget'!$C58</f>
        <v>40000</v>
      </c>
      <c r="D59" s="289">
        <f t="shared" si="0"/>
        <v>0</v>
      </c>
      <c r="E59" s="287"/>
      <c r="F59" s="286"/>
      <c r="G59" s="383"/>
    </row>
    <row r="60" spans="1:7" s="380" customFormat="1">
      <c r="A60" s="288" t="s">
        <v>155</v>
      </c>
      <c r="B60" s="285">
        <f>'Sources and Uses Budget'!$C59</f>
        <v>0</v>
      </c>
      <c r="C60" s="285">
        <f>'Sources and Uses Budget'!$C59</f>
        <v>0</v>
      </c>
      <c r="D60" s="289">
        <f t="shared" si="0"/>
        <v>0</v>
      </c>
      <c r="E60" s="287"/>
      <c r="F60" s="286"/>
      <c r="G60" s="383"/>
    </row>
    <row r="61" spans="1:7" s="380" customFormat="1">
      <c r="A61" s="288" t="s">
        <v>156</v>
      </c>
      <c r="B61" s="285">
        <f>'Sources and Uses Budget'!$C60</f>
        <v>0</v>
      </c>
      <c r="C61" s="285">
        <f>'Sources and Uses Budget'!$C60</f>
        <v>0</v>
      </c>
      <c r="D61" s="289">
        <f t="shared" si="0"/>
        <v>0</v>
      </c>
      <c r="E61" s="287"/>
      <c r="F61" s="286"/>
      <c r="G61" s="383"/>
    </row>
    <row r="62" spans="1:7" s="380" customFormat="1">
      <c r="A62" s="1055" t="str">
        <f>'Sources and Uses Budget'!A61</f>
        <v>Other: Lender Expenses</v>
      </c>
      <c r="B62" s="285">
        <f>'Sources and Uses Budget'!$C61</f>
        <v>10000</v>
      </c>
      <c r="C62" s="285">
        <f>'Sources and Uses Budget'!$C61</f>
        <v>10000</v>
      </c>
      <c r="D62" s="289">
        <f t="shared" si="0"/>
        <v>0</v>
      </c>
      <c r="E62" s="287"/>
      <c r="F62" s="286"/>
      <c r="G62" s="383"/>
    </row>
    <row r="63" spans="1:7" s="380" customFormat="1" ht="13.65" customHeight="1">
      <c r="A63" s="290" t="s">
        <v>303</v>
      </c>
      <c r="B63" s="289">
        <f>SUM(B57:B62)</f>
        <v>306590</v>
      </c>
      <c r="C63" s="289">
        <f>SUM(C57:C62)</f>
        <v>306590</v>
      </c>
      <c r="D63" s="289">
        <f t="shared" si="0"/>
        <v>0</v>
      </c>
      <c r="E63" s="287"/>
      <c r="F63" s="286"/>
      <c r="G63" s="383"/>
    </row>
    <row r="64" spans="1:7" s="380" customFormat="1">
      <c r="A64" s="293" t="s">
        <v>304</v>
      </c>
      <c r="B64" s="289">
        <f>SUM(B9+B12+B14+B15+B17+B26+B28+B39+B43+B44+B55+B63)</f>
        <v>132354343</v>
      </c>
      <c r="C64" s="289">
        <f>SUM(C9+C12+C14+C15+C17+C26+C28+C39+C43+C44+C55+C63)</f>
        <v>132354343</v>
      </c>
      <c r="D64" s="289">
        <f t="shared" si="0"/>
        <v>0</v>
      </c>
      <c r="E64" s="287"/>
      <c r="F64" s="286"/>
      <c r="G64" s="383"/>
    </row>
    <row r="65" spans="1:7" s="380" customFormat="1" ht="22.8">
      <c r="A65" s="141" t="s">
        <v>1824</v>
      </c>
      <c r="B65" s="283"/>
      <c r="C65" s="283"/>
      <c r="D65" s="283"/>
      <c r="E65" s="302"/>
      <c r="F65" s="283"/>
      <c r="G65" s="383"/>
    </row>
    <row r="66" spans="1:7" s="380" customFormat="1">
      <c r="A66" s="145" t="s">
        <v>172</v>
      </c>
      <c r="B66" s="285">
        <f>'Sources and Uses Budget'!$C65</f>
        <v>105000</v>
      </c>
      <c r="C66" s="285">
        <f>'Sources and Uses Budget'!$C65</f>
        <v>105000</v>
      </c>
      <c r="D66" s="289">
        <f t="shared" si="0"/>
        <v>0</v>
      </c>
      <c r="E66" s="287"/>
      <c r="F66" s="286"/>
      <c r="G66" s="383"/>
    </row>
    <row r="67" spans="1:7" s="380" customFormat="1" ht="22.8">
      <c r="A67" s="303" t="s">
        <v>1821</v>
      </c>
      <c r="B67" s="285">
        <f>'Sources and Uses Budget'!$C66</f>
        <v>0</v>
      </c>
      <c r="C67" s="285">
        <f>'Sources and Uses Budget'!$C66</f>
        <v>0</v>
      </c>
      <c r="D67" s="289"/>
      <c r="E67" s="287"/>
      <c r="F67" s="286"/>
      <c r="G67" s="383"/>
    </row>
    <row r="68" spans="1:7" s="380" customFormat="1" ht="22.8">
      <c r="A68" s="303" t="s">
        <v>1822</v>
      </c>
      <c r="B68" s="285">
        <f>'Sources and Uses Budget'!$C67</f>
        <v>0</v>
      </c>
      <c r="C68" s="285">
        <f>'Sources and Uses Budget'!$C67</f>
        <v>0</v>
      </c>
      <c r="D68" s="289"/>
      <c r="E68" s="287"/>
      <c r="F68" s="286"/>
      <c r="G68" s="383"/>
    </row>
    <row r="69" spans="1:7" s="380" customFormat="1">
      <c r="A69" s="303" t="s">
        <v>1828</v>
      </c>
      <c r="B69" s="285">
        <f>'Sources and Uses Budget'!$C68</f>
        <v>0</v>
      </c>
      <c r="C69" s="285">
        <f>'Sources and Uses Budget'!$C68</f>
        <v>0</v>
      </c>
      <c r="D69" s="289"/>
      <c r="E69" s="287"/>
      <c r="F69" s="286"/>
      <c r="G69" s="383"/>
    </row>
    <row r="70" spans="1:7" s="380" customFormat="1">
      <c r="A70" s="155" t="str">
        <f>'Sources and Uses Budget'!A69</f>
        <v>Other: Borrower Legal</v>
      </c>
      <c r="B70" s="285">
        <f>'Sources and Uses Budget'!$C69</f>
        <v>160000</v>
      </c>
      <c r="C70" s="285">
        <f>'Sources and Uses Budget'!$C69</f>
        <v>160000</v>
      </c>
      <c r="D70" s="289">
        <f t="shared" si="0"/>
        <v>0</v>
      </c>
      <c r="E70" s="287"/>
      <c r="F70" s="286"/>
      <c r="G70" s="383"/>
    </row>
    <row r="71" spans="1:7" s="380" customFormat="1">
      <c r="A71" s="149" t="s">
        <v>1825</v>
      </c>
      <c r="B71" s="289">
        <f>SUM(B66:B70)</f>
        <v>265000</v>
      </c>
      <c r="C71" s="289">
        <f>SUM(C66:C70)</f>
        <v>265000</v>
      </c>
      <c r="D71" s="289">
        <f t="shared" si="0"/>
        <v>0</v>
      </c>
      <c r="E71" s="287"/>
      <c r="F71" s="286"/>
      <c r="G71" s="383"/>
    </row>
    <row r="72" spans="1:7" s="380" customFormat="1">
      <c r="A72" s="283" t="s">
        <v>611</v>
      </c>
      <c r="B72" s="283"/>
      <c r="C72" s="283"/>
      <c r="D72" s="283"/>
      <c r="E72" s="302"/>
      <c r="F72" s="283"/>
      <c r="G72" s="383"/>
    </row>
    <row r="73" spans="1:7" s="380" customFormat="1">
      <c r="A73" s="288" t="s">
        <v>612</v>
      </c>
      <c r="B73" s="285">
        <f>'Sources and Uses Budget'!$C72</f>
        <v>0</v>
      </c>
      <c r="C73" s="285">
        <f>'Sources and Uses Budget'!$C72</f>
        <v>0</v>
      </c>
      <c r="D73" s="289">
        <f t="shared" si="0"/>
        <v>0</v>
      </c>
      <c r="E73" s="287"/>
      <c r="F73" s="286"/>
      <c r="G73" s="383"/>
    </row>
    <row r="74" spans="1:7" s="380" customFormat="1">
      <c r="A74" s="288" t="s">
        <v>613</v>
      </c>
      <c r="B74" s="285">
        <f>'Sources and Uses Budget'!$C73</f>
        <v>0</v>
      </c>
      <c r="C74" s="285">
        <f>'Sources and Uses Budget'!$C73</f>
        <v>0</v>
      </c>
      <c r="D74" s="289">
        <f t="shared" si="0"/>
        <v>0</v>
      </c>
      <c r="E74" s="287"/>
      <c r="F74" s="286"/>
      <c r="G74" s="383"/>
    </row>
    <row r="75" spans="1:7" s="380" customFormat="1">
      <c r="A75" s="308" t="s">
        <v>1040</v>
      </c>
      <c r="B75" s="285">
        <f>'Sources and Uses Budget'!$C74</f>
        <v>0</v>
      </c>
      <c r="C75" s="285">
        <f>'Sources and Uses Budget'!$C74</f>
        <v>0</v>
      </c>
      <c r="D75" s="289">
        <f t="shared" si="0"/>
        <v>0</v>
      </c>
      <c r="E75" s="287"/>
      <c r="F75" s="286"/>
      <c r="G75" s="383"/>
    </row>
    <row r="76" spans="1:7" s="380" customFormat="1">
      <c r="A76" s="288" t="s">
        <v>614</v>
      </c>
      <c r="B76" s="285">
        <f>'Sources and Uses Budget'!$C75</f>
        <v>981470</v>
      </c>
      <c r="C76" s="285">
        <f>'Sources and Uses Budget'!$C75</f>
        <v>981470</v>
      </c>
      <c r="D76" s="289">
        <f t="shared" si="0"/>
        <v>0</v>
      </c>
      <c r="E76" s="287"/>
      <c r="F76" s="286"/>
      <c r="G76" s="383"/>
    </row>
    <row r="77" spans="1:7" s="380" customFormat="1">
      <c r="A77" s="291" t="s">
        <v>34</v>
      </c>
      <c r="B77" s="285">
        <f>'Sources and Uses Budget'!$C76</f>
        <v>0</v>
      </c>
      <c r="C77" s="285">
        <f>'Sources and Uses Budget'!$C76</f>
        <v>0</v>
      </c>
      <c r="D77" s="289">
        <f t="shared" si="0"/>
        <v>0</v>
      </c>
      <c r="E77" s="287"/>
      <c r="F77" s="286"/>
      <c r="G77" s="383"/>
    </row>
    <row r="78" spans="1:7" s="380" customFormat="1">
      <c r="A78" s="290" t="s">
        <v>615</v>
      </c>
      <c r="B78" s="289">
        <f>SUM(B73:B77)</f>
        <v>981470</v>
      </c>
      <c r="C78" s="289">
        <f>SUM(C73:C77)</f>
        <v>981470</v>
      </c>
      <c r="D78" s="289">
        <f t="shared" ref="D78:D106" si="1">C78-B78</f>
        <v>0</v>
      </c>
      <c r="E78" s="287"/>
      <c r="F78" s="286"/>
      <c r="G78" s="383"/>
    </row>
    <row r="79" spans="1:7" s="380" customFormat="1">
      <c r="A79" s="283" t="s">
        <v>1353</v>
      </c>
      <c r="B79" s="283"/>
      <c r="C79" s="283"/>
      <c r="D79" s="283"/>
      <c r="E79" s="302"/>
      <c r="F79" s="283"/>
      <c r="G79" s="383"/>
    </row>
    <row r="80" spans="1:7" s="380" customFormat="1">
      <c r="A80" s="544" t="s">
        <v>1355</v>
      </c>
      <c r="B80" s="285">
        <f>'Sources and Uses Budget'!$C79</f>
        <v>4945795</v>
      </c>
      <c r="C80" s="285">
        <f>'Sources and Uses Budget'!$C79</f>
        <v>4945795</v>
      </c>
      <c r="D80" s="289">
        <f t="shared" si="1"/>
        <v>0</v>
      </c>
      <c r="E80" s="287"/>
      <c r="F80" s="286"/>
      <c r="G80" s="383"/>
    </row>
    <row r="81" spans="1:7" s="380" customFormat="1">
      <c r="A81" s="544" t="s">
        <v>58</v>
      </c>
      <c r="B81" s="285">
        <f>'Sources and Uses Budget'!$C80</f>
        <v>1017173</v>
      </c>
      <c r="C81" s="285">
        <f>'Sources and Uses Budget'!$C80</f>
        <v>1017173</v>
      </c>
      <c r="D81" s="289">
        <f>C81-B81</f>
        <v>0</v>
      </c>
      <c r="E81" s="287"/>
      <c r="F81" s="286"/>
      <c r="G81" s="383"/>
    </row>
    <row r="82" spans="1:7" s="380" customFormat="1">
      <c r="A82" s="290" t="s">
        <v>1352</v>
      </c>
      <c r="B82" s="289">
        <f>SUM(B80:B81)</f>
        <v>5962968</v>
      </c>
      <c r="C82" s="289">
        <f>SUM(C80:C81)</f>
        <v>5962968</v>
      </c>
      <c r="D82" s="289">
        <f t="shared" si="1"/>
        <v>0</v>
      </c>
      <c r="E82" s="287"/>
      <c r="F82" s="286"/>
      <c r="G82" s="383"/>
    </row>
    <row r="83" spans="1:7" s="380" customFormat="1">
      <c r="A83" s="283" t="s">
        <v>789</v>
      </c>
      <c r="B83" s="283"/>
      <c r="C83" s="283"/>
      <c r="D83" s="283"/>
      <c r="E83" s="302"/>
      <c r="F83" s="283"/>
      <c r="G83" s="383"/>
    </row>
    <row r="84" spans="1:7" s="380" customFormat="1" ht="13.65" customHeight="1">
      <c r="A84" s="288" t="s">
        <v>790</v>
      </c>
      <c r="B84" s="285">
        <f>'Sources and Uses Budget'!$C83</f>
        <v>146569</v>
      </c>
      <c r="C84" s="285">
        <f>'Sources and Uses Budget'!$C83</f>
        <v>146569</v>
      </c>
      <c r="D84" s="289">
        <f t="shared" si="1"/>
        <v>0</v>
      </c>
      <c r="E84" s="287"/>
      <c r="F84" s="286"/>
      <c r="G84" s="383"/>
    </row>
    <row r="85" spans="1:7" s="380" customFormat="1">
      <c r="A85" s="288" t="s">
        <v>791</v>
      </c>
      <c r="B85" s="285">
        <f>'Sources and Uses Budget'!$C84</f>
        <v>78000</v>
      </c>
      <c r="C85" s="285">
        <f>'Sources and Uses Budget'!$C84</f>
        <v>78000</v>
      </c>
      <c r="D85" s="289">
        <f t="shared" si="1"/>
        <v>0</v>
      </c>
      <c r="E85" s="287"/>
      <c r="F85" s="286"/>
      <c r="G85" s="383"/>
    </row>
    <row r="86" spans="1:7" s="380" customFormat="1">
      <c r="A86" s="288" t="s">
        <v>792</v>
      </c>
      <c r="B86" s="285">
        <f>'Sources and Uses Budget'!$C85</f>
        <v>1416373</v>
      </c>
      <c r="C86" s="285">
        <f>'Sources and Uses Budget'!$C85</f>
        <v>1416373</v>
      </c>
      <c r="D86" s="289">
        <f t="shared" si="1"/>
        <v>0</v>
      </c>
      <c r="E86" s="287"/>
      <c r="F86" s="286"/>
      <c r="G86" s="383"/>
    </row>
    <row r="87" spans="1:7" s="380" customFormat="1">
      <c r="A87" s="288" t="s">
        <v>793</v>
      </c>
      <c r="B87" s="285">
        <f>'Sources and Uses Budget'!$C86</f>
        <v>3080098</v>
      </c>
      <c r="C87" s="285">
        <f>'Sources and Uses Budget'!$C86</f>
        <v>3080098</v>
      </c>
      <c r="D87" s="289">
        <f t="shared" si="1"/>
        <v>0</v>
      </c>
      <c r="E87" s="287"/>
      <c r="F87" s="286"/>
      <c r="G87" s="383"/>
    </row>
    <row r="88" spans="1:7" s="380" customFormat="1">
      <c r="A88" s="288" t="s">
        <v>794</v>
      </c>
      <c r="B88" s="285">
        <f>'Sources and Uses Budget'!$C87</f>
        <v>10000</v>
      </c>
      <c r="C88" s="285">
        <f>'Sources and Uses Budget'!$C87</f>
        <v>10000</v>
      </c>
      <c r="D88" s="289">
        <f t="shared" si="1"/>
        <v>0</v>
      </c>
      <c r="E88" s="287"/>
      <c r="F88" s="286"/>
      <c r="G88" s="383"/>
    </row>
    <row r="89" spans="1:7" s="380" customFormat="1">
      <c r="A89" s="288" t="s">
        <v>795</v>
      </c>
      <c r="B89" s="285">
        <f>'Sources and Uses Budget'!$C88</f>
        <v>440000</v>
      </c>
      <c r="C89" s="285">
        <f>'Sources and Uses Budget'!$C88</f>
        <v>440000</v>
      </c>
      <c r="D89" s="289">
        <f t="shared" si="1"/>
        <v>0</v>
      </c>
      <c r="E89" s="287"/>
      <c r="F89" s="286"/>
      <c r="G89" s="383"/>
    </row>
    <row r="90" spans="1:7" s="380" customFormat="1">
      <c r="A90" s="288" t="s">
        <v>796</v>
      </c>
      <c r="B90" s="285">
        <f>'Sources and Uses Budget'!$C89</f>
        <v>264000</v>
      </c>
      <c r="C90" s="285">
        <f>'Sources and Uses Budget'!$C89</f>
        <v>264000</v>
      </c>
      <c r="D90" s="289">
        <f t="shared" si="1"/>
        <v>0</v>
      </c>
      <c r="E90" s="287"/>
      <c r="F90" s="286"/>
      <c r="G90" s="383"/>
    </row>
    <row r="91" spans="1:7" s="380" customFormat="1">
      <c r="A91" s="288" t="s">
        <v>797</v>
      </c>
      <c r="B91" s="285">
        <f>'Sources and Uses Budget'!$C90</f>
        <v>21000</v>
      </c>
      <c r="C91" s="285">
        <f>'Sources and Uses Budget'!$C90</f>
        <v>21000</v>
      </c>
      <c r="D91" s="289">
        <f t="shared" si="1"/>
        <v>0</v>
      </c>
      <c r="E91" s="287"/>
      <c r="F91" s="286"/>
      <c r="G91" s="383"/>
    </row>
    <row r="92" spans="1:7" s="380" customFormat="1">
      <c r="A92" s="288" t="s">
        <v>374</v>
      </c>
      <c r="B92" s="285">
        <f>'Sources and Uses Budget'!$C91</f>
        <v>0</v>
      </c>
      <c r="C92" s="285">
        <f>'Sources and Uses Budget'!$C91</f>
        <v>0</v>
      </c>
      <c r="D92" s="289">
        <f t="shared" si="1"/>
        <v>0</v>
      </c>
      <c r="E92" s="287"/>
      <c r="F92" s="286"/>
      <c r="G92" s="383"/>
    </row>
    <row r="93" spans="1:7" s="380" customFormat="1">
      <c r="A93" s="544" t="s">
        <v>1354</v>
      </c>
      <c r="B93" s="285">
        <f>'Sources and Uses Budget'!$C92</f>
        <v>10000</v>
      </c>
      <c r="C93" s="285">
        <f>'Sources and Uses Budget'!$C92</f>
        <v>10000</v>
      </c>
      <c r="D93" s="289">
        <f t="shared" si="1"/>
        <v>0</v>
      </c>
      <c r="E93" s="287"/>
      <c r="F93" s="286"/>
      <c r="G93" s="383"/>
    </row>
    <row r="94" spans="1:7" s="380" customFormat="1">
      <c r="A94" s="291" t="s">
        <v>34</v>
      </c>
      <c r="B94" s="285">
        <f>'Sources and Uses Budget'!$C93</f>
        <v>30000</v>
      </c>
      <c r="C94" s="285">
        <f>'Sources and Uses Budget'!$C93</f>
        <v>30000</v>
      </c>
      <c r="D94" s="289">
        <f t="shared" si="1"/>
        <v>0</v>
      </c>
      <c r="E94" s="287"/>
      <c r="F94" s="286"/>
      <c r="G94" s="383"/>
    </row>
    <row r="95" spans="1:7" s="380" customFormat="1">
      <c r="A95" s="291" t="s">
        <v>34</v>
      </c>
      <c r="B95" s="285">
        <f>'Sources and Uses Budget'!$C94</f>
        <v>1084363</v>
      </c>
      <c r="C95" s="285">
        <f>'Sources and Uses Budget'!$C94</f>
        <v>1084363</v>
      </c>
      <c r="D95" s="289">
        <f t="shared" si="1"/>
        <v>0</v>
      </c>
      <c r="E95" s="287"/>
      <c r="F95" s="286"/>
      <c r="G95" s="383"/>
    </row>
    <row r="96" spans="1:7" s="380" customFormat="1">
      <c r="A96" s="291" t="s">
        <v>34</v>
      </c>
      <c r="B96" s="285">
        <f>'Sources and Uses Budget'!$C95</f>
        <v>0</v>
      </c>
      <c r="C96" s="285">
        <f>'Sources and Uses Budget'!$C95</f>
        <v>0</v>
      </c>
      <c r="D96" s="289">
        <f t="shared" si="1"/>
        <v>0</v>
      </c>
      <c r="E96" s="287"/>
      <c r="F96" s="286"/>
      <c r="G96" s="383"/>
    </row>
    <row r="97" spans="1:7" s="380" customFormat="1">
      <c r="A97" s="290" t="s">
        <v>798</v>
      </c>
      <c r="B97" s="289">
        <f>SUM(B84:B96)</f>
        <v>6580403</v>
      </c>
      <c r="C97" s="289">
        <f>SUM(C84:C96)</f>
        <v>6580403</v>
      </c>
      <c r="D97" s="289">
        <f t="shared" si="1"/>
        <v>0</v>
      </c>
      <c r="E97" s="287"/>
      <c r="F97" s="286"/>
      <c r="G97" s="383"/>
    </row>
    <row r="98" spans="1:7" s="380" customFormat="1">
      <c r="A98" s="290" t="s">
        <v>799</v>
      </c>
      <c r="B98" s="289">
        <f>SUM(B64+B71+B78+B82+B97)</f>
        <v>146144184</v>
      </c>
      <c r="C98" s="289">
        <f>SUM(C64+C71+C78+C82+C97)</f>
        <v>146144184</v>
      </c>
      <c r="D98" s="289">
        <f t="shared" si="1"/>
        <v>0</v>
      </c>
      <c r="E98" s="287"/>
      <c r="F98" s="286"/>
      <c r="G98" s="383"/>
    </row>
    <row r="99" spans="1:7" s="380" customFormat="1">
      <c r="A99" s="283" t="s">
        <v>800</v>
      </c>
      <c r="B99" s="283"/>
      <c r="C99" s="283"/>
      <c r="D99" s="283"/>
      <c r="E99" s="302"/>
      <c r="F99" s="283"/>
      <c r="G99" s="383"/>
    </row>
    <row r="100" spans="1:7" s="380" customFormat="1">
      <c r="A100" s="145" t="s">
        <v>801</v>
      </c>
      <c r="B100" s="285">
        <f>'Sources and Uses Budget'!$C99</f>
        <v>18413597</v>
      </c>
      <c r="C100" s="285">
        <f>'Sources and Uses Budget'!$C99</f>
        <v>18413597</v>
      </c>
      <c r="D100" s="289">
        <f t="shared" si="1"/>
        <v>0</v>
      </c>
      <c r="E100" s="287"/>
      <c r="F100" s="286"/>
      <c r="G100" s="383"/>
    </row>
    <row r="101" spans="1:7" s="380" customFormat="1">
      <c r="A101" s="303" t="s">
        <v>1826</v>
      </c>
      <c r="B101" s="285">
        <f>'Sources and Uses Budget'!$C100</f>
        <v>0</v>
      </c>
      <c r="C101" s="285">
        <f>'Sources and Uses Budget'!$C100</f>
        <v>0</v>
      </c>
      <c r="D101" s="289">
        <f t="shared" si="1"/>
        <v>0</v>
      </c>
      <c r="E101" s="287"/>
      <c r="F101" s="286"/>
      <c r="G101" s="383"/>
    </row>
    <row r="102" spans="1:7" s="380" customFormat="1">
      <c r="A102" s="145" t="s">
        <v>802</v>
      </c>
      <c r="B102" s="285">
        <f>'Sources and Uses Budget'!$C101</f>
        <v>0</v>
      </c>
      <c r="C102" s="285">
        <f>'Sources and Uses Budget'!$C101</f>
        <v>0</v>
      </c>
      <c r="D102" s="289">
        <f t="shared" si="1"/>
        <v>0</v>
      </c>
      <c r="E102" s="287"/>
      <c r="F102" s="286"/>
      <c r="G102" s="383"/>
    </row>
    <row r="103" spans="1:7" s="380" customFormat="1" ht="12" customHeight="1">
      <c r="A103" s="303" t="s">
        <v>1827</v>
      </c>
      <c r="B103" s="285">
        <f>'Sources and Uses Budget'!$C102</f>
        <v>0</v>
      </c>
      <c r="C103" s="285">
        <f>'Sources and Uses Budget'!$C102</f>
        <v>0</v>
      </c>
      <c r="D103" s="289">
        <f t="shared" si="1"/>
        <v>0</v>
      </c>
      <c r="E103" s="287"/>
      <c r="F103" s="286"/>
      <c r="G103" s="383"/>
    </row>
    <row r="104" spans="1:7" s="380" customFormat="1">
      <c r="A104" s="1055" t="str">
        <f>'Sources and Uses Budget'!A103</f>
        <v>Other: (Specify)</v>
      </c>
      <c r="B104" s="285">
        <f>'Sources and Uses Budget'!$C103</f>
        <v>0</v>
      </c>
      <c r="C104" s="285">
        <f>'Sources and Uses Budget'!$C103</f>
        <v>0</v>
      </c>
      <c r="D104" s="289">
        <f t="shared" si="1"/>
        <v>0</v>
      </c>
      <c r="E104" s="287"/>
      <c r="F104" s="286"/>
      <c r="G104" s="383"/>
    </row>
    <row r="105" spans="1:7" s="380" customFormat="1">
      <c r="A105" s="290" t="s">
        <v>803</v>
      </c>
      <c r="B105" s="289">
        <f>SUM(B100:B104)</f>
        <v>18413597</v>
      </c>
      <c r="C105" s="289">
        <f>SUM(C100:C104)</f>
        <v>18413597</v>
      </c>
      <c r="D105" s="289">
        <f t="shared" si="1"/>
        <v>0</v>
      </c>
      <c r="E105" s="287"/>
      <c r="F105" s="286"/>
      <c r="G105" s="383"/>
    </row>
    <row r="106" spans="1:7" s="380" customFormat="1">
      <c r="A106" s="290" t="s">
        <v>804</v>
      </c>
      <c r="B106" s="292">
        <f>SUM(B98+B105)</f>
        <v>164557781</v>
      </c>
      <c r="C106" s="292">
        <f>SUM(C98+C105)</f>
        <v>164557781</v>
      </c>
      <c r="D106" s="289">
        <f t="shared" si="1"/>
        <v>0</v>
      </c>
      <c r="E106" s="287"/>
      <c r="F106" s="286"/>
      <c r="G106" s="383"/>
    </row>
    <row r="107" spans="1:7" s="380" customFormat="1">
      <c r="A107" s="297" t="s">
        <v>805</v>
      </c>
      <c r="B107" s="298"/>
      <c r="C107" s="299"/>
      <c r="D107" s="301"/>
      <c r="E107" s="284"/>
      <c r="F107" s="296"/>
      <c r="G107" s="383"/>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309</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35"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4">
      <c r="A17" s="176"/>
      <c r="B17" s="468"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8" t="s">
        <v>309</v>
      </c>
      <c r="D21" s="1305" t="s">
        <v>1189</v>
      </c>
      <c r="E21" s="1305"/>
      <c r="F21" s="1305"/>
    </row>
    <row r="22" spans="1:6" ht="14.4">
      <c r="A22" s="176"/>
      <c r="B22" s="176"/>
      <c r="D22" s="35"/>
    </row>
    <row r="23" spans="1:6" ht="14.4">
      <c r="A23" s="176"/>
      <c r="B23" s="468" t="s">
        <v>309</v>
      </c>
      <c r="D23" s="1262" t="s">
        <v>1190</v>
      </c>
      <c r="E23" s="1262"/>
      <c r="F23" s="1262"/>
    </row>
    <row r="24" spans="1:6" ht="14.4">
      <c r="A24" s="176"/>
      <c r="B24" s="176"/>
      <c r="D24" s="1262"/>
      <c r="E24" s="1262"/>
      <c r="F24" s="1262"/>
    </row>
    <row r="25" spans="1:6"/>
    <row r="26" spans="1:6" ht="14.4">
      <c r="A26" s="176"/>
      <c r="B26" s="468"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8" t="s">
        <v>309</v>
      </c>
      <c r="D32" s="1262" t="s">
        <v>1192</v>
      </c>
      <c r="E32" s="1262"/>
      <c r="F32" s="1262"/>
    </row>
    <row r="33" spans="1:6">
      <c r="D33" s="1262"/>
      <c r="E33" s="1262"/>
      <c r="F33" s="1262"/>
    </row>
    <row r="34" spans="1:6" ht="14.4">
      <c r="A34" s="176"/>
      <c r="B34" s="176"/>
      <c r="D34" s="220"/>
    </row>
    <row r="35" spans="1:6" ht="14.4" customHeight="1">
      <c r="A35" s="176"/>
      <c r="B35" s="468" t="s">
        <v>309</v>
      </c>
      <c r="D35" s="1262" t="s">
        <v>1193</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8" t="s">
        <v>309</v>
      </c>
      <c r="D39" s="1262" t="s">
        <v>1194</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4"/>
      <c r="E44" s="474"/>
      <c r="F44" s="474"/>
    </row>
    <row r="45" spans="1:6" ht="14.4">
      <c r="A45" s="176"/>
      <c r="B45" s="468" t="s">
        <v>309</v>
      </c>
      <c r="D45" s="1262" t="s">
        <v>1195</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4" customHeight="1">
      <c r="A50" s="176"/>
      <c r="B50" s="468" t="s">
        <v>309</v>
      </c>
      <c r="D50" s="1262" t="s">
        <v>1196</v>
      </c>
      <c r="E50" s="1262"/>
      <c r="F50" s="1262"/>
    </row>
    <row r="51" spans="1:7" ht="14.4">
      <c r="A51" s="176"/>
      <c r="B51" s="176"/>
      <c r="D51" s="1262"/>
      <c r="E51" s="1262"/>
      <c r="F51" s="1262"/>
    </row>
    <row r="52" spans="1:7" ht="14.4">
      <c r="A52" s="176"/>
      <c r="B52" s="176"/>
      <c r="D52" s="1262"/>
      <c r="E52" s="1262"/>
      <c r="F52" s="1262"/>
    </row>
    <row r="53" spans="1:7" ht="14.4">
      <c r="A53" s="176"/>
      <c r="B53" s="176"/>
      <c r="C53" s="385"/>
      <c r="D53" s="3"/>
      <c r="E53" s="3"/>
      <c r="F53" s="3"/>
      <c r="G53" s="3"/>
    </row>
    <row r="54" spans="1:7" ht="14.4">
      <c r="A54" s="176"/>
      <c r="B54" s="468" t="s">
        <v>309</v>
      </c>
      <c r="C54" s="385"/>
      <c r="D54" s="1262" t="s">
        <v>1197</v>
      </c>
      <c r="E54" s="1262"/>
      <c r="F54" s="1262"/>
      <c r="G54" s="3"/>
    </row>
    <row r="55" spans="1:7" ht="14.4">
      <c r="A55" s="176"/>
      <c r="B55" s="176"/>
      <c r="C55" s="385"/>
      <c r="D55" s="1262"/>
      <c r="E55" s="1262"/>
      <c r="F55" s="1262"/>
      <c r="G55" s="3"/>
    </row>
    <row r="56" spans="1:7">
      <c r="D56" s="220"/>
    </row>
    <row r="57" spans="1:7" ht="14.4">
      <c r="A57" s="176"/>
      <c r="B57" s="468" t="s">
        <v>309</v>
      </c>
      <c r="D57" s="1262" t="s">
        <v>1198</v>
      </c>
      <c r="E57" s="1262"/>
      <c r="F57" s="1262"/>
    </row>
    <row r="58" spans="1:7">
      <c r="D58" s="1262"/>
      <c r="E58" s="1262"/>
      <c r="F58" s="1262"/>
    </row>
    <row r="59" spans="1:7">
      <c r="D59" s="1262"/>
      <c r="E59" s="1262"/>
      <c r="F59" s="1262"/>
    </row>
    <row r="60" spans="1:7">
      <c r="D60" s="3"/>
    </row>
    <row r="61" spans="1:7" ht="14.4">
      <c r="A61" s="176"/>
      <c r="B61" s="468" t="s">
        <v>309</v>
      </c>
      <c r="D61" s="1262" t="s">
        <v>1199</v>
      </c>
      <c r="E61" s="1262"/>
      <c r="F61" s="1262"/>
    </row>
    <row r="62" spans="1:7">
      <c r="D62" s="1262"/>
      <c r="E62" s="1262"/>
      <c r="F62" s="1262"/>
    </row>
    <row r="63" spans="1:7"/>
    <row r="64" spans="1:7" ht="14.4">
      <c r="A64" s="176"/>
      <c r="B64" s="468" t="s">
        <v>309</v>
      </c>
      <c r="D64" s="1262" t="s">
        <v>1200</v>
      </c>
      <c r="E64" s="1262"/>
      <c r="F64" s="1262"/>
    </row>
    <row r="65" spans="1:7">
      <c r="D65" s="1262"/>
      <c r="E65" s="1262"/>
      <c r="F65" s="1262"/>
    </row>
    <row r="66" spans="1:7">
      <c r="D66" s="1262"/>
      <c r="E66" s="1262"/>
      <c r="F66" s="1262"/>
    </row>
    <row r="67" spans="1:7">
      <c r="D67"/>
    </row>
    <row r="68" spans="1:7" ht="14.4">
      <c r="A68" s="176"/>
      <c r="B68" s="468" t="s">
        <v>309</v>
      </c>
      <c r="D68" s="1262" t="s">
        <v>1201</v>
      </c>
      <c r="E68" s="1262"/>
      <c r="F68" s="1262"/>
    </row>
    <row r="69" spans="1:7">
      <c r="D69" s="1262"/>
      <c r="E69" s="1262"/>
      <c r="F69" s="1262"/>
    </row>
    <row r="70" spans="1:7" ht="14.4">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4">
      <c r="A76" s="176"/>
      <c r="B76" s="468" t="s">
        <v>309</v>
      </c>
      <c r="D76" s="1262" t="s">
        <v>1207</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4"/>
      <c r="E82" s="474"/>
      <c r="F82" s="474"/>
    </row>
    <row r="83" spans="1:6" ht="14.4" customHeight="1">
      <c r="A83" s="176"/>
      <c r="B83" s="468" t="s">
        <v>309</v>
      </c>
      <c r="D83" s="1271" t="s">
        <v>1306</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8" t="s">
        <v>309</v>
      </c>
      <c r="D97" s="1262" t="s">
        <v>1208</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4"/>
      <c r="E105" s="474"/>
      <c r="F105" s="474"/>
    </row>
    <row r="106" spans="1:11" ht="14.4">
      <c r="A106" s="176"/>
      <c r="B106" s="468" t="s">
        <v>309</v>
      </c>
      <c r="C106" s="179"/>
      <c r="D106" s="1299" t="s">
        <v>1209</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29"/>
      <c r="E113"/>
      <c r="F113"/>
      <c r="G113"/>
    </row>
    <row r="114" spans="1:7" ht="14.4">
      <c r="A114" s="176"/>
      <c r="B114" s="468" t="s">
        <v>309</v>
      </c>
      <c r="C114"/>
      <c r="D114" s="1300" t="s">
        <v>1210</v>
      </c>
      <c r="E114" s="1300"/>
      <c r="F114" s="1300"/>
      <c r="G114"/>
    </row>
    <row r="115" spans="1:7" ht="14.4">
      <c r="A115" s="176"/>
      <c r="B115" s="176"/>
      <c r="C115"/>
      <c r="D115" s="1300"/>
      <c r="E115" s="1300"/>
      <c r="F115" s="1300"/>
      <c r="G115"/>
    </row>
    <row r="116" spans="1:7"/>
    <row r="117" spans="1:7" ht="14.4">
      <c r="A117" s="176"/>
      <c r="B117" s="468"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8" t="s">
        <v>309</v>
      </c>
      <c r="D123" s="1262" t="s">
        <v>1212</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8" t="s">
        <v>309</v>
      </c>
      <c r="D136" s="1262" t="s">
        <v>1320</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8" t="s">
        <v>309</v>
      </c>
      <c r="C156" s="218"/>
      <c r="D156" s="1271" t="s">
        <v>1213</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8" t="s">
        <v>309</v>
      </c>
      <c r="C159" s="218"/>
      <c r="D159" s="1271" t="s">
        <v>1214</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8" t="s">
        <v>309</v>
      </c>
      <c r="D164" s="1276" t="s">
        <v>1215</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35"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4">
      <c r="A178" s="176"/>
      <c r="B178" s="468" t="s">
        <v>309</v>
      </c>
      <c r="D178" s="1289" t="s">
        <v>1217</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5"/>
      <c r="E185" s="475"/>
      <c r="F185" s="475"/>
    </row>
    <row r="186" spans="1:7" ht="14.4">
      <c r="A186" s="176"/>
      <c r="B186" s="468" t="s">
        <v>309</v>
      </c>
      <c r="C186" s="385"/>
      <c r="D186" s="1262" t="s">
        <v>1216</v>
      </c>
      <c r="E186" s="1262"/>
      <c r="F186" s="1262"/>
      <c r="G186" s="3"/>
    </row>
    <row r="187" spans="1:7" ht="14.4" customHeight="1">
      <c r="A187" s="176"/>
      <c r="B187"/>
      <c r="C187" s="385"/>
      <c r="D187" s="1262"/>
      <c r="E187" s="1262"/>
      <c r="F187" s="1262"/>
      <c r="G187" s="3"/>
    </row>
    <row r="188" spans="1:7" ht="14.4">
      <c r="A188" s="176"/>
      <c r="B188" s="385"/>
      <c r="C188" s="385"/>
      <c r="D188" s="1262"/>
      <c r="E188" s="1262"/>
      <c r="F188" s="1262"/>
      <c r="G188" s="3"/>
    </row>
    <row r="189" spans="1:7" ht="14.4">
      <c r="A189" s="176"/>
      <c r="B189" s="385"/>
      <c r="C189" s="385"/>
      <c r="D189" s="1262"/>
      <c r="E189" s="1262"/>
      <c r="F189" s="1262"/>
      <c r="G189" s="3"/>
    </row>
    <row r="190" spans="1:7">
      <c r="D190" s="475"/>
      <c r="E190" s="475"/>
      <c r="F190" s="475"/>
    </row>
    <row r="191" spans="1:7">
      <c r="A191" s="1277" t="s">
        <v>1111</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1240</v>
      </c>
      <c r="E194" s="1281"/>
      <c r="F194" s="1281"/>
    </row>
    <row r="195" spans="1:6" ht="12" customHeight="1">
      <c r="A195" s="13"/>
      <c r="B195" s="13"/>
      <c r="C195" s="13"/>
    </row>
    <row r="196" spans="1:6" ht="13.35" customHeight="1">
      <c r="A196" s="13"/>
      <c r="C196" s="13"/>
      <c r="D196" s="1278" t="s">
        <v>555</v>
      </c>
      <c r="E196" s="1278"/>
      <c r="F196" s="1278"/>
    </row>
    <row r="197" spans="1:6" ht="14.4">
      <c r="A197" s="176"/>
      <c r="B197" s="468" t="s">
        <v>309</v>
      </c>
      <c r="D197" s="1262" t="s">
        <v>1234</v>
      </c>
      <c r="E197" s="1262"/>
      <c r="F197" s="1262"/>
    </row>
    <row r="198" spans="1:6" ht="14.4">
      <c r="A198" s="176"/>
      <c r="B198" s="176"/>
      <c r="D198" s="1262"/>
      <c r="E198" s="1262"/>
      <c r="F198" s="1262"/>
    </row>
    <row r="199" spans="1:6"/>
    <row r="200" spans="1:6" ht="14.4">
      <c r="A200" s="176"/>
      <c r="B200" s="468" t="s">
        <v>309</v>
      </c>
      <c r="D200" s="1262" t="s">
        <v>1235</v>
      </c>
      <c r="E200" s="1262"/>
      <c r="F200" s="1262"/>
    </row>
    <row r="201" spans="1:6" ht="14.4">
      <c r="A201" s="176"/>
      <c r="B201" s="176"/>
      <c r="D201" s="1262"/>
      <c r="E201" s="1262"/>
      <c r="F201" s="1262"/>
    </row>
    <row r="202" spans="1:6" ht="14.4">
      <c r="A202" s="176"/>
      <c r="B202" s="176"/>
      <c r="D202" s="1262"/>
      <c r="E202" s="1262"/>
      <c r="F202" s="1262"/>
    </row>
    <row r="203" spans="1:6" ht="5.0999999999999996" customHeight="1">
      <c r="A203" s="176"/>
      <c r="B203" s="176"/>
      <c r="D203" s="35"/>
      <c r="E203" s="35"/>
      <c r="F203" s="35"/>
    </row>
    <row r="204" spans="1:6" ht="14.4">
      <c r="A204" s="176"/>
      <c r="B204" s="176"/>
      <c r="D204" s="1262" t="s">
        <v>1236</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8" t="s">
        <v>309</v>
      </c>
      <c r="D210" s="1262" t="s">
        <v>1237</v>
      </c>
      <c r="E210" s="1262"/>
      <c r="F210" s="1262"/>
    </row>
    <row r="211" spans="1:7" ht="14.4">
      <c r="A211" s="176"/>
      <c r="B211" s="176"/>
      <c r="D211" s="1262"/>
      <c r="E211" s="1262"/>
      <c r="F211" s="1262"/>
    </row>
    <row r="212" spans="1:7" ht="14.4">
      <c r="A212" s="176"/>
      <c r="B212" s="176"/>
      <c r="D212" s="1294" t="s">
        <v>927</v>
      </c>
      <c r="E212" s="1294"/>
      <c r="F212" s="1294"/>
    </row>
    <row r="213" spans="1:7" ht="14.4">
      <c r="A213" s="176"/>
      <c r="B213" s="176"/>
      <c r="D213" s="35"/>
      <c r="E213" s="35"/>
      <c r="F213" s="35"/>
    </row>
    <row r="214" spans="1:7" ht="14.4" customHeight="1">
      <c r="A214" s="176"/>
      <c r="B214" s="468" t="s">
        <v>309</v>
      </c>
      <c r="D214" s="1262" t="s">
        <v>1239</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8" t="s">
        <v>309</v>
      </c>
      <c r="D220" s="1262" t="s">
        <v>1238</v>
      </c>
      <c r="E220" s="1262"/>
      <c r="F220" s="1262"/>
    </row>
    <row r="221" spans="1:7" ht="14.4">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8" t="s">
        <v>309</v>
      </c>
      <c r="D228" s="1280" t="s">
        <v>1242</v>
      </c>
      <c r="E228" s="1280"/>
      <c r="F228" s="1280"/>
    </row>
    <row r="229" spans="1:6" ht="14.4">
      <c r="A229" s="176"/>
      <c r="B229" s="176"/>
      <c r="D229" s="1280"/>
      <c r="E229" s="1280"/>
      <c r="F229" s="1280"/>
    </row>
    <row r="230" spans="1:6">
      <c r="D230" s="35"/>
      <c r="E230" s="35"/>
      <c r="F230" s="35"/>
    </row>
    <row r="231" spans="1:6" ht="14.4" customHeight="1">
      <c r="A231" s="176"/>
      <c r="B231" s="468" t="s">
        <v>309</v>
      </c>
      <c r="D231" s="1262" t="s">
        <v>1243</v>
      </c>
      <c r="E231" s="1262"/>
      <c r="F231" s="1262"/>
    </row>
    <row r="232" spans="1:6">
      <c r="D232" s="1262"/>
      <c r="E232" s="1262"/>
      <c r="F232" s="1262"/>
    </row>
    <row r="233" spans="1:6">
      <c r="D233" s="1281" t="s">
        <v>918</v>
      </c>
      <c r="E233" s="1281"/>
      <c r="F233" s="1281"/>
    </row>
    <row r="234" spans="1:6">
      <c r="D234" s="35"/>
      <c r="E234" s="35"/>
      <c r="F234" s="35"/>
    </row>
    <row r="235" spans="1:6" ht="14.4" customHeight="1">
      <c r="A235" s="176"/>
      <c r="B235" s="468"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8"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1247</v>
      </c>
      <c r="E251" s="1284"/>
      <c r="F251" s="1284"/>
    </row>
    <row r="252" spans="1:7">
      <c r="E252" s="35"/>
      <c r="F252" s="35"/>
    </row>
    <row r="253" spans="1:7" ht="14.4">
      <c r="A253" s="176"/>
      <c r="B253" s="468" t="s">
        <v>309</v>
      </c>
      <c r="D253" s="1262" t="s">
        <v>1248</v>
      </c>
      <c r="E253" s="1262"/>
      <c r="F253" s="1262"/>
    </row>
    <row r="254" spans="1:7" ht="14.4">
      <c r="A254" s="176"/>
      <c r="B254" s="176"/>
      <c r="D254" s="1262"/>
      <c r="E254" s="1262"/>
      <c r="F254" s="1262"/>
    </row>
    <row r="255" spans="1:7">
      <c r="D255" s="35"/>
      <c r="E255" s="35"/>
      <c r="F255" s="35"/>
    </row>
    <row r="256" spans="1:7" ht="14.4">
      <c r="A256" s="176"/>
      <c r="B256" s="468" t="s">
        <v>309</v>
      </c>
      <c r="D256" s="1262" t="s">
        <v>1249</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8" t="s">
        <v>309</v>
      </c>
      <c r="D260" s="1262" t="s">
        <v>1250</v>
      </c>
      <c r="E260" s="1262"/>
      <c r="F260" s="1262"/>
    </row>
    <row r="261" spans="1:7" ht="14.4">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8" t="s">
        <v>309</v>
      </c>
      <c r="D268" s="1273" t="s">
        <v>1252</v>
      </c>
      <c r="E268" s="1273"/>
      <c r="F268" s="1273"/>
    </row>
    <row r="269" spans="1:7" ht="14.4">
      <c r="A269" s="176"/>
      <c r="B269" s="176"/>
      <c r="D269" s="341"/>
      <c r="E269" s="342"/>
      <c r="F269" s="342"/>
    </row>
    <row r="270" spans="1:7" ht="13.35" customHeight="1">
      <c r="B270" s="468" t="s">
        <v>309</v>
      </c>
      <c r="D270" s="1282" t="s">
        <v>1253</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1"/>
      <c r="E275" s="342"/>
      <c r="F275" s="342"/>
    </row>
    <row r="276" spans="1:6" ht="13.35" customHeight="1">
      <c r="B276" s="468" t="s">
        <v>309</v>
      </c>
      <c r="D276" s="1282" t="s">
        <v>1254</v>
      </c>
      <c r="E276" s="1282"/>
      <c r="F276" s="1282"/>
    </row>
    <row r="277" spans="1:6">
      <c r="D277" s="1282"/>
      <c r="E277" s="1282"/>
      <c r="F277" s="1282"/>
    </row>
    <row r="278" spans="1:6" ht="14.4">
      <c r="A278" s="176"/>
      <c r="B278" s="176"/>
      <c r="D278" s="341"/>
      <c r="E278" s="342"/>
      <c r="F278" s="342"/>
    </row>
    <row r="279" spans="1:6">
      <c r="B279" s="468" t="s">
        <v>309</v>
      </c>
      <c r="D279" s="1273" t="s">
        <v>1255</v>
      </c>
      <c r="E279" s="1273"/>
      <c r="F279" s="1273"/>
    </row>
    <row r="280" spans="1:6">
      <c r="E280" s="35"/>
      <c r="F280" s="35"/>
    </row>
    <row r="281" spans="1:6" ht="14.4">
      <c r="A281" s="176"/>
      <c r="B281" s="468" t="s">
        <v>309</v>
      </c>
      <c r="D281" s="1262" t="s">
        <v>1256</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8"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8"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4"/>
      <c r="E313" s="474"/>
      <c r="F313" s="474"/>
      <c r="G313"/>
    </row>
    <row r="314" spans="1:7" ht="13.8" thickBot="1">
      <c r="D314" s="1285" t="s">
        <v>1019</v>
      </c>
      <c r="E314" s="1285"/>
      <c r="F314" s="1285"/>
      <c r="G314"/>
    </row>
    <row r="315" spans="1:7" ht="13.8" thickTop="1">
      <c r="D315" s="1286" t="s">
        <v>1259</v>
      </c>
      <c r="E315" s="1286"/>
      <c r="F315" s="1286"/>
      <c r="G315"/>
    </row>
    <row r="316" spans="1:7">
      <c r="A316" s="218"/>
      <c r="B316" s="218"/>
      <c r="C316" s="218"/>
      <c r="D316" s="220"/>
      <c r="E316" s="220"/>
      <c r="F316" s="35"/>
      <c r="G316"/>
    </row>
    <row r="317" spans="1:7" ht="14.4">
      <c r="A317" s="176"/>
      <c r="B317" s="468" t="s">
        <v>309</v>
      </c>
      <c r="C317" s="218"/>
      <c r="D317" s="1275" t="s">
        <v>1260</v>
      </c>
      <c r="E317" s="1275"/>
      <c r="F317" s="1275"/>
      <c r="G317"/>
    </row>
    <row r="318" spans="1:7">
      <c r="A318" s="218"/>
      <c r="B318" s="218"/>
      <c r="C318" s="218"/>
      <c r="D318" s="220"/>
      <c r="E318" s="220"/>
      <c r="F318" s="35"/>
      <c r="G318"/>
    </row>
    <row r="319" spans="1:7">
      <c r="A319" s="218"/>
      <c r="B319" s="468" t="s">
        <v>309</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8" t="s">
        <v>309</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3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309</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8" t="s">
        <v>309</v>
      </c>
      <c r="C367" s="218"/>
      <c r="D367" s="1271" t="s">
        <v>1266</v>
      </c>
      <c r="E367" s="1271"/>
      <c r="F367" s="1271"/>
      <c r="G367"/>
    </row>
    <row r="368" spans="1:7" ht="14.4">
      <c r="A368" s="346"/>
      <c r="B368" s="346"/>
      <c r="C368" s="218"/>
      <c r="D368" s="1271"/>
      <c r="E368" s="1271"/>
      <c r="F368" s="1271"/>
      <c r="G368"/>
    </row>
    <row r="369" spans="1:7" ht="14.4">
      <c r="A369" s="346"/>
      <c r="B369" s="346"/>
      <c r="C369" s="218"/>
      <c r="D369" s="1271"/>
      <c r="E369" s="1271"/>
      <c r="F369" s="1271"/>
      <c r="G369"/>
    </row>
    <row r="370" spans="1:7" ht="14.4">
      <c r="A370" s="346"/>
      <c r="B370" s="346"/>
      <c r="C370" s="218"/>
      <c r="D370" s="1271"/>
      <c r="E370" s="1271"/>
      <c r="F370" s="1271"/>
      <c r="G370"/>
    </row>
    <row r="371" spans="1:7" ht="14.4">
      <c r="A371" s="346"/>
      <c r="B371" s="346"/>
      <c r="C371" s="218"/>
      <c r="D371" s="1271"/>
      <c r="E371" s="1271"/>
      <c r="F371" s="1271"/>
      <c r="G371"/>
    </row>
    <row r="372" spans="1:7">
      <c r="D372" s="35"/>
      <c r="E372" s="35"/>
      <c r="F372" s="35"/>
      <c r="G372"/>
    </row>
    <row r="373" spans="1:7" ht="14.4">
      <c r="A373" s="176"/>
      <c r="B373" s="468" t="s">
        <v>309</v>
      </c>
      <c r="C373" s="179"/>
      <c r="D373" s="1262" t="s">
        <v>1267</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4.4">
      <c r="A405" s="176"/>
      <c r="B405" s="468" t="s">
        <v>309</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8" t="s">
        <v>309</v>
      </c>
      <c r="C412" s="179"/>
      <c r="D412" s="1262" t="s">
        <v>1270</v>
      </c>
      <c r="E412" s="1262"/>
      <c r="F412" s="1262"/>
      <c r="G412"/>
    </row>
    <row r="413" spans="1:7">
      <c r="D413" s="1262"/>
      <c r="E413" s="1262"/>
      <c r="F413" s="1262"/>
      <c r="G413"/>
    </row>
    <row r="414" spans="1:7">
      <c r="D414" s="1262"/>
      <c r="E414" s="1262"/>
      <c r="F414" s="1262"/>
      <c r="G414"/>
    </row>
    <row r="415" spans="1:7">
      <c r="D415" s="474"/>
      <c r="E415" s="474"/>
      <c r="F415" s="474"/>
      <c r="G415"/>
    </row>
    <row r="416" spans="1:7" ht="14.4">
      <c r="B416" s="468" t="s">
        <v>309</v>
      </c>
      <c r="C416" s="176"/>
      <c r="D416" s="1262" t="s">
        <v>1271</v>
      </c>
      <c r="E416" s="1262"/>
      <c r="F416" s="1262"/>
      <c r="G416"/>
    </row>
    <row r="417" spans="1:7">
      <c r="D417" s="1262"/>
      <c r="E417" s="1262"/>
      <c r="F417" s="1262"/>
      <c r="G417"/>
    </row>
    <row r="418" spans="1:7">
      <c r="D418" s="35"/>
      <c r="E418" s="35"/>
      <c r="F418" s="35"/>
      <c r="G418"/>
    </row>
    <row r="419" spans="1:7" ht="14.4">
      <c r="B419" s="468"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8"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8"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8" t="s">
        <v>309</v>
      </c>
      <c r="C430"/>
      <c r="D430" s="1262"/>
      <c r="E430" s="1262"/>
      <c r="F430" s="1262"/>
      <c r="G430"/>
    </row>
    <row r="431" spans="1:7">
      <c r="A431"/>
      <c r="B431"/>
      <c r="C431"/>
      <c r="D431" s="1262"/>
      <c r="E431" s="1262"/>
      <c r="F431" s="1262"/>
      <c r="G431"/>
    </row>
    <row r="432" spans="1:7">
      <c r="A432"/>
      <c r="B432" s="468" t="s">
        <v>309</v>
      </c>
      <c r="C432"/>
      <c r="D432" s="1262"/>
      <c r="E432" s="1262"/>
      <c r="F432" s="1262"/>
      <c r="G432"/>
    </row>
    <row r="433" spans="1:7">
      <c r="A433"/>
      <c r="B433"/>
      <c r="C433"/>
      <c r="D433" s="474"/>
      <c r="E433" s="474"/>
      <c r="F433" s="474"/>
      <c r="G433"/>
    </row>
    <row r="434" spans="1:7">
      <c r="A434"/>
      <c r="B434" s="468"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8" t="s">
        <v>309</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4">
      <c r="A445" s="176"/>
      <c r="B445" s="176"/>
      <c r="D445" s="1275" t="s">
        <v>1275</v>
      </c>
      <c r="E445" s="1275"/>
      <c r="F445" s="1275"/>
    </row>
    <row r="446" spans="1:7" ht="14.4">
      <c r="A446" s="176"/>
      <c r="B446" s="176"/>
      <c r="D446" s="481"/>
      <c r="E446" s="3"/>
      <c r="F446" s="3"/>
    </row>
    <row r="447" spans="1:7" ht="14.4">
      <c r="A447" s="176"/>
      <c r="B447" s="468" t="s">
        <v>309</v>
      </c>
      <c r="D447" s="1271" t="s">
        <v>1276</v>
      </c>
      <c r="E447" s="1271"/>
      <c r="F447" s="1271"/>
    </row>
    <row r="448" spans="1:7" ht="14.4">
      <c r="A448" s="176"/>
      <c r="B448" s="176"/>
      <c r="D448" s="1271"/>
      <c r="E448" s="1271"/>
      <c r="F448" s="1271"/>
    </row>
    <row r="449" spans="1:7" ht="14.4">
      <c r="A449" s="176"/>
      <c r="B449" s="176"/>
      <c r="D449" s="118"/>
      <c r="E449" s="3"/>
      <c r="F449" s="3"/>
    </row>
    <row r="450" spans="1:7">
      <c r="B450" s="468" t="s">
        <v>309</v>
      </c>
      <c r="D450" s="1276" t="s">
        <v>1277</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8" t="s">
        <v>309</v>
      </c>
      <c r="D455" s="1262" t="s">
        <v>1278</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8" t="s">
        <v>309</v>
      </c>
      <c r="D459" s="1273" t="s">
        <v>1279</v>
      </c>
      <c r="E459" s="1273"/>
      <c r="F459" s="1273"/>
      <c r="G459"/>
    </row>
    <row r="460" spans="1:7" ht="14.4">
      <c r="A460" s="176"/>
      <c r="B460" s="176"/>
      <c r="D460" s="118"/>
      <c r="E460" s="3"/>
      <c r="F460" s="3"/>
      <c r="G460"/>
    </row>
    <row r="461" spans="1:7" ht="14.4">
      <c r="A461" s="176"/>
      <c r="B461" s="468" t="s">
        <v>309</v>
      </c>
      <c r="D461" s="1262" t="s">
        <v>1280</v>
      </c>
      <c r="E461" s="1262"/>
      <c r="F461" s="1262"/>
      <c r="G461"/>
    </row>
    <row r="462" spans="1:7" ht="14.4">
      <c r="A462" s="176"/>
      <c r="D462" s="1262"/>
      <c r="E462" s="1262"/>
      <c r="F462" s="1262"/>
      <c r="G462"/>
    </row>
    <row r="463" spans="1:7">
      <c r="A463" s="13"/>
      <c r="B463" s="13"/>
      <c r="D463" s="481"/>
      <c r="E463" s="3"/>
      <c r="F463" s="3"/>
      <c r="G463"/>
    </row>
    <row r="464" spans="1:7">
      <c r="A464" s="13"/>
      <c r="B464" s="468" t="s">
        <v>309</v>
      </c>
      <c r="D464" s="1273" t="s">
        <v>1281</v>
      </c>
      <c r="E464" s="1273"/>
      <c r="F464" s="1273"/>
      <c r="G464"/>
    </row>
    <row r="465" spans="1:7" ht="14.4">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35"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5"/>
      <c r="F474" s="35"/>
    </row>
    <row r="475" spans="1:7" ht="14.4" customHeight="1">
      <c r="A475" s="176"/>
      <c r="B475" s="468" t="s">
        <v>309</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 customHeight="1">
      <c r="A481" s="176"/>
      <c r="B481" s="468" t="s">
        <v>309</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 customHeight="1">
      <c r="A485" s="175"/>
      <c r="B485" s="175"/>
      <c r="C485" s="175"/>
      <c r="D485" s="220"/>
      <c r="F485" s="35"/>
    </row>
    <row r="486" spans="1:6" ht="14.4" customHeight="1">
      <c r="A486" s="176"/>
      <c r="B486" s="468" t="s">
        <v>309</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5"/>
      <c r="E489" s="475"/>
      <c r="F489" s="475"/>
    </row>
    <row r="490" spans="1:6" ht="14.4" customHeight="1">
      <c r="A490" s="176"/>
      <c r="B490" s="468" t="s">
        <v>309</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35" customHeight="1">
      <c r="A500" s="175"/>
      <c r="B500" s="468" t="s">
        <v>309</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4" customHeight="1">
      <c r="A506" s="176"/>
      <c r="B506" s="468" t="s">
        <v>309</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35" customHeight="1">
      <c r="A519" s="176"/>
      <c r="B519" s="468" t="s">
        <v>309</v>
      </c>
      <c r="C519" s="179"/>
      <c r="D519" s="1273" t="s">
        <v>913</v>
      </c>
      <c r="E519" s="1273"/>
      <c r="F519" s="1273"/>
      <c r="G519"/>
    </row>
    <row r="520" spans="1:7" ht="13.35" customHeight="1">
      <c r="A520" s="179"/>
      <c r="B520" s="179"/>
      <c r="C520" s="179"/>
      <c r="D520" s="118"/>
      <c r="E520"/>
      <c r="F520"/>
      <c r="G520"/>
    </row>
    <row r="521" spans="1:7" ht="14.4">
      <c r="A521" s="176"/>
      <c r="B521" s="468"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8"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8"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8"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8"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8"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8"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8" t="s">
        <v>309</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4">
      <c r="A546" s="176"/>
      <c r="B546" s="176"/>
      <c r="C546" s="179"/>
      <c r="E546" s="35"/>
      <c r="F546" s="35"/>
    </row>
    <row r="547" spans="1:7" ht="14.4">
      <c r="A547" s="176"/>
      <c r="B547" s="468" t="s">
        <v>309</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8" t="s">
        <v>309</v>
      </c>
      <c r="C552" s="179"/>
      <c r="D552" s="1262" t="s">
        <v>1186</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1135</v>
      </c>
      <c r="E560" s="1276"/>
      <c r="F560" s="1276"/>
    </row>
    <row r="561" spans="1:6">
      <c r="A561"/>
      <c r="B561"/>
      <c r="C561" s="175"/>
      <c r="D561" s="255"/>
    </row>
    <row r="562" spans="1:6">
      <c r="A562" s="175"/>
      <c r="B562" s="468" t="s">
        <v>309</v>
      </c>
      <c r="D562" s="1276" t="s">
        <v>919</v>
      </c>
      <c r="E562" s="1276"/>
      <c r="F562" s="1276"/>
    </row>
    <row r="563" spans="1:6">
      <c r="A563" s="13"/>
      <c r="B563" s="13"/>
      <c r="D563" s="218"/>
    </row>
    <row r="564" spans="1:6">
      <c r="A564" s="13"/>
      <c r="B564" s="468" t="s">
        <v>309</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8" t="s">
        <v>309</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3"/>
      <c r="E572" s="473"/>
      <c r="F572" s="473"/>
    </row>
    <row r="573" spans="1:6">
      <c r="A573" s="13"/>
      <c r="B573" s="468" t="s">
        <v>309</v>
      </c>
      <c r="D573" s="1276" t="s">
        <v>1138</v>
      </c>
      <c r="E573" s="1276"/>
      <c r="F573" s="1276"/>
    </row>
    <row r="574" spans="1:6">
      <c r="A574" s="13"/>
      <c r="B574" s="13"/>
      <c r="D574" s="1276"/>
      <c r="E574" s="1276"/>
      <c r="F574" s="1276"/>
    </row>
    <row r="575" spans="1:6">
      <c r="A575" s="13"/>
      <c r="B575" s="13"/>
      <c r="D575" s="255"/>
    </row>
    <row r="576" spans="1:6">
      <c r="A576" s="13"/>
      <c r="B576" s="468" t="s">
        <v>309</v>
      </c>
      <c r="D576" s="1276" t="s">
        <v>1139</v>
      </c>
      <c r="E576" s="1276"/>
      <c r="F576" s="1276"/>
    </row>
    <row r="577" spans="1:7">
      <c r="A577" s="13"/>
      <c r="B577" s="13"/>
      <c r="D577" s="1276"/>
      <c r="E577" s="1276"/>
      <c r="F577" s="1276"/>
    </row>
    <row r="578" spans="1:7">
      <c r="A578" s="13"/>
      <c r="B578" s="13"/>
      <c r="D578" s="255"/>
    </row>
    <row r="579" spans="1:7" ht="14.4">
      <c r="A579" s="176"/>
      <c r="B579" s="468" t="s">
        <v>309</v>
      </c>
      <c r="D579" s="1276" t="s">
        <v>914</v>
      </c>
      <c r="E579" s="1276"/>
      <c r="F579" s="1276"/>
    </row>
    <row r="580" spans="1:7" ht="14.4">
      <c r="A580" s="176"/>
      <c r="B580" s="176"/>
      <c r="D580" s="255"/>
    </row>
    <row r="581" spans="1:7" ht="14.4">
      <c r="A581" s="176"/>
      <c r="B581" s="468" t="s">
        <v>309</v>
      </c>
      <c r="D581" s="1276" t="s">
        <v>1140</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8"/>
      <c r="E592" s="433"/>
      <c r="F592" s="433"/>
    </row>
    <row r="593" spans="1:7" ht="14.4">
      <c r="A593" s="176"/>
      <c r="B593" s="468" t="s">
        <v>309</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8"/>
      <c r="E602" s="478"/>
      <c r="F602" s="478"/>
    </row>
    <row r="603" spans="1:7">
      <c r="A603" s="13"/>
      <c r="B603" s="468" t="s">
        <v>309</v>
      </c>
      <c r="D603" s="1311" t="s">
        <v>434</v>
      </c>
      <c r="E603" s="1311"/>
      <c r="F603" s="1311"/>
    </row>
    <row r="604" spans="1:7">
      <c r="C604" s="180"/>
      <c r="E604"/>
    </row>
    <row r="605" spans="1:7">
      <c r="A605" s="13"/>
      <c r="B605" s="468" t="s">
        <v>309</v>
      </c>
      <c r="D605" s="1287" t="s">
        <v>1225</v>
      </c>
      <c r="E605" s="1287"/>
      <c r="F605" s="1287"/>
    </row>
    <row r="606" spans="1:7">
      <c r="D606" s="1287"/>
      <c r="E606" s="1287"/>
      <c r="F606" s="1287"/>
    </row>
    <row r="607" spans="1:7">
      <c r="D607"/>
    </row>
    <row r="608" spans="1:7">
      <c r="B608" s="468" t="s">
        <v>309</v>
      </c>
      <c r="D608" s="1287" t="s">
        <v>1226</v>
      </c>
      <c r="E608" s="1287"/>
      <c r="F608" s="1287"/>
    </row>
    <row r="609" spans="1:7">
      <c r="C609" s="180"/>
      <c r="D609" s="1287"/>
      <c r="E609" s="1287"/>
      <c r="F609" s="1287"/>
    </row>
    <row r="610" spans="1:7">
      <c r="C610" s="180"/>
    </row>
    <row r="611" spans="1:7">
      <c r="B611" s="468" t="s">
        <v>309</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4">
      <c r="A618" s="176"/>
      <c r="B618" s="468" t="s">
        <v>309</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79"/>
      <c r="E624" s="479"/>
      <c r="F624" s="479"/>
    </row>
    <row r="625" spans="1:7" ht="14.4">
      <c r="A625" s="176"/>
      <c r="B625" s="468" t="s">
        <v>309</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8" t="s">
        <v>309</v>
      </c>
      <c r="C628" s="179"/>
      <c r="D628" s="1289" t="s">
        <v>1231</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79"/>
      <c r="E632" s="479"/>
      <c r="F632" s="479"/>
    </row>
    <row r="633" spans="1:7">
      <c r="A633" s="179"/>
      <c r="B633" s="468" t="s">
        <v>309</v>
      </c>
      <c r="C633" s="179"/>
      <c r="D633" s="1290" t="s">
        <v>1232</v>
      </c>
      <c r="E633" s="1290"/>
      <c r="F633" s="1290"/>
    </row>
    <row r="634" spans="1:7">
      <c r="A634" s="179"/>
      <c r="B634" s="179"/>
      <c r="C634" s="179"/>
      <c r="D634" s="480"/>
      <c r="E634" s="480"/>
      <c r="F634" s="480"/>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4" customHeight="1">
      <c r="A640" s="176"/>
      <c r="B640" s="468" t="s">
        <v>309</v>
      </c>
      <c r="C640" s="179"/>
      <c r="D640" s="1262" t="s">
        <v>1284</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4"/>
      <c r="E645" s="474"/>
      <c r="F645" s="474"/>
    </row>
    <row r="646" spans="1:11" ht="14.4">
      <c r="A646" s="176"/>
      <c r="B646" s="468" t="s">
        <v>309</v>
      </c>
      <c r="C646" s="179"/>
      <c r="D646" s="1301" t="s">
        <v>1134</v>
      </c>
      <c r="E646" s="1301"/>
      <c r="F646" s="1301"/>
    </row>
    <row r="647" spans="1:11" ht="14.4">
      <c r="A647" s="176"/>
      <c r="B647" s="176"/>
      <c r="C647" s="179"/>
      <c r="D647" s="1302" t="s">
        <v>1285</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2"/>
      <c r="B655" s="482"/>
      <c r="C655" s="482"/>
      <c r="D655" s="482"/>
      <c r="E655" s="482"/>
      <c r="F655" s="482"/>
      <c r="G655" s="482"/>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4">
      <c r="A660" s="176"/>
      <c r="B660" s="468" t="s">
        <v>309</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8"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8" t="s">
        <v>309</v>
      </c>
      <c r="C669" s="175"/>
      <c r="D669" s="1273" t="s">
        <v>954</v>
      </c>
      <c r="E669" s="1273"/>
      <c r="F669" s="1273"/>
      <c r="H669" s="181"/>
      <c r="I669" s="181"/>
      <c r="J669" s="181"/>
      <c r="K669" s="181"/>
    </row>
    <row r="670" spans="1:11" ht="14.4">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4">
      <c r="A673" s="176"/>
      <c r="B673" s="468"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4"/>
      <c r="E679" s="474"/>
      <c r="F679" s="474"/>
      <c r="H679" s="181"/>
      <c r="I679" s="181"/>
      <c r="J679" s="181"/>
      <c r="K679" s="181"/>
    </row>
    <row r="680" spans="1:11" ht="14.4">
      <c r="A680" s="176"/>
      <c r="B680" s="468"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4"/>
      <c r="E692" s="474"/>
      <c r="F692" s="474"/>
      <c r="H692" s="181"/>
      <c r="I692" s="181"/>
      <c r="J692" s="181"/>
      <c r="K692" s="181"/>
    </row>
    <row r="693" spans="1:11" ht="14.4">
      <c r="A693" s="176"/>
      <c r="B693" s="468"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4"/>
      <c r="E696" s="474"/>
      <c r="F696" s="474"/>
      <c r="H696" s="181"/>
      <c r="I696" s="181"/>
      <c r="J696" s="181"/>
      <c r="K696" s="181"/>
    </row>
    <row r="697" spans="1:11">
      <c r="A697" s="175"/>
      <c r="B697" s="468"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4"/>
      <c r="E699" s="474"/>
      <c r="F699" s="474"/>
      <c r="H699" s="181"/>
      <c r="I699" s="181"/>
      <c r="J699" s="181"/>
      <c r="K699" s="181"/>
    </row>
    <row r="700" spans="1:11">
      <c r="A700" s="175"/>
      <c r="B700" s="468"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4"/>
      <c r="E703" s="474"/>
      <c r="F703" s="474"/>
      <c r="H703" s="181"/>
      <c r="I703" s="181"/>
      <c r="J703" s="181"/>
      <c r="K703" s="181"/>
    </row>
    <row r="704" spans="1:11">
      <c r="A704" s="175"/>
      <c r="B704" s="468"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8"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8"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8"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69"/>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35"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4">
      <c r="A731" s="176"/>
      <c r="B731" s="468"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3" customFormat="1" ht="14.4">
      <c r="A738" s="271"/>
      <c r="B738" s="468" t="s">
        <v>309</v>
      </c>
      <c r="C738" s="272"/>
      <c r="D738" s="1262" t="s">
        <v>1144</v>
      </c>
      <c r="E738" s="1262"/>
      <c r="F738" s="1262"/>
      <c r="G738" s="210"/>
    </row>
    <row r="739" spans="1:11" s="273" customFormat="1">
      <c r="A739" s="272"/>
      <c r="B739" s="272"/>
      <c r="C739" s="272"/>
      <c r="D739" s="1262"/>
      <c r="E739" s="1262"/>
      <c r="F739" s="1262"/>
      <c r="G739" s="210"/>
    </row>
    <row r="740" spans="1:11" s="273" customFormat="1">
      <c r="A740" s="272"/>
      <c r="B740" s="272"/>
      <c r="C740" s="272"/>
      <c r="D740" s="1262"/>
      <c r="E740" s="1262"/>
      <c r="F740" s="1262"/>
      <c r="G740" s="210"/>
    </row>
    <row r="741" spans="1:11" s="273" customFormat="1">
      <c r="A741" s="272"/>
      <c r="B741" s="272"/>
      <c r="C741" s="272"/>
      <c r="D741" s="1262"/>
      <c r="E741" s="1262"/>
      <c r="F741" s="1262"/>
      <c r="G741" s="210"/>
    </row>
    <row r="742" spans="1:11" s="273" customFormat="1">
      <c r="A742" s="272"/>
      <c r="B742" s="272"/>
      <c r="C742" s="272"/>
      <c r="D742" s="255"/>
      <c r="E742" s="210"/>
      <c r="F742" s="210"/>
      <c r="G742" s="210"/>
    </row>
    <row r="743" spans="1:11" s="273" customFormat="1" ht="14.4">
      <c r="A743" s="176"/>
      <c r="B743" s="468" t="s">
        <v>309</v>
      </c>
      <c r="C743" s="272"/>
      <c r="D743" s="1302" t="s">
        <v>1145</v>
      </c>
      <c r="E743" s="1302"/>
      <c r="F743" s="1302"/>
      <c r="G743" s="210"/>
    </row>
    <row r="744" spans="1:11" s="273" customFormat="1">
      <c r="A744" s="272"/>
      <c r="B744" s="272"/>
      <c r="C744" s="272"/>
      <c r="D744" s="1302"/>
      <c r="E744" s="1302"/>
      <c r="F744" s="1302"/>
      <c r="G744" s="210"/>
    </row>
    <row r="745" spans="1:11" s="273" customFormat="1">
      <c r="A745" s="272"/>
      <c r="B745" s="272"/>
      <c r="C745" s="272"/>
      <c r="D745" s="1302"/>
      <c r="E745" s="1302"/>
      <c r="F745" s="1302"/>
      <c r="G745" s="210"/>
    </row>
    <row r="746" spans="1:11">
      <c r="D746" s="255"/>
      <c r="E746" s="35"/>
      <c r="F746" s="35"/>
      <c r="G746" s="183"/>
      <c r="H746" s="181"/>
      <c r="I746" s="181"/>
      <c r="J746" s="181"/>
      <c r="K746" s="181"/>
    </row>
    <row r="747" spans="1:11" ht="14.4">
      <c r="A747" s="176"/>
      <c r="B747" s="468"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4"/>
      <c r="E749" s="474"/>
      <c r="F749" s="474"/>
      <c r="G749" s="183"/>
      <c r="H749" s="181"/>
      <c r="I749" s="181"/>
      <c r="J749" s="181"/>
      <c r="K749" s="181"/>
    </row>
    <row r="750" spans="1:11">
      <c r="B750" s="468"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4"/>
      <c r="E753" s="474"/>
      <c r="F753" s="474"/>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5"/>
      <c r="B757" s="345"/>
      <c r="C757" s="345"/>
      <c r="D757" s="1292" t="s">
        <v>1149</v>
      </c>
      <c r="E757" s="1292"/>
      <c r="F757" s="1292"/>
      <c r="G757" s="183"/>
    </row>
    <row r="758" spans="1:11">
      <c r="D758" s="433"/>
      <c r="E758" s="433"/>
      <c r="F758" s="433"/>
      <c r="G758" s="183"/>
    </row>
    <row r="759" spans="1:11" ht="14.4">
      <c r="A759" s="176"/>
      <c r="B759" s="468" t="s">
        <v>309</v>
      </c>
      <c r="D759" s="1292" t="s">
        <v>1026</v>
      </c>
      <c r="E759" s="1292"/>
      <c r="F759" s="1292"/>
      <c r="G759" s="183"/>
    </row>
    <row r="760" spans="1:11">
      <c r="D760" s="433"/>
      <c r="E760" s="1304" t="s">
        <v>1133</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4">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8" zoomScaleNormal="100" zoomScaleSheetLayoutView="100" workbookViewId="0">
      <selection activeCell="A4" sqref="A4"/>
    </sheetView>
  </sheetViews>
  <sheetFormatPr defaultColWidth="0" defaultRowHeight="12.6" customHeight="1" zeroHeight="1"/>
  <cols>
    <col min="1" max="10" width="10.6640625" style="433" customWidth="1"/>
    <col min="11" max="16384" width="8.88671875" style="433" hidden="1"/>
  </cols>
  <sheetData>
    <row r="1" spans="1:10" ht="14.25" customHeight="1"/>
    <row r="2" spans="1:10" ht="15.6">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3.2"/>
    <row r="5" spans="1:10" ht="12.75" customHeight="1">
      <c r="A5" s="1315" t="s">
        <v>2446</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7"/>
      <c r="B8" s="447"/>
      <c r="C8" s="447"/>
      <c r="D8" s="447"/>
      <c r="E8" s="447"/>
      <c r="F8" s="447"/>
      <c r="G8" s="447"/>
      <c r="H8" s="447"/>
      <c r="I8" s="447"/>
      <c r="J8" s="447"/>
    </row>
    <row r="9" spans="1:10" ht="12.75" customHeight="1">
      <c r="A9" s="433" t="s">
        <v>2137</v>
      </c>
      <c r="B9" s="447"/>
      <c r="C9" s="447"/>
      <c r="D9" s="447"/>
      <c r="E9" s="447"/>
      <c r="F9" s="447"/>
      <c r="G9" s="447"/>
      <c r="H9" s="447"/>
      <c r="I9" s="447"/>
      <c r="J9" s="447"/>
    </row>
    <row r="10" spans="1:10" ht="13.2"/>
    <row r="11" spans="1:10" ht="12.75" customHeight="1">
      <c r="A11" s="1319" t="s">
        <v>2139</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8"/>
      <c r="B17" s="558"/>
      <c r="C17" s="558"/>
      <c r="D17" s="558"/>
      <c r="E17" s="558"/>
      <c r="F17" s="558"/>
      <c r="G17" s="558"/>
      <c r="H17" s="558"/>
      <c r="I17" s="558"/>
      <c r="J17" s="558"/>
    </row>
    <row r="18" spans="1:10" ht="13.2">
      <c r="A18" s="510" t="s">
        <v>2138</v>
      </c>
      <c r="B18" s="447"/>
      <c r="C18" s="447"/>
      <c r="D18" s="447"/>
      <c r="E18" s="447"/>
      <c r="F18" s="447"/>
      <c r="G18" s="447"/>
      <c r="H18" s="447"/>
      <c r="I18" s="447"/>
      <c r="J18" s="447"/>
    </row>
    <row r="19" spans="1:10" ht="13.2">
      <c r="A19" s="447" t="s">
        <v>252</v>
      </c>
      <c r="B19" s="447"/>
      <c r="C19" s="447"/>
      <c r="D19" s="447"/>
      <c r="E19" s="447"/>
      <c r="F19" s="447"/>
      <c r="G19" s="447"/>
      <c r="H19" s="447"/>
      <c r="I19" s="447"/>
      <c r="J19" s="447"/>
    </row>
    <row r="20" spans="1:10" ht="13.2">
      <c r="A20" s="1318" t="s">
        <v>1332</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1333</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3" t="s">
        <v>1332</v>
      </c>
    </row>
    <row r="62" spans="1:10" ht="13.2"/>
    <row r="63" spans="1:10" ht="13.2"/>
    <row r="64" spans="1:10" ht="13.2"/>
    <row r="65" spans="1:9" ht="13.2"/>
    <row r="66" spans="1:9" ht="13.2"/>
    <row r="67" spans="1:9" ht="13.2"/>
    <row r="68" spans="1:9" ht="13.2"/>
    <row r="69" spans="1:9" ht="13.2"/>
    <row r="70" spans="1:9" ht="13.2"/>
    <row r="71" spans="1:9" ht="13.2"/>
    <row r="72" spans="1:9" ht="13.2">
      <c r="A72" s="1316" t="s">
        <v>2135</v>
      </c>
      <c r="B72" s="1316"/>
      <c r="C72" s="1316"/>
      <c r="D72" s="1316"/>
      <c r="E72" s="1316"/>
      <c r="F72" s="1316"/>
      <c r="G72" s="1316"/>
      <c r="H72" s="1316"/>
      <c r="I72" s="1316"/>
    </row>
    <row r="73" spans="1:9" ht="13.2">
      <c r="A73" s="1268" t="s">
        <v>2444</v>
      </c>
      <c r="B73" s="1268"/>
      <c r="C73" s="1268"/>
      <c r="D73" s="1268"/>
      <c r="E73" s="1268"/>
    </row>
    <row r="74" spans="1:9" ht="13.2">
      <c r="A74" s="1268" t="s">
        <v>2445</v>
      </c>
      <c r="B74" s="1268"/>
      <c r="C74" s="1268"/>
      <c r="D74" s="1268"/>
      <c r="E74" s="1268"/>
    </row>
    <row r="75" spans="1:9" ht="13.2">
      <c r="A75" s="1268" t="s">
        <v>2136</v>
      </c>
      <c r="B75" s="1268"/>
      <c r="C75" s="1268"/>
      <c r="D75" s="1268"/>
      <c r="E75" s="1268"/>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944" zoomScaleNormal="100" zoomScaleSheetLayoutView="100" workbookViewId="0">
      <selection activeCell="I1030" sqref="I1030"/>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88671875" style="433" customWidth="1"/>
    <col min="11" max="16384" width="8.88671875" style="433" hidden="1"/>
  </cols>
  <sheetData>
    <row r="1" spans="1:13"/>
    <row r="2" spans="1:13">
      <c r="A2" s="1337" t="s">
        <v>2614</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4" t="s">
        <v>2145</v>
      </c>
    </row>
    <row r="7" spans="1:13">
      <c r="A7" s="1337" t="s">
        <v>1203</v>
      </c>
      <c r="B7" s="1337"/>
      <c r="C7" s="1338"/>
      <c r="D7" s="1338"/>
      <c r="E7" s="1338"/>
      <c r="F7" s="1338"/>
      <c r="G7" s="1338"/>
      <c r="I7" s="524" t="s">
        <v>2146</v>
      </c>
    </row>
    <row r="8" spans="1:13">
      <c r="A8" s="515"/>
      <c r="B8" s="515"/>
      <c r="C8" s="516"/>
      <c r="D8" s="516"/>
      <c r="E8" s="516"/>
      <c r="F8" s="516"/>
    </row>
    <row r="9" spans="1:13">
      <c r="A9" s="1277" t="s">
        <v>1205</v>
      </c>
      <c r="B9" s="1277"/>
      <c r="C9" s="1277"/>
      <c r="D9" s="1277"/>
      <c r="E9" s="1277"/>
      <c r="F9" s="1277"/>
      <c r="G9" s="1277"/>
      <c r="H9" s="1070"/>
      <c r="I9" s="1071"/>
    </row>
    <row r="10" spans="1:13">
      <c r="A10" s="516"/>
      <c r="B10" s="516"/>
      <c r="E10" s="435"/>
    </row>
    <row r="11" spans="1:13" ht="13.65" customHeight="1">
      <c r="C11" s="516"/>
      <c r="D11" s="1339" t="s">
        <v>1204</v>
      </c>
      <c r="E11" s="1339"/>
      <c r="F11" s="1339"/>
    </row>
    <row r="12" spans="1:13">
      <c r="C12" s="516"/>
      <c r="D12" s="1339"/>
      <c r="E12" s="1339"/>
      <c r="F12" s="1339"/>
    </row>
    <row r="13" spans="1:13">
      <c r="A13" s="517"/>
      <c r="B13" s="517"/>
      <c r="C13" s="517"/>
      <c r="D13" s="1290" t="s">
        <v>1187</v>
      </c>
      <c r="E13" s="1290"/>
      <c r="F13" s="1290"/>
      <c r="M13" s="96"/>
    </row>
    <row r="14" spans="1:13">
      <c r="A14" s="517"/>
      <c r="B14" s="517"/>
      <c r="C14" s="517"/>
      <c r="D14" s="510"/>
      <c r="L14" s="335"/>
    </row>
    <row r="15" spans="1:13" ht="14.4">
      <c r="A15" s="518"/>
      <c r="B15" s="519" t="s">
        <v>1106</v>
      </c>
      <c r="C15" s="517"/>
      <c r="D15" s="1289" t="s">
        <v>2303</v>
      </c>
      <c r="E15" s="1289"/>
      <c r="F15" s="1289"/>
      <c r="I15" s="435" t="s">
        <v>2147</v>
      </c>
    </row>
    <row r="16" spans="1:13">
      <c r="A16" s="517"/>
      <c r="B16" s="517"/>
      <c r="C16" s="517"/>
      <c r="D16" s="1289"/>
      <c r="E16" s="1289"/>
      <c r="F16" s="1289"/>
    </row>
    <row r="17" spans="1:9">
      <c r="A17" s="517"/>
      <c r="B17" s="517"/>
      <c r="C17" s="517"/>
      <c r="D17" s="1289"/>
      <c r="E17" s="1289"/>
      <c r="F17" s="1289"/>
    </row>
    <row r="18" spans="1:9">
      <c r="A18" s="517"/>
      <c r="B18" s="517"/>
      <c r="C18" s="517"/>
      <c r="D18" s="479"/>
      <c r="E18" s="335" t="s">
        <v>2301</v>
      </c>
      <c r="F18" s="479"/>
    </row>
    <row r="19" spans="1:9">
      <c r="A19" s="517"/>
      <c r="B19" s="517"/>
      <c r="C19" s="517"/>
    </row>
    <row r="20" spans="1:9" ht="14.4">
      <c r="A20" s="518"/>
      <c r="B20" s="519" t="s">
        <v>1106</v>
      </c>
      <c r="D20" s="1289" t="s">
        <v>2304</v>
      </c>
      <c r="E20" s="1289"/>
      <c r="F20" s="1289"/>
      <c r="I20" s="435" t="s">
        <v>2148</v>
      </c>
    </row>
    <row r="21" spans="1:9" ht="14.4">
      <c r="A21" s="518"/>
      <c r="D21" s="1289"/>
      <c r="E21" s="1289"/>
      <c r="F21" s="1289"/>
    </row>
    <row r="22" spans="1:9" ht="14.4">
      <c r="A22" s="518"/>
      <c r="D22" s="423"/>
      <c r="E22" s="96" t="s">
        <v>2300</v>
      </c>
      <c r="F22" s="423"/>
    </row>
    <row r="23" spans="1:9" ht="14.4">
      <c r="A23" s="518"/>
      <c r="B23" s="518"/>
      <c r="D23" s="480"/>
    </row>
    <row r="24" spans="1:9" ht="14.4">
      <c r="A24" s="518"/>
      <c r="B24" s="519" t="s">
        <v>2657</v>
      </c>
      <c r="D24" s="1289" t="s">
        <v>1190</v>
      </c>
      <c r="E24" s="1289"/>
      <c r="F24" s="1289"/>
      <c r="I24" s="435" t="s">
        <v>2148</v>
      </c>
    </row>
    <row r="25" spans="1:9" ht="14.4">
      <c r="A25" s="518"/>
      <c r="B25" s="518"/>
      <c r="D25" s="1289"/>
      <c r="E25" s="1289"/>
      <c r="F25" s="1289"/>
    </row>
    <row r="26" spans="1:9"/>
    <row r="27" spans="1:9" ht="14.4">
      <c r="A27" s="518"/>
      <c r="B27" s="519" t="s">
        <v>1106</v>
      </c>
      <c r="D27" s="1289" t="s">
        <v>2447</v>
      </c>
      <c r="E27" s="1289"/>
      <c r="F27" s="1289"/>
      <c r="I27" s="435" t="s">
        <v>2151</v>
      </c>
    </row>
    <row r="28" spans="1:9">
      <c r="D28" s="1289"/>
      <c r="E28" s="1289"/>
      <c r="F28" s="1289"/>
    </row>
    <row r="29" spans="1:9">
      <c r="D29" s="1289"/>
      <c r="E29" s="1289"/>
      <c r="F29" s="1289"/>
    </row>
    <row r="30" spans="1:9">
      <c r="D30" s="1289"/>
      <c r="E30" s="1289"/>
      <c r="F30" s="1289"/>
    </row>
    <row r="31" spans="1:9">
      <c r="D31" s="1289"/>
      <c r="E31" s="1289"/>
      <c r="F31" s="1289"/>
    </row>
    <row r="32" spans="1:9">
      <c r="D32" s="481"/>
    </row>
    <row r="33" spans="1:9">
      <c r="B33" s="519" t="s">
        <v>2657</v>
      </c>
      <c r="D33" s="1289" t="s">
        <v>2448</v>
      </c>
      <c r="E33" s="1289"/>
      <c r="F33" s="1289"/>
      <c r="I33" s="435" t="s">
        <v>2147</v>
      </c>
    </row>
    <row r="34" spans="1:9">
      <c r="D34" s="1289"/>
      <c r="E34" s="1289"/>
      <c r="F34" s="1289"/>
    </row>
    <row r="35" spans="1:9" ht="14.4">
      <c r="A35" s="518"/>
      <c r="B35" s="518"/>
      <c r="D35" s="481"/>
    </row>
    <row r="36" spans="1:9" ht="14.4" customHeight="1">
      <c r="A36" s="518"/>
      <c r="B36" s="519" t="s">
        <v>1106</v>
      </c>
      <c r="D36" s="1289" t="s">
        <v>1357</v>
      </c>
      <c r="E36" s="1289"/>
      <c r="F36" s="1289"/>
      <c r="I36" s="435" t="s">
        <v>2218</v>
      </c>
    </row>
    <row r="37" spans="1:9" ht="14.4">
      <c r="A37" s="518"/>
      <c r="B37" s="518"/>
      <c r="D37" s="1289"/>
      <c r="E37" s="1289"/>
      <c r="F37" s="1289"/>
    </row>
    <row r="38" spans="1:9" ht="14.4">
      <c r="A38" s="518"/>
      <c r="B38" s="518"/>
      <c r="D38" s="1289"/>
      <c r="E38" s="1289"/>
      <c r="F38" s="1289"/>
    </row>
    <row r="39" spans="1:9" ht="14.4">
      <c r="A39" s="518"/>
      <c r="B39" s="518"/>
      <c r="D39" s="1289"/>
      <c r="E39" s="1289"/>
      <c r="F39" s="1289"/>
    </row>
    <row r="40" spans="1:9" ht="14.4">
      <c r="A40" s="518"/>
      <c r="B40" s="518"/>
    </row>
    <row r="41" spans="1:9" ht="14.4">
      <c r="A41" s="518"/>
      <c r="B41" s="519" t="s">
        <v>2657</v>
      </c>
      <c r="D41" s="1289" t="s">
        <v>1194</v>
      </c>
      <c r="E41" s="1289"/>
      <c r="F41" s="1289"/>
    </row>
    <row r="42" spans="1:9" ht="14.4">
      <c r="A42" s="518"/>
      <c r="B42" s="518"/>
      <c r="D42" s="1289"/>
      <c r="E42" s="1289"/>
      <c r="F42" s="1289"/>
    </row>
    <row r="43" spans="1:9" ht="14.4">
      <c r="A43" s="518"/>
      <c r="B43" s="518"/>
      <c r="D43" s="1289"/>
      <c r="E43" s="1289"/>
      <c r="F43" s="1289"/>
    </row>
    <row r="44" spans="1:9" ht="14.4">
      <c r="A44" s="518"/>
      <c r="B44" s="518"/>
      <c r="D44" s="1289"/>
      <c r="E44" s="1289"/>
      <c r="F44" s="1289"/>
    </row>
    <row r="45" spans="1:9" ht="14.4">
      <c r="A45" s="518"/>
      <c r="B45" s="518"/>
      <c r="D45" s="1289"/>
      <c r="E45" s="1289"/>
      <c r="F45" s="1289"/>
    </row>
    <row r="46" spans="1:9" ht="14.4">
      <c r="A46" s="518"/>
      <c r="B46" s="518"/>
      <c r="D46" s="479"/>
      <c r="E46" s="479"/>
      <c r="F46" s="479"/>
    </row>
    <row r="47" spans="1:9" ht="14.4">
      <c r="A47" s="518"/>
      <c r="B47" s="519" t="s">
        <v>1106</v>
      </c>
      <c r="D47" s="1289" t="s">
        <v>1195</v>
      </c>
      <c r="E47" s="1289"/>
      <c r="F47" s="1289"/>
      <c r="I47" s="435" t="s">
        <v>2218</v>
      </c>
    </row>
    <row r="48" spans="1:9" ht="14.4">
      <c r="A48" s="518"/>
      <c r="B48" s="518"/>
      <c r="D48" s="1289"/>
      <c r="E48" s="1289"/>
      <c r="F48" s="1289"/>
    </row>
    <row r="49" spans="1:9" ht="14.4">
      <c r="A49" s="518"/>
      <c r="B49" s="518"/>
      <c r="D49" s="1289"/>
      <c r="E49" s="1289"/>
      <c r="F49" s="1289"/>
    </row>
    <row r="50" spans="1:9" ht="23.25" customHeight="1">
      <c r="A50" s="518"/>
      <c r="B50" s="518"/>
      <c r="D50" s="1289"/>
      <c r="E50" s="1289"/>
      <c r="F50" s="1289"/>
    </row>
    <row r="51" spans="1:9" ht="14.4">
      <c r="A51" s="518"/>
      <c r="B51" s="518"/>
      <c r="D51" s="480"/>
    </row>
    <row r="52" spans="1:9" ht="14.4" customHeight="1">
      <c r="A52" s="518"/>
      <c r="B52" s="519" t="s">
        <v>2657</v>
      </c>
      <c r="D52" s="1289" t="s">
        <v>1196</v>
      </c>
      <c r="E52" s="1289"/>
      <c r="F52" s="1289"/>
      <c r="I52" s="435" t="s">
        <v>2218</v>
      </c>
    </row>
    <row r="53" spans="1:9" ht="14.4">
      <c r="A53" s="518"/>
      <c r="B53" s="518"/>
      <c r="D53" s="1289"/>
      <c r="E53" s="1289"/>
      <c r="F53" s="1289"/>
    </row>
    <row r="54" spans="1:9" ht="14.4">
      <c r="A54" s="518"/>
      <c r="B54" s="518"/>
      <c r="D54" s="1289"/>
      <c r="E54" s="1289"/>
      <c r="F54" s="1289"/>
    </row>
    <row r="55" spans="1:9" ht="14.4">
      <c r="A55" s="518"/>
      <c r="B55" s="518"/>
    </row>
    <row r="56" spans="1:9" ht="14.4">
      <c r="A56" s="518"/>
      <c r="B56" s="519" t="s">
        <v>1106</v>
      </c>
      <c r="D56" s="1335" t="s">
        <v>1197</v>
      </c>
      <c r="E56" s="1335"/>
      <c r="F56" s="1335"/>
    </row>
    <row r="57" spans="1:9" ht="14.4">
      <c r="A57" s="518"/>
      <c r="B57" s="518"/>
      <c r="D57" s="1335"/>
      <c r="E57" s="1335"/>
      <c r="F57" s="1335"/>
    </row>
    <row r="58" spans="1:9" ht="14.4">
      <c r="A58" s="518"/>
      <c r="B58" s="518"/>
      <c r="D58" s="423" t="s">
        <v>2302</v>
      </c>
      <c r="E58" s="479"/>
      <c r="F58" s="479"/>
    </row>
    <row r="59" spans="1:9" ht="14.4">
      <c r="A59" s="518"/>
      <c r="B59" s="518"/>
      <c r="D59" s="479"/>
      <c r="E59" s="335" t="s">
        <v>2301</v>
      </c>
      <c r="F59" s="479"/>
    </row>
    <row r="60" spans="1:9">
      <c r="D60" s="481"/>
    </row>
    <row r="61" spans="1:9" ht="14.4">
      <c r="A61" s="518"/>
      <c r="B61" s="519" t="s">
        <v>2657</v>
      </c>
      <c r="D61" s="1289" t="s">
        <v>1198</v>
      </c>
      <c r="E61" s="1289"/>
      <c r="F61" s="1289"/>
      <c r="I61" s="435" t="s">
        <v>2149</v>
      </c>
    </row>
    <row r="62" spans="1:9">
      <c r="D62" s="1289"/>
      <c r="E62" s="1289"/>
      <c r="F62" s="1289"/>
    </row>
    <row r="63" spans="1:9">
      <c r="D63" s="1289"/>
      <c r="E63" s="1289"/>
      <c r="F63" s="1289"/>
    </row>
    <row r="64" spans="1:9"/>
    <row r="65" spans="1:9" ht="14.4">
      <c r="A65" s="518"/>
      <c r="B65" s="519" t="s">
        <v>1106</v>
      </c>
      <c r="D65" s="1289" t="s">
        <v>1199</v>
      </c>
      <c r="E65" s="1289"/>
      <c r="F65" s="1289"/>
      <c r="I65" s="435" t="s">
        <v>2150</v>
      </c>
    </row>
    <row r="66" spans="1:9">
      <c r="D66" s="1289"/>
      <c r="E66" s="1289"/>
      <c r="F66" s="1289"/>
    </row>
    <row r="67" spans="1:9"/>
    <row r="68" spans="1:9" ht="14.4">
      <c r="A68" s="518"/>
      <c r="B68" s="519" t="s">
        <v>2657</v>
      </c>
      <c r="D68" s="1289" t="s">
        <v>1200</v>
      </c>
      <c r="E68" s="1289"/>
      <c r="F68" s="1289"/>
    </row>
    <row r="69" spans="1:9">
      <c r="D69" s="1289"/>
      <c r="E69" s="1289"/>
      <c r="F69" s="1289"/>
      <c r="I69" s="435" t="s">
        <v>2151</v>
      </c>
    </row>
    <row r="70" spans="1:9">
      <c r="D70" s="1289"/>
      <c r="E70" s="1289"/>
      <c r="F70" s="1289"/>
    </row>
    <row r="71" spans="1:9"/>
    <row r="72" spans="1:9" ht="14.4">
      <c r="A72" s="518"/>
      <c r="B72" s="519" t="s">
        <v>1106</v>
      </c>
      <c r="D72" s="1289" t="s">
        <v>1201</v>
      </c>
      <c r="E72" s="1289"/>
      <c r="F72" s="1289"/>
      <c r="I72" s="435" t="s">
        <v>2151</v>
      </c>
    </row>
    <row r="73" spans="1:9">
      <c r="D73" s="1289"/>
      <c r="E73" s="1289"/>
      <c r="F73" s="1289"/>
    </row>
    <row r="74" spans="1:9" ht="14.4">
      <c r="A74" s="518"/>
      <c r="B74" s="518"/>
      <c r="D74" s="480"/>
    </row>
    <row r="75" spans="1:9">
      <c r="A75" s="1277" t="s">
        <v>1108</v>
      </c>
      <c r="B75" s="1277"/>
      <c r="C75" s="1277"/>
      <c r="D75" s="1277"/>
      <c r="E75" s="1277"/>
      <c r="F75" s="1277"/>
      <c r="G75" s="1277"/>
      <c r="H75" s="1070"/>
      <c r="I75" s="1071"/>
    </row>
    <row r="76" spans="1:9"/>
    <row r="77" spans="1:9">
      <c r="C77" s="520"/>
      <c r="D77" s="1291" t="s">
        <v>1206</v>
      </c>
      <c r="E77" s="1291"/>
      <c r="F77" s="1291"/>
    </row>
    <row r="78" spans="1:9">
      <c r="A78" s="480"/>
      <c r="B78" s="480"/>
      <c r="D78" s="1289" t="s">
        <v>1233</v>
      </c>
      <c r="E78" s="1289"/>
      <c r="F78" s="1289"/>
    </row>
    <row r="79" spans="1:9">
      <c r="A79" s="480"/>
      <c r="B79" s="480"/>
    </row>
    <row r="80" spans="1:9" ht="13.65" customHeight="1">
      <c r="A80" s="518"/>
      <c r="B80" s="519" t="s">
        <v>1106</v>
      </c>
      <c r="D80" s="1289" t="s">
        <v>1401</v>
      </c>
      <c r="E80" s="1289"/>
      <c r="F80" s="1289"/>
      <c r="I80" s="435" t="s">
        <v>2152</v>
      </c>
    </row>
    <row r="81" spans="1:9" ht="14.4">
      <c r="A81" s="518"/>
      <c r="B81" s="518"/>
      <c r="D81" s="1289"/>
      <c r="E81" s="1289"/>
      <c r="F81" s="1289"/>
    </row>
    <row r="82" spans="1:9" ht="14.4">
      <c r="A82" s="518"/>
      <c r="B82" s="518"/>
      <c r="D82" s="1289"/>
      <c r="E82" s="1289"/>
      <c r="F82" s="1289"/>
    </row>
    <row r="83" spans="1:9" ht="14.4">
      <c r="A83" s="518"/>
      <c r="B83" s="518"/>
      <c r="D83" s="1289"/>
      <c r="E83" s="1289"/>
      <c r="F83" s="1289"/>
    </row>
    <row r="84" spans="1:9" ht="14.4">
      <c r="A84" s="518"/>
      <c r="B84" s="518"/>
      <c r="D84" s="1289"/>
      <c r="E84" s="1289"/>
      <c r="F84" s="1289"/>
    </row>
    <row r="85" spans="1:9" ht="14.4">
      <c r="A85" s="518"/>
      <c r="B85" s="518"/>
      <c r="D85" s="1289"/>
      <c r="E85" s="1289"/>
      <c r="F85" s="1289"/>
    </row>
    <row r="86" spans="1:9" ht="14.4">
      <c r="A86" s="518"/>
      <c r="B86" s="518"/>
      <c r="D86" s="1289"/>
      <c r="E86" s="1289"/>
      <c r="F86" s="1289"/>
    </row>
    <row r="87" spans="1:9" ht="14.4">
      <c r="A87" s="518"/>
      <c r="B87" s="518"/>
      <c r="D87" s="1289"/>
      <c r="E87" s="1289"/>
      <c r="F87" s="1289"/>
    </row>
    <row r="88" spans="1:9" ht="14.4">
      <c r="A88" s="518"/>
      <c r="B88" s="518"/>
      <c r="D88" s="416"/>
      <c r="E88" s="416"/>
      <c r="F88" s="416"/>
    </row>
    <row r="89" spans="1:9" ht="15" customHeight="1">
      <c r="A89" s="518"/>
      <c r="B89" s="519" t="s">
        <v>1106</v>
      </c>
      <c r="D89" s="1289" t="s">
        <v>2003</v>
      </c>
      <c r="E89" s="1289"/>
      <c r="F89" s="1289"/>
      <c r="I89" s="435" t="s">
        <v>2153</v>
      </c>
    </row>
    <row r="90" spans="1:9" ht="14.4">
      <c r="A90" s="518"/>
      <c r="B90" s="518"/>
      <c r="D90" s="1289"/>
      <c r="E90" s="1289"/>
      <c r="F90" s="1289"/>
    </row>
    <row r="91" spans="1:9" ht="14.4">
      <c r="A91" s="518"/>
      <c r="B91" s="518"/>
      <c r="D91" s="479"/>
      <c r="E91" s="479"/>
      <c r="F91" s="479"/>
    </row>
    <row r="92" spans="1:9" ht="14.4">
      <c r="A92" s="518"/>
      <c r="B92" s="519" t="s">
        <v>1106</v>
      </c>
      <c r="D92" s="1289" t="s">
        <v>2006</v>
      </c>
      <c r="E92" s="1289"/>
      <c r="F92" s="1289"/>
      <c r="I92" s="435" t="s">
        <v>2154</v>
      </c>
    </row>
    <row r="93" spans="1:9" ht="14.4">
      <c r="A93" s="518"/>
      <c r="B93" s="518"/>
      <c r="D93" s="1289"/>
      <c r="E93" s="1289"/>
      <c r="F93" s="1289"/>
    </row>
    <row r="94" spans="1:9" ht="14.4">
      <c r="A94" s="518"/>
      <c r="B94" s="518"/>
      <c r="D94" s="1289"/>
      <c r="E94" s="1289"/>
      <c r="F94" s="1289"/>
    </row>
    <row r="95" spans="1:9" ht="14.4">
      <c r="A95" s="518"/>
      <c r="B95" s="518"/>
      <c r="D95" s="479"/>
      <c r="E95" s="479"/>
      <c r="F95" s="479"/>
    </row>
    <row r="96" spans="1:9" ht="14.4">
      <c r="A96" s="518"/>
      <c r="B96" s="519" t="s">
        <v>1106</v>
      </c>
      <c r="D96" s="1289" t="s">
        <v>2005</v>
      </c>
      <c r="E96" s="1289"/>
      <c r="F96" s="1289"/>
      <c r="I96" s="435" t="s">
        <v>2199</v>
      </c>
    </row>
    <row r="97" spans="1:9" s="1023" customFormat="1" ht="14.4">
      <c r="A97" s="1021"/>
      <c r="B97" s="1021"/>
      <c r="C97" s="1022"/>
      <c r="D97" s="1289"/>
      <c r="E97" s="1289"/>
      <c r="F97" s="1289"/>
      <c r="I97" s="1062"/>
    </row>
    <row r="98" spans="1:9" ht="14.4">
      <c r="A98" s="518"/>
      <c r="B98" s="518"/>
      <c r="D98" s="423"/>
      <c r="E98" s="335" t="s">
        <v>2305</v>
      </c>
      <c r="F98" s="479"/>
    </row>
    <row r="99" spans="1:9" ht="14.4">
      <c r="A99" s="518"/>
      <c r="B99" s="518"/>
      <c r="D99" s="416"/>
      <c r="E99" s="416"/>
      <c r="F99" s="416"/>
    </row>
    <row r="100" spans="1:9" ht="14.4">
      <c r="A100" s="518"/>
      <c r="B100" s="519" t="s">
        <v>2657</v>
      </c>
      <c r="D100" s="1289" t="s">
        <v>2004</v>
      </c>
      <c r="E100" s="1289"/>
      <c r="F100" s="1289"/>
      <c r="I100" s="435" t="s">
        <v>2155</v>
      </c>
    </row>
    <row r="101" spans="1:9" ht="14.4">
      <c r="A101" s="518"/>
      <c r="B101" s="518"/>
      <c r="D101" s="1289"/>
      <c r="E101" s="1289"/>
      <c r="F101" s="1289"/>
    </row>
    <row r="102" spans="1:9" ht="14.4">
      <c r="A102" s="518"/>
      <c r="B102" s="518"/>
      <c r="D102" s="479"/>
      <c r="E102" s="479"/>
      <c r="F102" s="479"/>
    </row>
    <row r="103" spans="1:9" ht="14.4" customHeight="1">
      <c r="A103" s="518"/>
      <c r="B103" s="519" t="s">
        <v>2657</v>
      </c>
      <c r="D103" s="1289" t="s">
        <v>1337</v>
      </c>
      <c r="E103" s="1289"/>
      <c r="F103" s="1289"/>
      <c r="I103" s="435" t="s">
        <v>2156</v>
      </c>
    </row>
    <row r="104" spans="1:9" ht="14.4">
      <c r="A104" s="518"/>
      <c r="B104" s="518"/>
      <c r="D104" s="1289"/>
      <c r="E104" s="1289"/>
      <c r="F104" s="1289"/>
    </row>
    <row r="105" spans="1:9" ht="14.4">
      <c r="A105" s="518"/>
      <c r="B105" s="518"/>
      <c r="D105" s="1289"/>
      <c r="E105" s="1289"/>
      <c r="F105" s="1289"/>
    </row>
    <row r="106" spans="1:9" ht="14.4">
      <c r="A106" s="518"/>
      <c r="B106" s="518"/>
      <c r="D106" s="1289"/>
      <c r="E106" s="1289"/>
      <c r="F106" s="1289"/>
    </row>
    <row r="107" spans="1:9" ht="14.4">
      <c r="A107" s="518"/>
      <c r="B107" s="518"/>
      <c r="D107" s="1289"/>
      <c r="E107" s="1289"/>
      <c r="F107" s="1289"/>
    </row>
    <row r="108" spans="1:9" ht="14.4">
      <c r="A108" s="518"/>
      <c r="B108" s="518"/>
      <c r="D108" s="1289"/>
      <c r="E108" s="1289"/>
      <c r="F108" s="1289"/>
    </row>
    <row r="109" spans="1:9" ht="14.4">
      <c r="A109" s="518"/>
      <c r="B109" s="518"/>
      <c r="D109" s="1289"/>
      <c r="E109" s="1289"/>
      <c r="F109" s="1289"/>
    </row>
    <row r="110" spans="1:9" ht="14.4">
      <c r="A110" s="518"/>
      <c r="B110" s="518"/>
      <c r="D110" s="1289"/>
      <c r="E110" s="1289"/>
      <c r="F110" s="1289"/>
    </row>
    <row r="111" spans="1:9" ht="14.4">
      <c r="A111" s="518"/>
      <c r="B111" s="518"/>
      <c r="D111" s="1289"/>
      <c r="E111" s="1289"/>
      <c r="F111" s="1289"/>
    </row>
    <row r="112" spans="1:9" ht="14.4">
      <c r="A112" s="518"/>
      <c r="B112" s="518"/>
      <c r="D112" s="1289"/>
      <c r="E112" s="1289"/>
      <c r="F112" s="1289"/>
    </row>
    <row r="113" spans="1:9" ht="14.4">
      <c r="A113" s="518"/>
      <c r="B113" s="518"/>
      <c r="D113" s="1289"/>
      <c r="E113" s="1289"/>
      <c r="F113" s="1289"/>
    </row>
    <row r="114" spans="1:9" ht="14.4">
      <c r="A114" s="518"/>
      <c r="B114" s="518"/>
      <c r="D114" s="1289"/>
      <c r="E114" s="1289"/>
      <c r="F114" s="1289"/>
    </row>
    <row r="115" spans="1:9" ht="14.4">
      <c r="A115" s="518"/>
      <c r="B115" s="518"/>
      <c r="D115" s="1289"/>
      <c r="E115" s="1289"/>
      <c r="F115" s="1289"/>
    </row>
    <row r="116" spans="1:9" ht="14.4">
      <c r="A116" s="518"/>
      <c r="B116" s="518"/>
      <c r="D116" s="1289"/>
      <c r="E116" s="1289"/>
      <c r="F116" s="1289"/>
    </row>
    <row r="117" spans="1:9" ht="14.4">
      <c r="A117" s="518"/>
      <c r="B117" s="518"/>
      <c r="D117" s="1289"/>
      <c r="E117" s="1289"/>
      <c r="F117" s="1289"/>
    </row>
    <row r="118" spans="1:9" ht="14.4">
      <c r="A118" s="518"/>
      <c r="B118" s="518"/>
      <c r="D118" s="558"/>
      <c r="E118" s="558"/>
      <c r="F118" s="558"/>
    </row>
    <row r="119" spans="1:9" ht="14.25" customHeight="1">
      <c r="A119" s="518"/>
      <c r="B119" s="519" t="s">
        <v>2657</v>
      </c>
      <c r="D119" s="1300" t="s">
        <v>1208</v>
      </c>
      <c r="E119" s="1300"/>
      <c r="F119" s="1300"/>
    </row>
    <row r="120" spans="1:9" ht="14.4">
      <c r="A120" s="518"/>
      <c r="B120" s="518"/>
      <c r="D120" s="1300"/>
      <c r="E120" s="1300"/>
      <c r="F120" s="1300"/>
    </row>
    <row r="121" spans="1:9" ht="14.4">
      <c r="A121" s="518"/>
      <c r="B121" s="518"/>
      <c r="D121" s="1300"/>
      <c r="E121" s="1300"/>
      <c r="F121" s="1300"/>
    </row>
    <row r="122" spans="1:9" ht="14.4">
      <c r="A122" s="518"/>
      <c r="B122" s="518"/>
      <c r="D122" s="1300"/>
      <c r="E122" s="1300"/>
      <c r="F122" s="1300"/>
    </row>
    <row r="123" spans="1:9" ht="14.4">
      <c r="A123" s="518"/>
      <c r="B123" s="518"/>
      <c r="D123" s="1300"/>
      <c r="E123" s="1300"/>
      <c r="F123" s="1300"/>
    </row>
    <row r="124" spans="1:9" ht="14.4">
      <c r="A124" s="518"/>
      <c r="B124" s="518"/>
      <c r="D124" s="1300"/>
      <c r="E124" s="1300"/>
      <c r="F124" s="1300"/>
    </row>
    <row r="125" spans="1:9" ht="14.4">
      <c r="A125" s="518"/>
      <c r="B125" s="518"/>
      <c r="D125" s="1300"/>
      <c r="E125" s="1300"/>
      <c r="F125" s="1300"/>
    </row>
    <row r="126" spans="1:9" ht="14.4">
      <c r="A126" s="518"/>
      <c r="B126" s="518"/>
      <c r="D126" s="1300"/>
      <c r="E126" s="1300"/>
      <c r="F126" s="1300"/>
    </row>
    <row r="127" spans="1:9">
      <c r="C127" s="433"/>
      <c r="D127" s="559"/>
      <c r="E127" s="559"/>
      <c r="F127" s="559"/>
    </row>
    <row r="128" spans="1:9" ht="14.4">
      <c r="A128" s="518"/>
      <c r="B128" s="519" t="s">
        <v>1106</v>
      </c>
      <c r="C128" s="433"/>
      <c r="D128" s="1300" t="s">
        <v>2449</v>
      </c>
      <c r="E128" s="1300"/>
      <c r="F128" s="1300"/>
      <c r="I128" s="435" t="s">
        <v>2157</v>
      </c>
    </row>
    <row r="129" spans="1:9" ht="14.4">
      <c r="A129" s="518"/>
      <c r="B129" s="518"/>
      <c r="C129" s="433"/>
      <c r="D129" s="1300"/>
      <c r="E129" s="1300"/>
      <c r="F129" s="1300"/>
    </row>
    <row r="130" spans="1:9"/>
    <row r="131" spans="1:9" ht="14.4">
      <c r="A131" s="518"/>
      <c r="B131" s="519" t="s">
        <v>1106</v>
      </c>
      <c r="D131" s="1289" t="s">
        <v>1211</v>
      </c>
      <c r="E131" s="1289"/>
      <c r="F131" s="1289"/>
      <c r="I131" s="435"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8"/>
      <c r="B137" s="519" t="s">
        <v>1106</v>
      </c>
      <c r="D137" s="1289" t="s">
        <v>1212</v>
      </c>
      <c r="E137" s="1289"/>
      <c r="F137" s="1289"/>
      <c r="I137" s="435" t="s">
        <v>2158</v>
      </c>
    </row>
    <row r="138" spans="1:9" s="448" customFormat="1" ht="13.65" customHeight="1">
      <c r="A138" s="522"/>
      <c r="B138" s="522"/>
      <c r="C138" s="522"/>
      <c r="D138" s="1289"/>
      <c r="E138" s="1289"/>
      <c r="F138" s="1289"/>
      <c r="I138" s="1063"/>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3"/>
      <c r="B142" s="523"/>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0"/>
      <c r="E150" s="480"/>
      <c r="F150" s="480"/>
    </row>
    <row r="151" spans="2:9" ht="13.65" customHeight="1">
      <c r="B151" s="519" t="s">
        <v>2657</v>
      </c>
      <c r="D151" s="1289" t="s">
        <v>1320</v>
      </c>
      <c r="E151" s="1289"/>
      <c r="F151" s="1289"/>
      <c r="I151" s="435" t="s">
        <v>2159</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2474</v>
      </c>
      <c r="E169" s="1334"/>
      <c r="F169" s="1334"/>
      <c r="G169" s="541"/>
    </row>
    <row r="170" spans="1:9" ht="13.65" customHeight="1">
      <c r="D170" s="1275"/>
      <c r="E170" s="1275"/>
      <c r="F170" s="1275"/>
      <c r="G170" s="1275"/>
    </row>
    <row r="171" spans="1:9" ht="14.4" customHeight="1">
      <c r="A171" s="523"/>
      <c r="B171" s="519" t="s">
        <v>2657</v>
      </c>
      <c r="C171" s="510"/>
      <c r="D171" s="1271" t="s">
        <v>1367</v>
      </c>
      <c r="E171" s="1271"/>
      <c r="F171" s="1271"/>
      <c r="G171" s="510"/>
      <c r="I171" s="435" t="s">
        <v>2154</v>
      </c>
    </row>
    <row r="172" spans="1:9" ht="14.4" customHeight="1">
      <c r="A172" s="523"/>
      <c r="B172" s="523"/>
      <c r="C172" s="510"/>
      <c r="D172" s="1271"/>
      <c r="E172" s="1271"/>
      <c r="F172" s="1271"/>
      <c r="G172" s="510"/>
    </row>
    <row r="173" spans="1:9" ht="13.65" customHeight="1">
      <c r="A173" s="523"/>
      <c r="B173" s="523"/>
      <c r="C173" s="510"/>
      <c r="D173" s="1271"/>
      <c r="E173" s="1271"/>
      <c r="F173" s="1271"/>
      <c r="G173" s="510"/>
    </row>
    <row r="174" spans="1:9" ht="13.65" customHeight="1">
      <c r="A174" s="523"/>
      <c r="B174" s="523"/>
      <c r="C174" s="510"/>
      <c r="D174" s="510"/>
      <c r="E174" s="510"/>
      <c r="F174" s="510"/>
      <c r="G174" s="510"/>
    </row>
    <row r="175" spans="1:9" ht="13.65" customHeight="1">
      <c r="A175" s="523"/>
      <c r="B175" s="519" t="s">
        <v>2657</v>
      </c>
      <c r="C175" s="510"/>
      <c r="D175" s="1271" t="s">
        <v>1214</v>
      </c>
      <c r="E175" s="1271"/>
      <c r="F175" s="1271"/>
      <c r="G175" s="510"/>
      <c r="I175" s="435" t="s">
        <v>2160</v>
      </c>
    </row>
    <row r="176" spans="1:9" ht="13.65" customHeight="1">
      <c r="A176" s="523"/>
      <c r="B176" s="523"/>
      <c r="C176" s="510"/>
      <c r="D176" s="1271"/>
      <c r="E176" s="1271"/>
      <c r="F176" s="1271"/>
      <c r="G176" s="510"/>
    </row>
    <row r="177" spans="1:9" ht="13.65" customHeight="1">
      <c r="A177" s="523"/>
      <c r="B177" s="523"/>
      <c r="C177" s="510"/>
      <c r="D177" s="1271"/>
      <c r="E177" s="1271"/>
      <c r="F177" s="1271"/>
      <c r="G177" s="510"/>
    </row>
    <row r="178" spans="1:9" ht="13.65" customHeight="1">
      <c r="A178" s="523"/>
      <c r="B178" s="523"/>
      <c r="C178" s="510"/>
      <c r="D178" s="1271"/>
      <c r="E178" s="1271"/>
      <c r="F178" s="1271"/>
      <c r="G178" s="510"/>
    </row>
    <row r="179" spans="1:9" ht="13.65" customHeight="1">
      <c r="D179" s="480"/>
      <c r="E179" s="480"/>
      <c r="F179" s="480"/>
    </row>
    <row r="180" spans="1:9" ht="13.65" customHeight="1">
      <c r="B180" s="519" t="s">
        <v>2657</v>
      </c>
      <c r="D180" s="1276" t="s">
        <v>2450</v>
      </c>
      <c r="E180" s="1276"/>
      <c r="F180" s="1276"/>
      <c r="I180" s="435" t="s">
        <v>2161</v>
      </c>
    </row>
    <row r="181" spans="1:9" ht="13.65" customHeight="1">
      <c r="D181" s="1276"/>
      <c r="E181" s="1276"/>
      <c r="F181" s="1276"/>
    </row>
    <row r="182" spans="1:9" ht="13.65" customHeight="1">
      <c r="D182" s="1276"/>
      <c r="E182" s="1276"/>
      <c r="F182" s="1276"/>
    </row>
    <row r="183" spans="1:9" ht="13.65" customHeight="1">
      <c r="A183" s="524"/>
      <c r="B183" s="524"/>
      <c r="E183" s="480"/>
      <c r="F183" s="480"/>
    </row>
    <row r="184" spans="1:9">
      <c r="A184" s="1277" t="s">
        <v>2451</v>
      </c>
      <c r="B184" s="1277"/>
      <c r="C184" s="1277"/>
      <c r="D184" s="1277"/>
      <c r="E184" s="1277"/>
      <c r="F184" s="1277"/>
      <c r="G184" s="1277"/>
      <c r="H184" s="1070"/>
      <c r="I184" s="1071"/>
    </row>
    <row r="185" spans="1:9" ht="12" customHeight="1">
      <c r="D185" s="480"/>
      <c r="E185" s="480"/>
      <c r="F185" s="480"/>
    </row>
    <row r="186" spans="1:9">
      <c r="B186" s="1292" t="s">
        <v>449</v>
      </c>
      <c r="C186" s="1292"/>
      <c r="D186" s="1292"/>
      <c r="E186" s="1292"/>
      <c r="F186" s="1292"/>
    </row>
    <row r="187" spans="1:9">
      <c r="B187" s="423" t="s">
        <v>2140</v>
      </c>
      <c r="C187" s="423"/>
      <c r="D187" s="423"/>
      <c r="E187" s="423"/>
      <c r="F187" s="423"/>
    </row>
    <row r="188" spans="1:9" ht="12" customHeight="1">
      <c r="A188" s="516"/>
      <c r="B188" s="516"/>
      <c r="C188" s="516"/>
    </row>
    <row r="189" spans="1:9">
      <c r="A189" s="1277" t="s">
        <v>1110</v>
      </c>
      <c r="B189" s="1277"/>
      <c r="C189" s="1277"/>
      <c r="D189" s="1277"/>
      <c r="E189" s="1277"/>
      <c r="F189" s="1277"/>
      <c r="G189" s="1277"/>
      <c r="H189" s="1070"/>
      <c r="I189" s="1071"/>
    </row>
    <row r="190" spans="1:9" ht="12" customHeight="1">
      <c r="A190" s="435"/>
      <c r="B190" s="435"/>
      <c r="E190" s="435"/>
    </row>
    <row r="191" spans="1:9" ht="13.65" customHeight="1">
      <c r="A191" s="435"/>
      <c r="B191" s="435"/>
      <c r="D191" s="1291" t="s">
        <v>2007</v>
      </c>
      <c r="E191" s="1291"/>
      <c r="F191" s="1291"/>
    </row>
    <row r="192" spans="1:9">
      <c r="A192" s="435"/>
      <c r="B192" s="435"/>
      <c r="D192" s="1291"/>
      <c r="E192" s="1291"/>
      <c r="F192" s="1291"/>
    </row>
    <row r="193" spans="1:9">
      <c r="A193" s="435"/>
      <c r="B193" s="435"/>
      <c r="D193" s="1292" t="s">
        <v>1338</v>
      </c>
      <c r="E193" s="1292"/>
      <c r="F193" s="1292"/>
    </row>
    <row r="194" spans="1:9">
      <c r="A194" s="435"/>
      <c r="B194" s="435"/>
      <c r="D194" s="423"/>
      <c r="E194" s="423"/>
      <c r="F194" s="423"/>
    </row>
    <row r="195" spans="1:9">
      <c r="A195" s="435"/>
      <c r="B195" s="519" t="s">
        <v>1106</v>
      </c>
      <c r="D195" s="1273" t="s">
        <v>2008</v>
      </c>
      <c r="E195" s="1273"/>
      <c r="F195" s="1273"/>
      <c r="I195" s="435" t="s">
        <v>2210</v>
      </c>
    </row>
    <row r="196" spans="1:9">
      <c r="A196" s="435"/>
      <c r="B196" s="435"/>
      <c r="D196" s="1305" t="s">
        <v>2283</v>
      </c>
      <c r="E196" s="1305"/>
      <c r="F196" s="1305"/>
    </row>
    <row r="197" spans="1:9">
      <c r="A197" s="435"/>
      <c r="B197" s="435"/>
      <c r="D197" s="96" t="s">
        <v>2009</v>
      </c>
      <c r="E197" s="1336" t="s">
        <v>2306</v>
      </c>
      <c r="F197" s="1336"/>
    </row>
    <row r="198" spans="1:9">
      <c r="A198" s="435"/>
      <c r="B198" s="435"/>
      <c r="D198" s="3"/>
      <c r="E198" s="3"/>
      <c r="F198" s="3"/>
    </row>
    <row r="199" spans="1:9">
      <c r="A199" s="435"/>
      <c r="B199" s="519" t="s">
        <v>2657</v>
      </c>
      <c r="D199" s="1305" t="s">
        <v>2010</v>
      </c>
      <c r="E199" s="1305"/>
      <c r="F199" s="1305"/>
      <c r="I199" s="435" t="s">
        <v>2211</v>
      </c>
    </row>
    <row r="200" spans="1:9">
      <c r="A200" s="435"/>
      <c r="B200" s="435"/>
      <c r="D200" s="1273" t="s">
        <v>2283</v>
      </c>
      <c r="E200" s="1273"/>
      <c r="F200" s="1273"/>
    </row>
    <row r="201" spans="1:9">
      <c r="A201" s="435"/>
      <c r="B201" s="435"/>
      <c r="D201" s="57" t="s">
        <v>2011</v>
      </c>
      <c r="E201" s="1336" t="s">
        <v>2307</v>
      </c>
      <c r="F201" s="1336"/>
    </row>
    <row r="202" spans="1:9">
      <c r="A202" s="435"/>
      <c r="B202" s="435"/>
      <c r="D202" s="3"/>
      <c r="E202" s="3"/>
      <c r="F202" s="3"/>
    </row>
    <row r="203" spans="1:9">
      <c r="A203" s="435"/>
      <c r="B203" s="519" t="s">
        <v>2657</v>
      </c>
      <c r="D203" s="1305" t="s">
        <v>2012</v>
      </c>
      <c r="E203" s="1305"/>
      <c r="F203" s="1305"/>
      <c r="I203" s="435" t="s">
        <v>2212</v>
      </c>
    </row>
    <row r="204" spans="1:9">
      <c r="A204" s="435"/>
      <c r="B204" s="435"/>
      <c r="D204" s="1273" t="s">
        <v>2283</v>
      </c>
      <c r="E204" s="1273"/>
      <c r="F204" s="1273"/>
    </row>
    <row r="205" spans="1:9">
      <c r="A205" s="435"/>
      <c r="B205" s="435"/>
      <c r="D205" s="57" t="s">
        <v>2009</v>
      </c>
      <c r="E205" s="1336" t="s">
        <v>2308</v>
      </c>
      <c r="F205" s="1336"/>
    </row>
    <row r="206" spans="1:9">
      <c r="A206" s="435"/>
      <c r="B206" s="435"/>
      <c r="D206" s="423"/>
      <c r="E206" s="423"/>
      <c r="F206" s="423"/>
    </row>
    <row r="207" spans="1:9" ht="14.25" customHeight="1">
      <c r="A207" s="518"/>
      <c r="B207" s="519" t="s">
        <v>2657</v>
      </c>
      <c r="D207" s="417" t="s">
        <v>2276</v>
      </c>
      <c r="E207" s="416"/>
      <c r="F207" s="416"/>
      <c r="I207" s="435" t="s">
        <v>2213</v>
      </c>
    </row>
    <row r="208" spans="1:9" ht="14.4">
      <c r="A208" s="518"/>
      <c r="B208" s="518"/>
      <c r="D208" s="1273" t="s">
        <v>2283</v>
      </c>
      <c r="E208" s="1273"/>
      <c r="F208" s="1273"/>
    </row>
    <row r="209" spans="1:9">
      <c r="D209" s="416"/>
      <c r="E209" s="1336" t="s">
        <v>2309</v>
      </c>
      <c r="F209" s="1336"/>
    </row>
    <row r="210" spans="1:9">
      <c r="D210" s="481"/>
    </row>
    <row r="211" spans="1:9">
      <c r="B211" s="519" t="s">
        <v>2657</v>
      </c>
      <c r="D211" s="1305" t="s">
        <v>2013</v>
      </c>
      <c r="E211" s="1305"/>
      <c r="F211" s="1305"/>
      <c r="I211" s="435" t="s">
        <v>2214</v>
      </c>
    </row>
    <row r="212" spans="1:9">
      <c r="D212" s="1273" t="s">
        <v>2283</v>
      </c>
      <c r="E212" s="1273"/>
      <c r="F212" s="1273"/>
    </row>
    <row r="213" spans="1:9">
      <c r="D213" s="57" t="s">
        <v>2009</v>
      </c>
      <c r="E213" s="1336" t="s">
        <v>2310</v>
      </c>
      <c r="F213" s="1336"/>
    </row>
    <row r="214" spans="1:9">
      <c r="D214" s="485"/>
      <c r="E214" s="485"/>
      <c r="F214" s="485"/>
    </row>
    <row r="215" spans="1:9" ht="14.4">
      <c r="A215" s="518"/>
      <c r="B215" s="519" t="s">
        <v>2657</v>
      </c>
      <c r="D215" s="1289" t="s">
        <v>1359</v>
      </c>
      <c r="E215" s="1289"/>
      <c r="F215" s="1289"/>
    </row>
    <row r="216" spans="1:9" ht="14.4" customHeight="1">
      <c r="A216" s="518"/>
      <c r="B216" s="433"/>
      <c r="D216" s="1289"/>
      <c r="E216" s="1289"/>
      <c r="F216" s="1289"/>
    </row>
    <row r="217" spans="1:9" ht="14.4">
      <c r="A217" s="518"/>
      <c r="D217" s="1289"/>
      <c r="E217" s="1289"/>
      <c r="F217" s="1289"/>
    </row>
    <row r="218" spans="1:9" ht="14.4">
      <c r="A218" s="518"/>
      <c r="D218" s="1289"/>
      <c r="E218" s="1289"/>
      <c r="F218" s="1289"/>
    </row>
    <row r="219" spans="1:9">
      <c r="D219" s="485"/>
      <c r="E219" s="485"/>
      <c r="F219" s="485"/>
    </row>
    <row r="220" spans="1:9">
      <c r="A220" s="1277" t="s">
        <v>1111</v>
      </c>
      <c r="B220" s="1277"/>
      <c r="C220" s="1277"/>
      <c r="D220" s="1277"/>
      <c r="E220" s="1277"/>
      <c r="F220" s="1277"/>
      <c r="G220" s="1277"/>
      <c r="H220" s="1070"/>
      <c r="I220" s="1071"/>
    </row>
    <row r="221" spans="1:9" ht="12" customHeight="1">
      <c r="D221" s="480"/>
      <c r="E221" s="480"/>
      <c r="F221" s="480"/>
    </row>
    <row r="222" spans="1:9">
      <c r="C222" s="520"/>
      <c r="D222" s="1288" t="s">
        <v>210</v>
      </c>
      <c r="E222" s="1288"/>
      <c r="F222" s="1288"/>
    </row>
    <row r="223" spans="1:9">
      <c r="A223" s="516"/>
      <c r="B223" s="516"/>
      <c r="C223" s="516"/>
      <c r="D223" s="1290" t="s">
        <v>1240</v>
      </c>
      <c r="E223" s="1290"/>
      <c r="F223" s="1290"/>
    </row>
    <row r="224" spans="1:9" ht="12" customHeight="1">
      <c r="A224" s="524"/>
      <c r="B224" s="524"/>
      <c r="C224" s="524"/>
    </row>
    <row r="225" spans="1:9" ht="13.65" customHeight="1">
      <c r="A225" s="524"/>
      <c r="C225" s="524"/>
      <c r="D225" s="1288" t="s">
        <v>555</v>
      </c>
      <c r="E225" s="1288"/>
      <c r="F225" s="1288"/>
      <c r="I225" s="435" t="s">
        <v>2162</v>
      </c>
    </row>
    <row r="226" spans="1:9" ht="14.4">
      <c r="A226" s="518"/>
      <c r="B226" s="519" t="s">
        <v>1106</v>
      </c>
      <c r="D226" s="1289" t="s">
        <v>2014</v>
      </c>
      <c r="E226" s="1289"/>
      <c r="F226" s="1289"/>
    </row>
    <row r="227" spans="1:9" ht="14.25" customHeight="1">
      <c r="A227" s="518"/>
      <c r="B227" s="518"/>
      <c r="D227" s="1289"/>
      <c r="E227" s="1289"/>
      <c r="F227" s="1289"/>
    </row>
    <row r="228" spans="1:9" ht="14.25" customHeight="1">
      <c r="A228" s="518"/>
      <c r="B228" s="518"/>
      <c r="D228" s="1289"/>
      <c r="E228" s="1289"/>
      <c r="F228" s="1289"/>
    </row>
    <row r="229" spans="1:9" ht="14.4">
      <c r="A229" s="518"/>
      <c r="B229" s="518"/>
      <c r="D229" s="1289"/>
      <c r="E229" s="1289"/>
      <c r="F229" s="1289"/>
    </row>
    <row r="230" spans="1:9" ht="14.4">
      <c r="A230" s="518"/>
      <c r="B230" s="518"/>
      <c r="D230" s="479"/>
      <c r="E230" s="479"/>
      <c r="F230" s="479"/>
    </row>
    <row r="231" spans="1:9" ht="14.4">
      <c r="A231" s="518"/>
      <c r="B231" s="519" t="s">
        <v>1106</v>
      </c>
      <c r="D231" s="1289" t="s">
        <v>2015</v>
      </c>
      <c r="E231" s="1289"/>
      <c r="F231" s="1289"/>
      <c r="I231" s="435" t="s">
        <v>2163</v>
      </c>
    </row>
    <row r="232" spans="1:9" ht="14.4">
      <c r="A232" s="518"/>
      <c r="B232" s="518"/>
      <c r="D232" s="1289"/>
      <c r="E232" s="1289"/>
      <c r="F232" s="1289"/>
    </row>
    <row r="233" spans="1:9" ht="14.4">
      <c r="A233" s="518"/>
      <c r="B233" s="518"/>
      <c r="D233" s="1289"/>
      <c r="E233" s="1289"/>
      <c r="F233" s="1289"/>
    </row>
    <row r="234" spans="1:9" ht="14.4">
      <c r="A234" s="518"/>
      <c r="B234" s="518"/>
      <c r="D234" s="1289"/>
      <c r="E234" s="1289"/>
      <c r="F234" s="1289"/>
    </row>
    <row r="235" spans="1:9" ht="14.25" customHeight="1">
      <c r="A235" s="518"/>
      <c r="B235" s="518"/>
      <c r="D235" s="1289"/>
      <c r="E235" s="1289"/>
      <c r="F235" s="1289"/>
    </row>
    <row r="236" spans="1:9" ht="14.25" customHeight="1">
      <c r="A236" s="518"/>
      <c r="B236" s="518"/>
      <c r="D236" s="479"/>
      <c r="E236" s="479"/>
      <c r="F236" s="479"/>
    </row>
    <row r="237" spans="1:9" ht="14.4">
      <c r="A237" s="518"/>
      <c r="B237" s="518"/>
      <c r="D237" s="1289" t="s">
        <v>1236</v>
      </c>
      <c r="E237" s="1289"/>
      <c r="F237" s="1289"/>
      <c r="I237" s="435" t="s">
        <v>2162</v>
      </c>
    </row>
    <row r="238" spans="1:9" ht="14.4">
      <c r="A238" s="518"/>
      <c r="B238" s="518"/>
      <c r="D238" s="1289"/>
      <c r="E238" s="1289"/>
      <c r="F238" s="1289"/>
    </row>
    <row r="239" spans="1:9" ht="14.4">
      <c r="A239" s="518"/>
      <c r="B239" s="518"/>
      <c r="D239" s="1289"/>
      <c r="E239" s="1289"/>
      <c r="F239" s="1289"/>
    </row>
    <row r="240" spans="1:9" ht="14.4">
      <c r="A240" s="518"/>
      <c r="B240" s="518"/>
      <c r="D240" s="1289"/>
      <c r="E240" s="1289"/>
      <c r="F240" s="1289"/>
    </row>
    <row r="241" spans="1:9" ht="14.4">
      <c r="A241" s="518"/>
      <c r="B241" s="518"/>
      <c r="D241" s="1289"/>
      <c r="E241" s="1289"/>
      <c r="F241" s="1289"/>
    </row>
    <row r="242" spans="1:9" ht="14.4">
      <c r="A242" s="518"/>
      <c r="B242" s="518"/>
      <c r="D242" s="480"/>
      <c r="E242" s="480"/>
      <c r="F242" s="480"/>
    </row>
    <row r="243" spans="1:9" ht="14.4">
      <c r="A243" s="518"/>
      <c r="B243" s="519" t="s">
        <v>1106</v>
      </c>
      <c r="D243" s="1289" t="s">
        <v>2452</v>
      </c>
      <c r="E243" s="1289"/>
      <c r="F243" s="1289"/>
      <c r="I243" s="435" t="s">
        <v>2201</v>
      </c>
    </row>
    <row r="244" spans="1:9" ht="14.4">
      <c r="A244" s="518"/>
      <c r="B244" s="518"/>
      <c r="D244" s="1289"/>
      <c r="E244" s="1289"/>
      <c r="F244" s="1289"/>
    </row>
    <row r="245" spans="1:9" ht="14.4">
      <c r="A245" s="518"/>
      <c r="B245" s="518"/>
      <c r="D245" s="1289"/>
      <c r="E245" s="1289"/>
      <c r="F245" s="1289"/>
    </row>
    <row r="246" spans="1:9" ht="14.4">
      <c r="A246" s="518"/>
      <c r="B246" s="518"/>
      <c r="E246" s="1079" t="s">
        <v>2277</v>
      </c>
    </row>
    <row r="247" spans="1:9" ht="14.4">
      <c r="A247" s="518"/>
      <c r="B247" s="518"/>
      <c r="D247" s="480"/>
      <c r="E247" s="480"/>
      <c r="F247" s="480"/>
    </row>
    <row r="248" spans="1:9" ht="14.4" customHeight="1">
      <c r="A248" s="518"/>
      <c r="B248" s="519" t="s">
        <v>2657</v>
      </c>
      <c r="D248" s="1289" t="s">
        <v>2453</v>
      </c>
      <c r="E248" s="1289"/>
      <c r="F248" s="1289"/>
      <c r="I248" s="435" t="s">
        <v>2219</v>
      </c>
    </row>
    <row r="249" spans="1:9" ht="14.4">
      <c r="A249" s="518"/>
      <c r="B249" s="518"/>
      <c r="D249" s="1289"/>
      <c r="E249" s="1289"/>
      <c r="F249" s="1289"/>
    </row>
    <row r="250" spans="1:9" ht="14.4">
      <c r="A250" s="518"/>
      <c r="B250" s="518"/>
      <c r="D250" s="1289"/>
      <c r="E250" s="1289"/>
      <c r="F250" s="1289"/>
    </row>
    <row r="251" spans="1:9" ht="14.4">
      <c r="A251" s="518"/>
      <c r="B251" s="518"/>
      <c r="D251" s="1289"/>
      <c r="E251" s="1289"/>
      <c r="F251" s="1289"/>
    </row>
    <row r="252" spans="1:9" ht="14.4">
      <c r="A252" s="518"/>
      <c r="B252" s="518"/>
      <c r="D252" s="1289"/>
      <c r="E252" s="1289"/>
      <c r="F252" s="1289"/>
    </row>
    <row r="253" spans="1:9" ht="14.4">
      <c r="A253" s="518"/>
      <c r="B253" s="518"/>
      <c r="D253" s="479"/>
      <c r="E253" s="479"/>
      <c r="F253" s="479"/>
    </row>
    <row r="254" spans="1:9" ht="14.4">
      <c r="A254" s="518"/>
      <c r="B254" s="519" t="s">
        <v>1106</v>
      </c>
      <c r="D254" s="423" t="s">
        <v>2454</v>
      </c>
      <c r="E254" s="479"/>
      <c r="F254" s="479"/>
      <c r="I254" s="435" t="s">
        <v>2200</v>
      </c>
    </row>
    <row r="255" spans="1:9" ht="14.4">
      <c r="A255" s="518"/>
      <c r="B255" s="518"/>
      <c r="E255" s="1079" t="s">
        <v>2278</v>
      </c>
    </row>
    <row r="256" spans="1:9">
      <c r="D256" s="480"/>
      <c r="E256" s="480"/>
      <c r="F256" s="480"/>
    </row>
    <row r="257" spans="1:9" ht="14.4">
      <c r="A257" s="518"/>
      <c r="B257" s="519" t="s">
        <v>1106</v>
      </c>
      <c r="D257" s="1289" t="s">
        <v>1238</v>
      </c>
      <c r="E257" s="1289"/>
      <c r="F257" s="1289"/>
    </row>
    <row r="258" spans="1:9" ht="14.4">
      <c r="A258" s="518"/>
      <c r="B258" s="518"/>
      <c r="D258" s="1289"/>
      <c r="E258" s="1289"/>
      <c r="F258" s="1289"/>
    </row>
    <row r="259" spans="1:9">
      <c r="D259" s="525"/>
    </row>
    <row r="260" spans="1:9">
      <c r="A260" s="1277" t="s">
        <v>1112</v>
      </c>
      <c r="B260" s="1277"/>
      <c r="C260" s="1277"/>
      <c r="D260" s="1277"/>
      <c r="E260" s="1277"/>
      <c r="F260" s="1277"/>
      <c r="G260" s="1277"/>
      <c r="H260" s="1070"/>
      <c r="I260" s="1071"/>
    </row>
    <row r="261" spans="1:9">
      <c r="D261" s="525"/>
    </row>
    <row r="262" spans="1:9">
      <c r="C262" s="520"/>
      <c r="D262" s="1288" t="s">
        <v>1241</v>
      </c>
      <c r="E262" s="1288"/>
      <c r="F262" s="1288"/>
    </row>
    <row r="263" spans="1:9">
      <c r="A263" s="516"/>
      <c r="B263" s="516"/>
      <c r="C263" s="516"/>
      <c r="D263" s="480"/>
      <c r="E263" s="480"/>
      <c r="F263" s="480"/>
    </row>
    <row r="264" spans="1:9">
      <c r="A264" s="517"/>
      <c r="B264" s="517"/>
      <c r="C264" s="517"/>
      <c r="D264" s="1288" t="s">
        <v>271</v>
      </c>
      <c r="E264" s="1288"/>
      <c r="F264" s="1288"/>
      <c r="I264" s="435" t="s">
        <v>2202</v>
      </c>
    </row>
    <row r="265" spans="1:9" ht="14.4" customHeight="1">
      <c r="A265" s="518"/>
      <c r="B265" s="519" t="s">
        <v>1106</v>
      </c>
      <c r="D265" s="1289" t="s">
        <v>1339</v>
      </c>
      <c r="E265" s="1289"/>
      <c r="F265" s="1289"/>
    </row>
    <row r="266" spans="1:9">
      <c r="D266" s="1289"/>
      <c r="E266" s="1289"/>
      <c r="F266" s="1289"/>
    </row>
    <row r="267" spans="1:9">
      <c r="E267" s="1079" t="s">
        <v>2279</v>
      </c>
    </row>
    <row r="268" spans="1:9">
      <c r="D268" s="480"/>
      <c r="E268" s="480"/>
      <c r="F268" s="480"/>
    </row>
    <row r="269" spans="1:9" ht="14.4" customHeight="1">
      <c r="A269" s="518"/>
      <c r="B269" s="519" t="s">
        <v>2657</v>
      </c>
      <c r="D269" s="1289" t="s">
        <v>2455</v>
      </c>
      <c r="E269" s="1289"/>
      <c r="F269" s="1289"/>
      <c r="I269" s="435"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0"/>
      <c r="E275" s="480"/>
      <c r="F275" s="480"/>
    </row>
    <row r="276" spans="1:9" ht="14.4">
      <c r="A276" s="518"/>
      <c r="B276" s="519" t="s">
        <v>2657</v>
      </c>
      <c r="D276" s="1289" t="s">
        <v>1244</v>
      </c>
      <c r="E276" s="1289"/>
      <c r="F276" s="1289"/>
    </row>
    <row r="277" spans="1:9">
      <c r="D277" s="1289"/>
      <c r="E277" s="1289"/>
      <c r="F277" s="1289"/>
    </row>
    <row r="278" spans="1:9">
      <c r="D278" s="1289"/>
      <c r="E278" s="1289"/>
      <c r="F278" s="1289"/>
    </row>
    <row r="279" spans="1:9">
      <c r="D279" s="526"/>
      <c r="E279" s="480"/>
      <c r="F279" s="480"/>
    </row>
    <row r="280" spans="1:9">
      <c r="A280" s="1277" t="s">
        <v>1113</v>
      </c>
      <c r="B280" s="1277"/>
      <c r="C280" s="1277"/>
      <c r="D280" s="1277"/>
      <c r="E280" s="1277"/>
      <c r="F280" s="1277"/>
      <c r="G280" s="1277"/>
      <c r="H280" s="1070"/>
      <c r="I280" s="1071"/>
    </row>
    <row r="281" spans="1:9">
      <c r="D281" s="526"/>
      <c r="E281" s="480"/>
      <c r="F281" s="480"/>
    </row>
    <row r="282" spans="1:9">
      <c r="C282" s="516"/>
      <c r="D282" s="1291" t="s">
        <v>1246</v>
      </c>
      <c r="E282" s="1291"/>
      <c r="F282" s="1291"/>
    </row>
    <row r="283" spans="1:9">
      <c r="C283" s="516"/>
      <c r="D283" s="1291"/>
      <c r="E283" s="1291"/>
      <c r="F283" s="1291"/>
    </row>
    <row r="284" spans="1:9">
      <c r="A284" s="517"/>
      <c r="B284" s="517"/>
      <c r="C284" s="517"/>
      <c r="D284" s="435"/>
    </row>
    <row r="285" spans="1:9">
      <c r="C285" s="517"/>
      <c r="D285" s="1288" t="s">
        <v>211</v>
      </c>
      <c r="E285" s="1288"/>
      <c r="F285" s="1288"/>
    </row>
    <row r="286" spans="1:9" ht="15.75" customHeight="1">
      <c r="A286" s="518"/>
      <c r="B286" s="518"/>
      <c r="D286" s="1340" t="s">
        <v>1247</v>
      </c>
      <c r="E286" s="1340"/>
      <c r="F286" s="1340"/>
    </row>
    <row r="287" spans="1:9">
      <c r="E287" s="480"/>
      <c r="F287" s="480"/>
    </row>
    <row r="288" spans="1:9" ht="14.4">
      <c r="A288" s="518"/>
      <c r="B288" s="519" t="s">
        <v>2657</v>
      </c>
      <c r="D288" s="1289" t="s">
        <v>1248</v>
      </c>
      <c r="E288" s="1289"/>
      <c r="F288" s="1289"/>
      <c r="I288" s="435" t="s">
        <v>2164</v>
      </c>
    </row>
    <row r="289" spans="1:9" ht="14.4">
      <c r="A289" s="518"/>
      <c r="B289" s="518"/>
      <c r="D289" s="1289"/>
      <c r="E289" s="1289"/>
      <c r="F289" s="1289"/>
    </row>
    <row r="290" spans="1:9">
      <c r="D290" s="480"/>
      <c r="E290" s="480"/>
      <c r="F290" s="480"/>
    </row>
    <row r="291" spans="1:9" ht="14.4">
      <c r="A291" s="518"/>
      <c r="B291" s="519" t="s">
        <v>2657</v>
      </c>
      <c r="D291" s="1289" t="s">
        <v>1249</v>
      </c>
      <c r="E291" s="1289"/>
      <c r="F291" s="1289"/>
      <c r="I291" s="435" t="s">
        <v>2164</v>
      </c>
    </row>
    <row r="292" spans="1:9" ht="14.4">
      <c r="A292" s="518"/>
      <c r="B292" s="518"/>
      <c r="D292" s="1289"/>
      <c r="E292" s="1289"/>
      <c r="F292" s="1289"/>
    </row>
    <row r="293" spans="1:9" ht="14.4">
      <c r="A293" s="518"/>
      <c r="B293" s="518"/>
      <c r="D293" s="1289"/>
      <c r="E293" s="1289"/>
      <c r="F293" s="1289"/>
    </row>
    <row r="294" spans="1:9">
      <c r="D294" s="480"/>
      <c r="E294" s="480"/>
      <c r="F294" s="480"/>
    </row>
    <row r="295" spans="1:9" ht="14.4">
      <c r="A295" s="518"/>
      <c r="B295" s="519" t="s">
        <v>2657</v>
      </c>
      <c r="D295" s="1289" t="s">
        <v>1250</v>
      </c>
      <c r="E295" s="1289"/>
      <c r="F295" s="1289"/>
      <c r="I295" s="435" t="s">
        <v>2164</v>
      </c>
    </row>
    <row r="296" spans="1:9" ht="14.4">
      <c r="A296" s="518"/>
      <c r="B296" s="518"/>
      <c r="D296" s="1289"/>
      <c r="E296" s="1289"/>
      <c r="F296" s="1289"/>
    </row>
    <row r="297" spans="1:9">
      <c r="A297" s="524"/>
      <c r="B297" s="524"/>
      <c r="E297" s="480"/>
      <c r="F297" s="480"/>
    </row>
    <row r="298" spans="1:9">
      <c r="A298" s="1277" t="s">
        <v>1114</v>
      </c>
      <c r="B298" s="1277"/>
      <c r="C298" s="1277"/>
      <c r="D298" s="1277"/>
      <c r="E298" s="1277"/>
      <c r="F298" s="1277"/>
      <c r="G298" s="1277"/>
      <c r="H298" s="1070"/>
      <c r="I298" s="1071"/>
    </row>
    <row r="299" spans="1:9">
      <c r="A299" s="524"/>
      <c r="B299" s="524"/>
      <c r="D299" s="480"/>
      <c r="E299" s="480"/>
      <c r="F299" s="480"/>
    </row>
    <row r="300" spans="1:9">
      <c r="C300" s="524"/>
      <c r="D300" s="1288" t="s">
        <v>691</v>
      </c>
      <c r="E300" s="1288"/>
      <c r="F300" s="1288"/>
    </row>
    <row r="301" spans="1:9">
      <c r="C301" s="524"/>
      <c r="D301" s="1290" t="s">
        <v>1251</v>
      </c>
      <c r="E301" s="1290"/>
      <c r="F301" s="1290"/>
    </row>
    <row r="302" spans="1:9">
      <c r="C302" s="524"/>
      <c r="D302" s="527"/>
    </row>
    <row r="303" spans="1:9">
      <c r="B303" s="519" t="s">
        <v>2657</v>
      </c>
      <c r="D303" s="1290" t="s">
        <v>1252</v>
      </c>
      <c r="E303" s="1290"/>
      <c r="F303" s="1290"/>
      <c r="I303" s="435" t="s">
        <v>2165</v>
      </c>
    </row>
    <row r="304" spans="1:9" ht="14.4">
      <c r="A304" s="518"/>
      <c r="B304" s="518"/>
      <c r="D304" s="528"/>
      <c r="E304" s="529"/>
      <c r="F304" s="529"/>
    </row>
    <row r="305" spans="1:9" ht="13.65" customHeight="1">
      <c r="B305" s="519" t="s">
        <v>2657</v>
      </c>
      <c r="D305" s="1343" t="s">
        <v>1363</v>
      </c>
      <c r="E305" s="1343"/>
      <c r="F305" s="1343"/>
      <c r="I305" s="435" t="s">
        <v>2165</v>
      </c>
    </row>
    <row r="306" spans="1:9" ht="14.4">
      <c r="A306" s="518"/>
      <c r="B306" s="518"/>
      <c r="D306" s="1343"/>
      <c r="E306" s="1343"/>
      <c r="F306" s="1343"/>
    </row>
    <row r="307" spans="1:9" ht="14.4">
      <c r="A307" s="518"/>
      <c r="B307" s="518"/>
      <c r="D307" s="1343"/>
      <c r="E307" s="1343"/>
      <c r="F307" s="1343"/>
    </row>
    <row r="308" spans="1:9" ht="14.4">
      <c r="A308" s="518"/>
      <c r="B308" s="518"/>
      <c r="D308" s="1343"/>
      <c r="E308" s="1343"/>
      <c r="F308" s="1343"/>
    </row>
    <row r="309" spans="1:9" ht="14.4">
      <c r="A309" s="518"/>
      <c r="B309" s="518"/>
      <c r="D309" s="1343"/>
      <c r="E309" s="1343"/>
      <c r="F309" s="1343"/>
    </row>
    <row r="310" spans="1:9" ht="14.4">
      <c r="A310" s="518"/>
      <c r="B310" s="518"/>
      <c r="D310" s="528"/>
      <c r="E310" s="529"/>
      <c r="F310" s="529"/>
    </row>
    <row r="311" spans="1:9" ht="13.65" customHeight="1">
      <c r="B311" s="519" t="s">
        <v>2657</v>
      </c>
      <c r="D311" s="1343" t="s">
        <v>1254</v>
      </c>
      <c r="E311" s="1343"/>
      <c r="F311" s="1343"/>
      <c r="I311" s="435" t="s">
        <v>2165</v>
      </c>
    </row>
    <row r="312" spans="1:9">
      <c r="D312" s="1343"/>
      <c r="E312" s="1343"/>
      <c r="F312" s="1343"/>
    </row>
    <row r="313" spans="1:9" ht="14.4">
      <c r="A313" s="518"/>
      <c r="B313" s="518"/>
      <c r="D313" s="528"/>
      <c r="E313" s="529"/>
      <c r="F313" s="529"/>
    </row>
    <row r="314" spans="1:9">
      <c r="B314" s="519" t="s">
        <v>2657</v>
      </c>
      <c r="D314" s="1290" t="s">
        <v>1255</v>
      </c>
      <c r="E314" s="1290"/>
      <c r="F314" s="1290"/>
      <c r="I314" s="435" t="s">
        <v>2151</v>
      </c>
    </row>
    <row r="315" spans="1:9">
      <c r="E315" s="480"/>
      <c r="F315" s="480"/>
    </row>
    <row r="316" spans="1:9" ht="14.4">
      <c r="A316" s="518"/>
      <c r="B316" s="519" t="s">
        <v>2657</v>
      </c>
      <c r="D316" s="1289" t="s">
        <v>2475</v>
      </c>
      <c r="E316" s="1289"/>
      <c r="F316" s="1289"/>
      <c r="I316" s="435" t="s">
        <v>2166</v>
      </c>
    </row>
    <row r="317" spans="1:9" ht="14.4">
      <c r="A317" s="518"/>
      <c r="B317" s="518"/>
      <c r="D317" s="1289"/>
      <c r="E317" s="1289"/>
      <c r="F317" s="1289"/>
    </row>
    <row r="318" spans="1:9" ht="14.4">
      <c r="A318" s="518"/>
      <c r="B318" s="518"/>
      <c r="D318" s="1289"/>
      <c r="E318" s="1289"/>
      <c r="F318" s="1289"/>
    </row>
    <row r="319" spans="1:9" ht="14.4">
      <c r="A319" s="518"/>
      <c r="B319" s="518"/>
      <c r="D319" s="1289"/>
      <c r="E319" s="1289"/>
      <c r="F319" s="1289"/>
    </row>
    <row r="320" spans="1:9" ht="14.4">
      <c r="A320" s="518"/>
      <c r="B320" s="518"/>
      <c r="D320" s="1289"/>
      <c r="E320" s="1289"/>
      <c r="F320" s="1289"/>
    </row>
    <row r="321" spans="1:9" ht="14.4">
      <c r="A321" s="518"/>
      <c r="B321" s="518"/>
      <c r="D321" s="1289"/>
      <c r="E321" s="1289"/>
      <c r="F321" s="1289"/>
    </row>
    <row r="322" spans="1:9" ht="14.4">
      <c r="A322" s="518"/>
      <c r="B322" s="518"/>
      <c r="D322" s="1289"/>
      <c r="E322" s="1289"/>
      <c r="F322" s="1289"/>
    </row>
    <row r="323" spans="1:9" ht="14.4">
      <c r="A323" s="518"/>
      <c r="B323" s="518"/>
      <c r="D323" s="1289"/>
      <c r="E323" s="1289"/>
      <c r="F323" s="1289"/>
    </row>
    <row r="324" spans="1:9" ht="14.4">
      <c r="A324" s="518"/>
      <c r="B324" s="518"/>
      <c r="D324" s="1289"/>
      <c r="E324" s="1289"/>
      <c r="F324" s="1289"/>
    </row>
    <row r="325" spans="1:9" ht="14.4">
      <c r="A325" s="518"/>
      <c r="B325" s="518"/>
      <c r="D325" s="1289"/>
      <c r="E325" s="1289"/>
      <c r="F325" s="1289"/>
    </row>
    <row r="326" spans="1:9" ht="14.4">
      <c r="A326" s="518"/>
      <c r="B326" s="518"/>
      <c r="D326" s="1289"/>
      <c r="E326" s="1289"/>
      <c r="F326" s="1289"/>
    </row>
    <row r="327" spans="1:9" ht="14.4">
      <c r="A327" s="518"/>
      <c r="B327" s="518"/>
      <c r="D327" s="1289"/>
      <c r="E327" s="1289"/>
      <c r="F327" s="1289"/>
    </row>
    <row r="328" spans="1:9" ht="14.4">
      <c r="A328" s="518"/>
      <c r="B328" s="518"/>
      <c r="D328" s="1289"/>
      <c r="E328" s="1289"/>
      <c r="F328" s="1289"/>
    </row>
    <row r="329" spans="1:9" ht="14.4">
      <c r="A329" s="518"/>
      <c r="B329" s="518"/>
      <c r="D329" s="1289"/>
      <c r="E329" s="1289"/>
      <c r="F329" s="1289"/>
    </row>
    <row r="330" spans="1:9" ht="14.4">
      <c r="A330" s="518"/>
      <c r="B330" s="518"/>
      <c r="D330" s="1289"/>
      <c r="E330" s="1289"/>
      <c r="F330" s="1289"/>
    </row>
    <row r="331" spans="1:9">
      <c r="D331" s="480"/>
      <c r="E331" s="480"/>
      <c r="F331" s="480"/>
    </row>
    <row r="332" spans="1:9" ht="14.4">
      <c r="A332" s="518"/>
      <c r="B332" s="519" t="s">
        <v>2657</v>
      </c>
      <c r="D332" s="1289" t="s">
        <v>1257</v>
      </c>
      <c r="E332" s="1289"/>
      <c r="F332" s="1289"/>
      <c r="I332" s="435"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0"/>
      <c r="E341" s="480"/>
      <c r="F341" s="480"/>
    </row>
    <row r="342" spans="1:9" ht="14.25" customHeight="1">
      <c r="A342" s="518"/>
      <c r="B342" s="519" t="s">
        <v>2657</v>
      </c>
      <c r="D342" s="1289" t="s">
        <v>2284</v>
      </c>
      <c r="E342" s="1289"/>
      <c r="F342" s="1289"/>
      <c r="I342" s="435" t="s">
        <v>2203</v>
      </c>
    </row>
    <row r="343" spans="1:9">
      <c r="D343" s="1289"/>
      <c r="E343" s="1289"/>
      <c r="F343" s="1289"/>
    </row>
    <row r="344" spans="1:9">
      <c r="D344" s="1289"/>
      <c r="E344" s="1289"/>
      <c r="F344" s="1289"/>
    </row>
    <row r="345" spans="1:9">
      <c r="D345" s="1289"/>
      <c r="E345" s="1289"/>
      <c r="F345" s="1289"/>
    </row>
    <row r="346" spans="1:9">
      <c r="D346" s="417" t="s">
        <v>2283</v>
      </c>
      <c r="E346" s="416"/>
      <c r="F346" s="416"/>
    </row>
    <row r="347" spans="1:9">
      <c r="D347" s="416"/>
      <c r="E347" s="96" t="s">
        <v>2280</v>
      </c>
      <c r="G347" s="96"/>
    </row>
    <row r="348" spans="1:9">
      <c r="D348" s="479"/>
      <c r="E348" s="479"/>
      <c r="F348" s="479"/>
    </row>
    <row r="349" spans="1:9" ht="13.8" thickBot="1">
      <c r="A349" s="1058"/>
      <c r="B349" s="1058"/>
      <c r="C349" s="1058"/>
      <c r="D349" s="1332" t="s">
        <v>1019</v>
      </c>
      <c r="E349" s="1332"/>
      <c r="F349" s="1332"/>
      <c r="G349" s="1068"/>
      <c r="H349" s="1068"/>
      <c r="I349" s="1069"/>
    </row>
    <row r="350" spans="1:9" ht="13.8" thickTop="1">
      <c r="D350" s="1344" t="s">
        <v>1259</v>
      </c>
      <c r="E350" s="1344"/>
      <c r="F350" s="1344"/>
    </row>
    <row r="351" spans="1:9">
      <c r="D351" s="480"/>
      <c r="E351" s="480"/>
      <c r="F351" s="480"/>
    </row>
    <row r="352" spans="1:9">
      <c r="A352" s="510"/>
      <c r="B352" s="510"/>
      <c r="C352" s="510"/>
      <c r="D352" s="481"/>
      <c r="E352" s="481"/>
      <c r="F352" s="480"/>
      <c r="I352" s="435" t="s">
        <v>2167</v>
      </c>
    </row>
    <row r="353" spans="1:9" ht="14.4">
      <c r="A353" s="518"/>
      <c r="B353" s="519" t="s">
        <v>2657</v>
      </c>
      <c r="C353" s="521"/>
      <c r="D353" s="1290" t="s">
        <v>2282</v>
      </c>
      <c r="E353" s="1290"/>
      <c r="F353" s="1290"/>
      <c r="I353" s="1346" t="s">
        <v>2217</v>
      </c>
    </row>
    <row r="354" spans="1:9" ht="12.75" customHeight="1">
      <c r="D354" s="1080"/>
      <c r="E354" s="96" t="s">
        <v>2281</v>
      </c>
      <c r="F354" s="1080"/>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4">
      <c r="A358" s="518"/>
      <c r="B358" s="519" t="s">
        <v>2657</v>
      </c>
      <c r="C358" s="510"/>
      <c r="D358" s="1275" t="s">
        <v>2456</v>
      </c>
      <c r="E358" s="1275"/>
      <c r="F358" s="1275"/>
      <c r="I358" s="433"/>
    </row>
    <row r="359" spans="1:9">
      <c r="A359" s="510"/>
      <c r="B359" s="510"/>
      <c r="C359" s="510"/>
      <c r="D359" s="481"/>
      <c r="E359" s="481"/>
      <c r="F359" s="480"/>
    </row>
    <row r="360" spans="1:9">
      <c r="A360" s="510"/>
      <c r="B360" s="519" t="s">
        <v>2657</v>
      </c>
      <c r="C360" s="510"/>
      <c r="D360" s="1271" t="s">
        <v>2457</v>
      </c>
      <c r="E360" s="1271"/>
      <c r="F360" s="1271"/>
    </row>
    <row r="361" spans="1:9">
      <c r="A361" s="510"/>
      <c r="B361" s="510"/>
      <c r="C361" s="510"/>
      <c r="D361" s="1271"/>
      <c r="E361" s="1271"/>
      <c r="F361" s="1271"/>
    </row>
    <row r="362" spans="1:9">
      <c r="A362" s="510"/>
      <c r="B362" s="510"/>
      <c r="C362" s="510"/>
      <c r="D362" s="1271"/>
      <c r="E362" s="1271"/>
      <c r="F362" s="1271"/>
    </row>
    <row r="363" spans="1:9">
      <c r="A363" s="510"/>
      <c r="B363" s="510"/>
      <c r="C363" s="510"/>
      <c r="D363" s="1271"/>
      <c r="E363" s="1271"/>
      <c r="F363" s="1271"/>
    </row>
    <row r="364" spans="1:9">
      <c r="A364" s="510"/>
      <c r="B364" s="510"/>
      <c r="C364" s="510"/>
      <c r="D364" s="1271"/>
      <c r="E364" s="1271"/>
      <c r="F364" s="1271"/>
    </row>
    <row r="365" spans="1:9">
      <c r="A365" s="510"/>
      <c r="B365" s="510"/>
      <c r="C365" s="510"/>
      <c r="D365" s="1271"/>
      <c r="E365" s="1271"/>
      <c r="F365" s="1271"/>
    </row>
    <row r="366" spans="1:9">
      <c r="A366" s="510"/>
      <c r="B366" s="510"/>
      <c r="C366" s="510"/>
      <c r="D366" s="1271"/>
      <c r="E366" s="1271"/>
      <c r="F366" s="1271"/>
    </row>
    <row r="367" spans="1:9">
      <c r="A367" s="510"/>
      <c r="B367" s="510"/>
      <c r="C367" s="510"/>
      <c r="D367" s="1271"/>
      <c r="E367" s="1271"/>
      <c r="F367" s="1271"/>
    </row>
    <row r="368" spans="1:9">
      <c r="A368" s="510"/>
      <c r="B368" s="510"/>
      <c r="C368" s="510"/>
      <c r="D368" s="1271"/>
      <c r="E368" s="1271"/>
      <c r="F368" s="1271"/>
    </row>
    <row r="369" spans="1:6">
      <c r="A369" s="510"/>
      <c r="B369" s="510"/>
      <c r="C369" s="510"/>
      <c r="D369" s="1271"/>
      <c r="E369" s="1271"/>
      <c r="F369" s="1271"/>
    </row>
    <row r="370" spans="1:6">
      <c r="A370" s="510"/>
      <c r="B370" s="510"/>
      <c r="C370" s="510"/>
      <c r="D370" s="1271"/>
      <c r="E370" s="1271"/>
      <c r="F370" s="1271"/>
    </row>
    <row r="371" spans="1:6">
      <c r="A371" s="510"/>
      <c r="B371" s="510"/>
      <c r="C371" s="510"/>
      <c r="D371" s="1271"/>
      <c r="E371" s="1271"/>
      <c r="F371" s="1271"/>
    </row>
    <row r="372" spans="1:6">
      <c r="A372" s="510"/>
      <c r="B372" s="510"/>
      <c r="C372" s="510"/>
      <c r="D372" s="485"/>
      <c r="E372" s="485"/>
      <c r="F372" s="485"/>
    </row>
    <row r="373" spans="1:6" ht="12.6" customHeight="1">
      <c r="A373" s="510"/>
      <c r="B373" s="519" t="s">
        <v>2657</v>
      </c>
      <c r="C373" s="510"/>
      <c r="D373" s="1319" t="s">
        <v>1366</v>
      </c>
      <c r="E373" s="1319"/>
      <c r="F373" s="1319"/>
    </row>
    <row r="374" spans="1:6">
      <c r="A374" s="510"/>
      <c r="B374" s="510"/>
      <c r="C374" s="510"/>
      <c r="D374" s="1319"/>
      <c r="E374" s="1319"/>
      <c r="F374" s="1319"/>
    </row>
    <row r="375" spans="1:6">
      <c r="A375" s="510"/>
      <c r="B375" s="510"/>
      <c r="C375" s="510"/>
      <c r="D375" s="1319"/>
      <c r="E375" s="1319"/>
      <c r="F375" s="1319"/>
    </row>
    <row r="376" spans="1:6">
      <c r="A376" s="510"/>
      <c r="B376" s="510"/>
      <c r="C376" s="510"/>
      <c r="D376" s="1319"/>
      <c r="E376" s="1319"/>
      <c r="F376" s="1319"/>
    </row>
    <row r="377" spans="1:6">
      <c r="A377" s="510"/>
      <c r="B377" s="510"/>
      <c r="C377" s="510"/>
      <c r="D377" s="558"/>
      <c r="E377" s="558"/>
      <c r="F377" s="558"/>
    </row>
    <row r="378" spans="1:6">
      <c r="A378" s="510"/>
      <c r="B378" s="519" t="s">
        <v>2657</v>
      </c>
      <c r="C378" s="510"/>
      <c r="D378" s="433" t="s">
        <v>2096</v>
      </c>
      <c r="E378" s="558"/>
      <c r="F378" s="558"/>
    </row>
    <row r="379" spans="1:6">
      <c r="A379" s="510"/>
      <c r="B379" s="510"/>
      <c r="C379" s="510"/>
      <c r="D379" s="433" t="s">
        <v>2097</v>
      </c>
      <c r="E379" s="558"/>
      <c r="F379" s="558"/>
    </row>
    <row r="380" spans="1:6">
      <c r="A380" s="510"/>
      <c r="B380" s="510"/>
      <c r="C380" s="510"/>
      <c r="D380" s="433" t="s">
        <v>2098</v>
      </c>
      <c r="E380" s="558"/>
      <c r="F380" s="558"/>
    </row>
    <row r="381" spans="1:6">
      <c r="A381" s="510"/>
      <c r="B381" s="510"/>
      <c r="C381" s="510"/>
      <c r="D381" s="433" t="s">
        <v>2099</v>
      </c>
      <c r="E381" s="558"/>
      <c r="F381" s="558"/>
    </row>
    <row r="382" spans="1:6">
      <c r="A382" s="510"/>
      <c r="B382" s="510"/>
      <c r="C382" s="510"/>
      <c r="D382" s="433" t="s">
        <v>2100</v>
      </c>
      <c r="E382" s="558"/>
      <c r="F382" s="558"/>
    </row>
    <row r="383" spans="1:6">
      <c r="A383" s="510"/>
      <c r="B383" s="510"/>
      <c r="C383" s="510"/>
      <c r="D383" s="433" t="s">
        <v>2101</v>
      </c>
      <c r="E383" s="558"/>
      <c r="F383" s="558"/>
    </row>
    <row r="384" spans="1:6">
      <c r="A384" s="510"/>
      <c r="B384" s="510"/>
      <c r="C384" s="510"/>
      <c r="E384" s="481"/>
      <c r="F384" s="480"/>
    </row>
    <row r="385" spans="1:6" ht="14.4">
      <c r="A385" s="518"/>
      <c r="B385" s="519" t="s">
        <v>2657</v>
      </c>
      <c r="C385" s="510"/>
      <c r="D385" s="1271" t="s">
        <v>1262</v>
      </c>
      <c r="E385" s="1271"/>
      <c r="F385" s="1271"/>
    </row>
    <row r="386" spans="1:6">
      <c r="A386" s="510"/>
      <c r="B386" s="510"/>
      <c r="C386" s="510"/>
      <c r="D386" s="1271"/>
      <c r="E386" s="1271"/>
      <c r="F386" s="1271"/>
    </row>
    <row r="387" spans="1:6">
      <c r="A387" s="510"/>
      <c r="B387" s="510"/>
      <c r="C387" s="510"/>
      <c r="D387" s="1271"/>
      <c r="E387" s="1271"/>
      <c r="F387" s="1271"/>
    </row>
    <row r="388" spans="1:6">
      <c r="A388" s="510"/>
      <c r="B388" s="510"/>
      <c r="C388" s="510"/>
      <c r="D388" s="1271"/>
      <c r="E388" s="1271"/>
      <c r="F388" s="1271"/>
    </row>
    <row r="389" spans="1:6">
      <c r="A389" s="510"/>
      <c r="B389" s="510"/>
      <c r="C389" s="510"/>
      <c r="D389" s="481"/>
      <c r="E389" s="481"/>
      <c r="F389" s="480"/>
    </row>
    <row r="390" spans="1:6">
      <c r="A390" s="510"/>
      <c r="B390" s="510"/>
      <c r="C390" s="510"/>
      <c r="D390" s="1271" t="s">
        <v>1263</v>
      </c>
      <c r="E390" s="1271"/>
      <c r="F390" s="1271"/>
    </row>
    <row r="391" spans="1:6">
      <c r="A391" s="510"/>
      <c r="B391" s="510"/>
      <c r="C391" s="510"/>
      <c r="D391" s="1271"/>
      <c r="E391" s="1271"/>
      <c r="F391" s="1271"/>
    </row>
    <row r="392" spans="1:6">
      <c r="A392" s="510"/>
      <c r="B392" s="510"/>
      <c r="C392" s="510"/>
      <c r="D392" s="1271"/>
      <c r="E392" s="1271"/>
      <c r="F392" s="1271"/>
    </row>
    <row r="393" spans="1:6">
      <c r="A393" s="510"/>
      <c r="B393" s="510"/>
      <c r="C393" s="510"/>
      <c r="D393" s="1271"/>
      <c r="E393" s="1271"/>
      <c r="F393" s="1271"/>
    </row>
    <row r="394" spans="1:6" ht="18" customHeight="1">
      <c r="A394" s="510"/>
      <c r="B394" s="510"/>
      <c r="C394" s="510"/>
      <c r="D394" s="1271"/>
      <c r="E394" s="1271"/>
      <c r="F394" s="1271"/>
    </row>
    <row r="395" spans="1:6">
      <c r="A395" s="510"/>
      <c r="B395" s="510"/>
      <c r="C395" s="510"/>
      <c r="D395" s="1271"/>
      <c r="E395" s="1271"/>
      <c r="F395" s="1271"/>
    </row>
    <row r="396" spans="1:6">
      <c r="A396" s="510"/>
      <c r="B396" s="510"/>
      <c r="C396" s="510"/>
      <c r="D396" s="1271"/>
      <c r="E396" s="1271"/>
      <c r="F396" s="1271"/>
    </row>
    <row r="397" spans="1:6">
      <c r="A397" s="510"/>
      <c r="B397" s="510"/>
      <c r="C397" s="510"/>
      <c r="D397" s="1271"/>
      <c r="E397" s="1271"/>
      <c r="F397" s="1271"/>
    </row>
    <row r="398" spans="1:6" ht="8.25" customHeight="1">
      <c r="A398" s="510"/>
      <c r="B398" s="510"/>
      <c r="C398" s="510"/>
      <c r="D398" s="1271"/>
      <c r="E398" s="1271"/>
      <c r="F398" s="1271"/>
    </row>
    <row r="399" spans="1:6" ht="13.65" customHeight="1">
      <c r="A399" s="510"/>
      <c r="B399" s="510"/>
      <c r="C399" s="510"/>
      <c r="D399" s="1271" t="s">
        <v>1264</v>
      </c>
      <c r="E399" s="1271"/>
      <c r="F399" s="1271"/>
    </row>
    <row r="400" spans="1:6">
      <c r="A400" s="510"/>
      <c r="B400" s="510"/>
      <c r="C400" s="510"/>
      <c r="D400" s="1271"/>
      <c r="E400" s="1271"/>
      <c r="F400" s="1271"/>
    </row>
    <row r="401" spans="1:6">
      <c r="A401" s="510"/>
      <c r="B401" s="510"/>
      <c r="C401" s="510"/>
      <c r="D401" s="1271"/>
      <c r="E401" s="1271"/>
      <c r="F401" s="1271"/>
    </row>
    <row r="402" spans="1:6">
      <c r="A402" s="510"/>
      <c r="B402" s="510"/>
      <c r="C402" s="510"/>
      <c r="D402" s="1271"/>
      <c r="E402" s="1271"/>
      <c r="F402" s="1271"/>
    </row>
    <row r="403" spans="1:6">
      <c r="A403" s="510"/>
      <c r="B403" s="510"/>
      <c r="C403" s="510"/>
      <c r="D403" s="1271"/>
      <c r="E403" s="1271"/>
      <c r="F403" s="1271"/>
    </row>
    <row r="404" spans="1:6">
      <c r="A404" s="510"/>
      <c r="B404" s="510"/>
      <c r="C404" s="510"/>
      <c r="D404" s="1271"/>
      <c r="E404" s="1271"/>
      <c r="F404" s="1271"/>
    </row>
    <row r="405" spans="1:6">
      <c r="A405" s="510"/>
      <c r="B405" s="510"/>
      <c r="C405" s="510"/>
      <c r="D405" s="1271"/>
      <c r="E405" s="1271"/>
      <c r="F405" s="1271"/>
    </row>
    <row r="406" spans="1:6">
      <c r="A406" s="510"/>
      <c r="B406" s="510"/>
      <c r="C406" s="510"/>
      <c r="D406" s="1271"/>
      <c r="E406" s="1271"/>
      <c r="F406" s="1271"/>
    </row>
    <row r="407" spans="1:6">
      <c r="A407" s="510"/>
      <c r="B407" s="510"/>
      <c r="C407" s="510"/>
      <c r="D407" s="1271"/>
      <c r="E407" s="1271"/>
      <c r="F407" s="1271"/>
    </row>
    <row r="408" spans="1:6">
      <c r="A408" s="510"/>
      <c r="B408" s="510"/>
      <c r="C408" s="510"/>
      <c r="D408" s="1271"/>
      <c r="E408" s="1271"/>
      <c r="F408" s="1271"/>
    </row>
    <row r="409" spans="1:6">
      <c r="A409" s="510"/>
      <c r="B409" s="510"/>
      <c r="C409" s="510"/>
      <c r="D409" s="1271"/>
      <c r="E409" s="1271"/>
      <c r="F409" s="1271"/>
    </row>
    <row r="410" spans="1:6">
      <c r="A410" s="510"/>
      <c r="B410" s="510"/>
      <c r="C410" s="510"/>
      <c r="D410" s="1271"/>
      <c r="E410" s="1271"/>
      <c r="F410" s="1271"/>
    </row>
    <row r="411" spans="1:6">
      <c r="A411" s="510"/>
      <c r="B411" s="510"/>
      <c r="C411" s="530"/>
      <c r="D411" s="1271"/>
      <c r="E411" s="1271"/>
      <c r="F411" s="1271"/>
    </row>
    <row r="412" spans="1:6">
      <c r="A412" s="510"/>
      <c r="B412" s="510"/>
      <c r="C412" s="530"/>
      <c r="D412" s="1271"/>
      <c r="E412" s="1271"/>
      <c r="F412" s="1271"/>
    </row>
    <row r="413" spans="1:6">
      <c r="A413" s="510"/>
      <c r="B413" s="510"/>
      <c r="C413" s="510"/>
      <c r="D413" s="1271"/>
      <c r="E413" s="1271"/>
      <c r="F413" s="1271"/>
    </row>
    <row r="414" spans="1:6">
      <c r="A414" s="510"/>
      <c r="B414" s="510"/>
      <c r="C414" s="530"/>
      <c r="D414" s="1271"/>
      <c r="E414" s="1271"/>
      <c r="F414" s="1271"/>
    </row>
    <row r="415" spans="1:6">
      <c r="A415" s="510"/>
      <c r="B415" s="510"/>
      <c r="C415" s="530"/>
      <c r="D415" s="1271"/>
      <c r="E415" s="1271"/>
      <c r="F415" s="1271"/>
    </row>
    <row r="416" spans="1:6">
      <c r="A416" s="510"/>
      <c r="B416" s="510"/>
      <c r="C416" s="530"/>
      <c r="D416" s="1271"/>
      <c r="E416" s="1271"/>
      <c r="F416" s="1271"/>
    </row>
    <row r="417" spans="1:6">
      <c r="A417" s="510"/>
      <c r="B417" s="510"/>
      <c r="C417" s="510"/>
      <c r="D417" s="481"/>
      <c r="E417" s="481"/>
      <c r="F417" s="480"/>
    </row>
    <row r="418" spans="1:6">
      <c r="A418" s="510"/>
      <c r="B418" s="519" t="s">
        <v>2657</v>
      </c>
      <c r="C418" s="510"/>
      <c r="D418" s="1271" t="s">
        <v>1265</v>
      </c>
      <c r="E418" s="1271"/>
      <c r="F418" s="1271"/>
    </row>
    <row r="419" spans="1:6">
      <c r="A419" s="510"/>
      <c r="B419" s="510"/>
      <c r="C419" s="510"/>
      <c r="D419" s="1271"/>
      <c r="E419" s="1271"/>
      <c r="F419" s="1271"/>
    </row>
    <row r="420" spans="1:6">
      <c r="A420" s="510"/>
      <c r="B420" s="510"/>
      <c r="C420" s="510"/>
      <c r="D420" s="485"/>
      <c r="E420" s="485"/>
      <c r="F420" s="485"/>
    </row>
    <row r="421" spans="1:6" ht="14.4" customHeight="1">
      <c r="A421" s="518"/>
      <c r="B421" s="519" t="s">
        <v>2657</v>
      </c>
      <c r="D421" s="1271" t="s">
        <v>2204</v>
      </c>
      <c r="E421" s="1271"/>
      <c r="F421" s="1271"/>
    </row>
    <row r="422" spans="1:6" ht="14.4" customHeight="1">
      <c r="A422" s="518"/>
      <c r="D422" s="1271"/>
      <c r="E422" s="1271"/>
      <c r="F422" s="1271"/>
    </row>
    <row r="423" spans="1:6" ht="14.4" customHeight="1">
      <c r="A423" s="518"/>
      <c r="D423" s="1271"/>
      <c r="E423" s="1271"/>
      <c r="F423" s="1271"/>
    </row>
    <row r="424" spans="1:6" ht="14.4" customHeight="1">
      <c r="A424" s="518"/>
      <c r="D424" s="1271"/>
      <c r="E424" s="1271"/>
      <c r="F424" s="1271"/>
    </row>
    <row r="425" spans="1:6" ht="14.4" customHeight="1">
      <c r="A425" s="518"/>
      <c r="D425" s="1271"/>
      <c r="E425" s="1271"/>
      <c r="F425" s="1271"/>
    </row>
    <row r="426" spans="1:6" ht="14.4" customHeight="1">
      <c r="A426" s="518"/>
      <c r="D426" s="416"/>
      <c r="E426" s="416"/>
      <c r="F426" s="416"/>
    </row>
    <row r="427" spans="1:6" ht="13.65" customHeight="1">
      <c r="A427" s="518"/>
      <c r="B427" s="519" t="s">
        <v>2657</v>
      </c>
      <c r="C427" s="510"/>
      <c r="D427" s="1271" t="s">
        <v>1388</v>
      </c>
      <c r="E427" s="1271"/>
      <c r="F427" s="1271"/>
    </row>
    <row r="428" spans="1:6" ht="14.4">
      <c r="A428" s="531"/>
      <c r="B428" s="531"/>
      <c r="C428" s="510"/>
      <c r="D428" s="1271"/>
      <c r="E428" s="1271"/>
      <c r="F428" s="1271"/>
    </row>
    <row r="429" spans="1:6" ht="14.4">
      <c r="A429" s="531"/>
      <c r="B429" s="531"/>
      <c r="C429" s="510"/>
      <c r="D429" s="1271"/>
      <c r="E429" s="1271"/>
      <c r="F429" s="1271"/>
    </row>
    <row r="430" spans="1:6" ht="14.4">
      <c r="A430" s="531"/>
      <c r="B430" s="531"/>
      <c r="C430" s="510"/>
      <c r="D430" s="1271"/>
      <c r="E430" s="1271"/>
      <c r="F430" s="1271"/>
    </row>
    <row r="431" spans="1:6" ht="15.75" customHeight="1">
      <c r="A431" s="531"/>
      <c r="B431" s="531"/>
      <c r="C431" s="510"/>
      <c r="D431" s="1345" t="s">
        <v>2476</v>
      </c>
      <c r="E431" s="1271"/>
      <c r="F431" s="1271"/>
    </row>
    <row r="432" spans="1:6">
      <c r="D432" s="480"/>
      <c r="E432" s="480"/>
      <c r="F432" s="480"/>
    </row>
    <row r="433" spans="1:6" ht="14.4">
      <c r="A433" s="518"/>
      <c r="B433" s="519" t="s">
        <v>2657</v>
      </c>
      <c r="C433" s="521"/>
      <c r="D433" s="1289" t="s">
        <v>2458</v>
      </c>
      <c r="E433" s="1289"/>
      <c r="F433" s="1289"/>
    </row>
    <row r="434" spans="1:6" ht="14.4">
      <c r="A434" s="518"/>
      <c r="B434" s="518"/>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3"/>
      <c r="B446" s="433"/>
      <c r="C446" s="433"/>
      <c r="D446" s="1289"/>
      <c r="E446" s="1289"/>
      <c r="F446" s="1289"/>
    </row>
    <row r="447" spans="1:6">
      <c r="A447" s="433"/>
      <c r="B447" s="433"/>
      <c r="C447" s="433"/>
      <c r="D447" s="1289"/>
      <c r="E447" s="1289"/>
      <c r="F447" s="1289"/>
    </row>
    <row r="448" spans="1:6">
      <c r="A448" s="433"/>
      <c r="B448" s="433"/>
      <c r="C448" s="433"/>
      <c r="D448" s="1289"/>
      <c r="E448" s="1289"/>
      <c r="F448" s="1289"/>
    </row>
    <row r="449" spans="1:6">
      <c r="A449" s="433"/>
      <c r="B449" s="433"/>
      <c r="C449" s="433"/>
      <c r="D449" s="1289"/>
      <c r="E449" s="1289"/>
      <c r="F449" s="1289"/>
    </row>
    <row r="450" spans="1:6">
      <c r="A450" s="433"/>
      <c r="B450" s="433"/>
      <c r="C450" s="433"/>
      <c r="D450" s="1289"/>
      <c r="E450" s="1289"/>
      <c r="F450" s="1289"/>
    </row>
    <row r="451" spans="1:6">
      <c r="A451" s="433"/>
      <c r="B451" s="433"/>
      <c r="C451" s="433"/>
      <c r="D451" s="1289"/>
      <c r="E451" s="1289"/>
      <c r="F451" s="1289"/>
    </row>
    <row r="452" spans="1:6">
      <c r="A452" s="433"/>
      <c r="B452" s="433"/>
      <c r="C452" s="433"/>
      <c r="D452" s="1289"/>
      <c r="E452" s="1289"/>
      <c r="F452" s="1289"/>
    </row>
    <row r="453" spans="1:6">
      <c r="A453" s="433"/>
      <c r="B453" s="433"/>
      <c r="C453" s="433"/>
      <c r="D453" s="1289"/>
      <c r="E453" s="1289"/>
      <c r="F453" s="1289"/>
    </row>
    <row r="454" spans="1:6">
      <c r="A454" s="433"/>
      <c r="B454" s="433"/>
      <c r="C454" s="433"/>
      <c r="D454" s="1289"/>
      <c r="E454" s="1289"/>
      <c r="F454" s="1289"/>
    </row>
    <row r="455" spans="1:6">
      <c r="A455" s="433"/>
      <c r="B455" s="433"/>
      <c r="C455" s="433"/>
      <c r="D455" s="1289"/>
      <c r="E455" s="1289"/>
      <c r="F455" s="1289"/>
    </row>
    <row r="456" spans="1:6">
      <c r="A456" s="433"/>
      <c r="B456" s="433"/>
      <c r="C456" s="433"/>
      <c r="D456" s="1289"/>
      <c r="E456" s="1289"/>
      <c r="F456" s="1289"/>
    </row>
    <row r="457" spans="1:6">
      <c r="A457" s="433"/>
      <c r="B457" s="433"/>
      <c r="C457" s="433"/>
      <c r="D457" s="1289"/>
      <c r="E457" s="1289"/>
      <c r="F457" s="1289"/>
    </row>
    <row r="458" spans="1:6">
      <c r="A458" s="433"/>
      <c r="B458" s="433"/>
      <c r="C458" s="433"/>
      <c r="D458" s="1289"/>
      <c r="E458" s="1289"/>
      <c r="F458" s="1289"/>
    </row>
    <row r="459" spans="1:6">
      <c r="A459" s="433"/>
      <c r="B459" s="433"/>
      <c r="C459" s="433"/>
      <c r="D459" s="1289"/>
      <c r="E459" s="1289"/>
      <c r="F459" s="1289"/>
    </row>
    <row r="460" spans="1:6">
      <c r="A460" s="433"/>
      <c r="B460" s="433"/>
      <c r="C460" s="433"/>
      <c r="D460" s="1289"/>
      <c r="E460" s="1289"/>
      <c r="F460" s="1289"/>
    </row>
    <row r="461" spans="1:6">
      <c r="A461" s="433"/>
      <c r="B461" s="433"/>
      <c r="C461" s="433"/>
      <c r="D461" s="1289"/>
      <c r="E461" s="1289"/>
      <c r="F461" s="1289"/>
    </row>
    <row r="462" spans="1:6">
      <c r="D462" s="1289"/>
      <c r="E462" s="1289"/>
      <c r="F462" s="1289"/>
    </row>
    <row r="463" spans="1:6" ht="40.65" customHeight="1">
      <c r="D463" s="1289"/>
      <c r="E463" s="1289"/>
      <c r="F463" s="1289"/>
    </row>
    <row r="464" spans="1:6">
      <c r="D464" s="480"/>
      <c r="E464" s="480"/>
      <c r="F464" s="480"/>
    </row>
    <row r="465" spans="1:6" ht="14.4">
      <c r="A465" s="518"/>
      <c r="B465" s="519" t="s">
        <v>2657</v>
      </c>
      <c r="C465" s="521"/>
      <c r="D465" s="1289" t="s">
        <v>1270</v>
      </c>
      <c r="E465" s="1289"/>
      <c r="F465" s="1289"/>
    </row>
    <row r="466" spans="1:6">
      <c r="D466" s="1289"/>
      <c r="E466" s="1289"/>
      <c r="F466" s="1289"/>
    </row>
    <row r="467" spans="1:6">
      <c r="D467" s="1289"/>
      <c r="E467" s="1289"/>
      <c r="F467" s="1289"/>
    </row>
    <row r="468" spans="1:6">
      <c r="D468" s="479"/>
      <c r="E468" s="479"/>
      <c r="F468" s="479"/>
    </row>
    <row r="469" spans="1:6" ht="14.4">
      <c r="B469" s="519" t="s">
        <v>2657</v>
      </c>
      <c r="C469" s="518"/>
      <c r="D469" s="1289" t="s">
        <v>1340</v>
      </c>
      <c r="E469" s="1289"/>
      <c r="F469" s="1289"/>
    </row>
    <row r="470" spans="1:6">
      <c r="D470" s="1289"/>
      <c r="E470" s="1289"/>
      <c r="F470" s="1289"/>
    </row>
    <row r="471" spans="1:6">
      <c r="D471" s="480"/>
      <c r="E471" s="480"/>
      <c r="F471" s="480"/>
    </row>
    <row r="472" spans="1:6" ht="14.4">
      <c r="B472" s="519" t="s">
        <v>2657</v>
      </c>
      <c r="C472" s="518"/>
      <c r="D472" s="1289" t="s">
        <v>1272</v>
      </c>
      <c r="E472" s="1289"/>
      <c r="F472" s="1289"/>
    </row>
    <row r="473" spans="1:6">
      <c r="D473" s="1289"/>
      <c r="E473" s="1289"/>
      <c r="F473" s="1289"/>
    </row>
    <row r="474" spans="1:6">
      <c r="D474" s="1289"/>
      <c r="E474" s="1289"/>
      <c r="F474" s="1289"/>
    </row>
    <row r="475" spans="1:6">
      <c r="D475" s="1289"/>
      <c r="E475" s="1289"/>
      <c r="F475" s="1289"/>
    </row>
    <row r="476" spans="1:6">
      <c r="B476" s="519" t="s">
        <v>2657</v>
      </c>
      <c r="D476" s="1289"/>
      <c r="E476" s="1289"/>
      <c r="F476" s="1289"/>
    </row>
    <row r="477" spans="1:6">
      <c r="A477" s="433"/>
      <c r="B477" s="433"/>
      <c r="C477" s="433"/>
      <c r="D477" s="1289"/>
      <c r="E477" s="1289"/>
      <c r="F477" s="1289"/>
    </row>
    <row r="478" spans="1:6">
      <c r="A478" s="433"/>
      <c r="C478" s="433"/>
      <c r="D478" s="1289"/>
      <c r="E478" s="1289"/>
      <c r="F478" s="1289"/>
    </row>
    <row r="479" spans="1:6">
      <c r="A479" s="433"/>
      <c r="B479" s="519" t="s">
        <v>2657</v>
      </c>
      <c r="C479" s="433"/>
      <c r="D479" s="1289"/>
      <c r="E479" s="1289"/>
      <c r="F479" s="1289"/>
    </row>
    <row r="480" spans="1:6">
      <c r="A480" s="433"/>
      <c r="B480" s="433"/>
      <c r="C480" s="433"/>
      <c r="D480" s="1289"/>
      <c r="E480" s="1289"/>
      <c r="F480" s="1289"/>
    </row>
    <row r="481" spans="1:9">
      <c r="A481" s="433"/>
      <c r="C481" s="433"/>
      <c r="D481" s="1289"/>
      <c r="E481" s="1289"/>
      <c r="F481" s="1289"/>
    </row>
    <row r="482" spans="1:9">
      <c r="A482" s="433"/>
      <c r="C482" s="433"/>
      <c r="D482" s="1289"/>
      <c r="E482" s="1289"/>
      <c r="F482" s="1289"/>
    </row>
    <row r="483" spans="1:9">
      <c r="A483" s="433"/>
      <c r="C483" s="433"/>
      <c r="D483" s="1289"/>
      <c r="E483" s="1289"/>
      <c r="F483" s="1289"/>
    </row>
    <row r="484" spans="1:9">
      <c r="A484" s="433"/>
      <c r="B484" s="519" t="s">
        <v>2657</v>
      </c>
      <c r="C484" s="433"/>
      <c r="D484" s="1289"/>
      <c r="E484" s="1289"/>
      <c r="F484" s="1289"/>
    </row>
    <row r="485" spans="1:9">
      <c r="A485" s="433"/>
      <c r="C485" s="433"/>
      <c r="D485" s="1289"/>
      <c r="E485" s="1289"/>
      <c r="F485" s="1289"/>
    </row>
    <row r="486" spans="1:9">
      <c r="A486" s="433"/>
      <c r="B486" s="519" t="s">
        <v>2657</v>
      </c>
      <c r="C486" s="433"/>
      <c r="D486" s="1289" t="s">
        <v>1273</v>
      </c>
      <c r="E486" s="1289"/>
      <c r="F486" s="1289"/>
    </row>
    <row r="487" spans="1:9">
      <c r="A487" s="433"/>
      <c r="B487" s="433"/>
      <c r="C487" s="433"/>
      <c r="D487" s="1289"/>
      <c r="E487" s="1289"/>
      <c r="F487" s="1289"/>
    </row>
    <row r="488" spans="1:9">
      <c r="A488" s="433"/>
      <c r="B488" s="433"/>
      <c r="C488" s="433"/>
      <c r="D488" s="1289"/>
      <c r="E488" s="1289"/>
      <c r="F488" s="1289"/>
    </row>
    <row r="489" spans="1:9">
      <c r="A489" s="433"/>
      <c r="B489" s="433"/>
      <c r="C489" s="433"/>
      <c r="D489" s="1289"/>
      <c r="E489" s="1289"/>
      <c r="F489" s="1289"/>
    </row>
    <row r="490" spans="1:9">
      <c r="D490" s="1289"/>
      <c r="E490" s="1289"/>
      <c r="F490" s="1289"/>
    </row>
    <row r="491" spans="1:9">
      <c r="D491" s="480"/>
      <c r="E491" s="480"/>
      <c r="F491" s="480"/>
    </row>
    <row r="492" spans="1:9">
      <c r="B492" s="519" t="s">
        <v>2657</v>
      </c>
      <c r="D492" s="1290" t="s">
        <v>1274</v>
      </c>
      <c r="E492" s="1290"/>
      <c r="F492" s="1290"/>
    </row>
    <row r="493" spans="1:9">
      <c r="A493" s="480"/>
      <c r="B493" s="480"/>
    </row>
    <row r="494" spans="1:9">
      <c r="A494" s="1277" t="s">
        <v>1115</v>
      </c>
      <c r="B494" s="1277"/>
      <c r="C494" s="1277"/>
      <c r="D494" s="1277"/>
      <c r="E494" s="1277"/>
      <c r="F494" s="1277"/>
      <c r="G494" s="1277"/>
      <c r="H494" s="1070"/>
      <c r="I494" s="1071"/>
    </row>
    <row r="495" spans="1:9">
      <c r="A495" s="480"/>
      <c r="B495" s="480"/>
    </row>
    <row r="496" spans="1:9">
      <c r="D496" s="1274" t="s">
        <v>912</v>
      </c>
      <c r="E496" s="1274"/>
      <c r="F496" s="1274"/>
    </row>
    <row r="497" spans="1:9" ht="14.4">
      <c r="A497" s="518"/>
      <c r="B497" s="518"/>
      <c r="D497" s="1275" t="s">
        <v>1275</v>
      </c>
      <c r="E497" s="1275"/>
      <c r="F497" s="1275"/>
    </row>
    <row r="498" spans="1:9" ht="14.4">
      <c r="A498" s="518"/>
      <c r="B498" s="518"/>
      <c r="D498" s="481"/>
    </row>
    <row r="499" spans="1:9" ht="14.4">
      <c r="A499" s="518"/>
      <c r="B499" s="519" t="s">
        <v>2657</v>
      </c>
      <c r="D499" s="1271" t="s">
        <v>1276</v>
      </c>
      <c r="E499" s="1271"/>
      <c r="F499" s="1271"/>
      <c r="I499" s="435" t="s">
        <v>2168</v>
      </c>
    </row>
    <row r="500" spans="1:9" ht="14.4">
      <c r="A500" s="518"/>
      <c r="B500" s="518"/>
      <c r="D500" s="1271"/>
      <c r="E500" s="1271"/>
      <c r="F500" s="1271"/>
    </row>
    <row r="501" spans="1:9" ht="14.4">
      <c r="A501" s="518"/>
      <c r="B501" s="518"/>
      <c r="D501" s="480"/>
    </row>
    <row r="502" spans="1:9" ht="12.75" customHeight="1">
      <c r="B502" s="519" t="s">
        <v>2657</v>
      </c>
      <c r="D502" s="1276" t="s">
        <v>1431</v>
      </c>
      <c r="E502" s="1276"/>
      <c r="F502" s="1276"/>
      <c r="I502" s="435" t="s">
        <v>2169</v>
      </c>
    </row>
    <row r="503" spans="1:9" ht="14.4">
      <c r="A503" s="518"/>
      <c r="D503" s="1276"/>
      <c r="E503" s="1276"/>
      <c r="F503" s="1276"/>
    </row>
    <row r="504" spans="1:9" ht="14.4">
      <c r="A504" s="518"/>
      <c r="B504" s="518"/>
      <c r="D504" s="1276"/>
      <c r="E504" s="1276"/>
      <c r="F504" s="1276"/>
    </row>
    <row r="505" spans="1:9" ht="14.4">
      <c r="A505" s="518"/>
      <c r="B505" s="518"/>
      <c r="D505" s="1276"/>
      <c r="E505" s="1276"/>
      <c r="F505" s="1276"/>
    </row>
    <row r="506" spans="1:9" ht="14.4">
      <c r="A506" s="518"/>
      <c r="D506" s="554"/>
      <c r="E506" s="554"/>
      <c r="F506" s="554"/>
    </row>
    <row r="507" spans="1:9" ht="14.4">
      <c r="A507" s="518"/>
      <c r="B507" s="519" t="s">
        <v>2657</v>
      </c>
      <c r="D507" s="1290" t="s">
        <v>1279</v>
      </c>
      <c r="E507" s="1290"/>
      <c r="F507" s="1290"/>
      <c r="I507" s="435" t="s">
        <v>2170</v>
      </c>
    </row>
    <row r="508" spans="1:9" ht="14.4">
      <c r="A508" s="518"/>
      <c r="B508" s="518"/>
      <c r="D508" s="480"/>
    </row>
    <row r="509" spans="1:9" ht="14.4">
      <c r="A509" s="518"/>
      <c r="B509" s="519" t="s">
        <v>2657</v>
      </c>
      <c r="D509" s="1289" t="s">
        <v>1280</v>
      </c>
      <c r="E509" s="1289"/>
      <c r="F509" s="1289"/>
      <c r="I509" s="435" t="s">
        <v>2170</v>
      </c>
    </row>
    <row r="510" spans="1:9" ht="14.4">
      <c r="A510" s="518"/>
      <c r="D510" s="1289"/>
      <c r="E510" s="1289"/>
      <c r="F510" s="1289"/>
    </row>
    <row r="511" spans="1:9">
      <c r="A511" s="524"/>
      <c r="B511" s="524"/>
      <c r="D511" s="481"/>
    </row>
    <row r="512" spans="1:9">
      <c r="A512" s="524"/>
      <c r="B512" s="519" t="s">
        <v>2657</v>
      </c>
      <c r="D512" s="1290" t="s">
        <v>1281</v>
      </c>
      <c r="E512" s="1290"/>
      <c r="F512" s="1290"/>
      <c r="I512" s="435" t="s">
        <v>2223</v>
      </c>
    </row>
    <row r="513" spans="1:9" ht="14.4">
      <c r="A513" s="518"/>
      <c r="B513" s="518"/>
      <c r="D513" s="480"/>
    </row>
    <row r="514" spans="1:9">
      <c r="A514" s="1277" t="s">
        <v>1116</v>
      </c>
      <c r="B514" s="1277"/>
      <c r="C514" s="1277"/>
      <c r="D514" s="1277"/>
      <c r="E514" s="1277"/>
      <c r="F514" s="1277"/>
      <c r="G514" s="1277"/>
      <c r="H514" s="1070"/>
      <c r="I514" s="1071"/>
    </row>
    <row r="515" spans="1:9" ht="12" customHeight="1">
      <c r="A515" s="518"/>
      <c r="B515" s="518"/>
      <c r="D515" s="480"/>
    </row>
    <row r="516" spans="1:9">
      <c r="C516" s="516"/>
      <c r="D516" s="1288" t="s">
        <v>817</v>
      </c>
      <c r="E516" s="1288"/>
      <c r="F516" s="1288"/>
    </row>
    <row r="517" spans="1:9">
      <c r="C517" s="516"/>
      <c r="D517" s="540" t="s">
        <v>1342</v>
      </c>
      <c r="E517" s="540"/>
      <c r="F517" s="540"/>
    </row>
    <row r="518" spans="1:9">
      <c r="C518" s="516"/>
      <c r="D518" s="540" t="s">
        <v>1343</v>
      </c>
      <c r="E518" s="540"/>
      <c r="F518" s="540"/>
    </row>
    <row r="519" spans="1:9">
      <c r="C519" s="516"/>
      <c r="D519" s="515"/>
      <c r="E519" s="515"/>
      <c r="F519" s="515"/>
    </row>
    <row r="520" spans="1:9" ht="13.65" customHeight="1">
      <c r="A520" s="517"/>
      <c r="B520" s="519" t="s">
        <v>1106</v>
      </c>
      <c r="C520" s="517"/>
      <c r="D520" s="1271" t="s">
        <v>2459</v>
      </c>
      <c r="E520" s="1271"/>
      <c r="F520" s="1271"/>
      <c r="I520" s="435" t="s">
        <v>2205</v>
      </c>
    </row>
    <row r="521" spans="1:9">
      <c r="A521" s="517"/>
      <c r="B521" s="517"/>
      <c r="C521" s="517"/>
      <c r="D521" s="1271"/>
      <c r="E521" s="1271"/>
      <c r="F521" s="1271"/>
    </row>
    <row r="522" spans="1:9">
      <c r="A522" s="517"/>
      <c r="B522" s="517"/>
      <c r="C522" s="517"/>
      <c r="D522" s="485"/>
      <c r="E522" s="485"/>
      <c r="F522" s="485"/>
      <c r="I522" s="433"/>
    </row>
    <row r="523" spans="1:9" ht="12.75" customHeight="1">
      <c r="A523" s="517"/>
      <c r="B523" s="519" t="s">
        <v>2657</v>
      </c>
      <c r="D523" s="417" t="s">
        <v>2285</v>
      </c>
      <c r="E523" s="416"/>
      <c r="F523" s="416"/>
      <c r="I523" s="435" t="s">
        <v>2171</v>
      </c>
    </row>
    <row r="524" spans="1:9">
      <c r="A524" s="517"/>
      <c r="B524" s="517"/>
      <c r="C524" s="517"/>
      <c r="D524" s="416"/>
      <c r="E524" s="96" t="s">
        <v>2286</v>
      </c>
    </row>
    <row r="525" spans="1:9">
      <c r="A525" s="517"/>
      <c r="B525" s="517"/>
      <c r="D525" s="1319" t="s">
        <v>2460</v>
      </c>
      <c r="E525" s="1319"/>
      <c r="F525" s="1319"/>
    </row>
    <row r="526" spans="1:9">
      <c r="A526" s="517"/>
      <c r="B526" s="517"/>
      <c r="D526" s="1319"/>
      <c r="E526" s="1319"/>
      <c r="F526" s="1319"/>
    </row>
    <row r="527" spans="1:9">
      <c r="A527" s="517"/>
      <c r="B527" s="517"/>
      <c r="C527" s="517"/>
      <c r="D527" s="1319"/>
      <c r="E527" s="1319"/>
      <c r="F527" s="1319"/>
    </row>
    <row r="528" spans="1:9">
      <c r="A528" s="517"/>
      <c r="B528" s="517"/>
      <c r="C528" s="517"/>
      <c r="D528" s="532"/>
      <c r="F528" s="480"/>
    </row>
    <row r="529" spans="1:9" ht="13.35" customHeight="1">
      <c r="A529" s="517"/>
      <c r="B529" s="519" t="s">
        <v>2657</v>
      </c>
      <c r="C529" s="517"/>
      <c r="D529" s="1289" t="s">
        <v>2461</v>
      </c>
      <c r="E529" s="1289"/>
      <c r="F529" s="1289"/>
      <c r="I529" s="435" t="s">
        <v>2171</v>
      </c>
    </row>
    <row r="530" spans="1:9">
      <c r="A530" s="517"/>
      <c r="B530" s="517"/>
      <c r="C530" s="517"/>
      <c r="D530" s="1289"/>
      <c r="E530" s="1289"/>
      <c r="F530" s="1289"/>
    </row>
    <row r="531" spans="1:9" ht="12" customHeight="1">
      <c r="A531" s="480"/>
      <c r="B531" s="480"/>
      <c r="C531" s="521"/>
      <c r="D531" s="480"/>
      <c r="F531" s="482"/>
    </row>
    <row r="532" spans="1:9">
      <c r="A532" s="1277" t="s">
        <v>1117</v>
      </c>
      <c r="B532" s="1277"/>
      <c r="C532" s="1277"/>
      <c r="D532" s="1277"/>
      <c r="E532" s="1277"/>
      <c r="F532" s="1277"/>
      <c r="G532" s="1277"/>
      <c r="H532" s="1070"/>
      <c r="I532" s="1071"/>
    </row>
    <row r="533" spans="1:9">
      <c r="A533" s="480"/>
      <c r="B533" s="480"/>
      <c r="C533" s="521"/>
      <c r="F533" s="482"/>
    </row>
    <row r="534" spans="1:9">
      <c r="B534" s="1292" t="s">
        <v>449</v>
      </c>
      <c r="C534" s="1292"/>
      <c r="D534" s="1292"/>
      <c r="E534" s="1292"/>
      <c r="F534" s="1292"/>
    </row>
    <row r="535" spans="1:9">
      <c r="A535" s="480"/>
      <c r="B535" s="480"/>
      <c r="C535" s="521"/>
      <c r="D535" s="480"/>
      <c r="F535" s="480"/>
    </row>
    <row r="536" spans="1:9">
      <c r="A536" s="1308" t="s">
        <v>1118</v>
      </c>
      <c r="B536" s="1308"/>
      <c r="C536" s="1308"/>
      <c r="D536" s="1308"/>
      <c r="E536" s="1308"/>
      <c r="F536" s="1308"/>
      <c r="G536" s="1308"/>
      <c r="H536" s="1070"/>
      <c r="I536" s="1071"/>
    </row>
    <row r="537" spans="1:9">
      <c r="A537" s="480"/>
      <c r="B537" s="480"/>
      <c r="C537" s="521"/>
      <c r="D537" s="480"/>
      <c r="F537" s="480"/>
    </row>
    <row r="538" spans="1:9">
      <c r="C538" s="521"/>
      <c r="D538" s="1288" t="s">
        <v>692</v>
      </c>
      <c r="E538" s="1288"/>
      <c r="F538" s="1288"/>
    </row>
    <row r="539" spans="1:9">
      <c r="C539" s="521"/>
      <c r="D539" s="1290" t="s">
        <v>1175</v>
      </c>
      <c r="E539" s="1290"/>
      <c r="F539" s="1290"/>
    </row>
    <row r="540" spans="1:9">
      <c r="C540" s="521"/>
      <c r="D540" s="480"/>
      <c r="E540" s="480"/>
      <c r="F540" s="480"/>
    </row>
    <row r="541" spans="1:9" ht="13.65" customHeight="1">
      <c r="A541" s="518"/>
      <c r="B541" s="519" t="s">
        <v>1106</v>
      </c>
      <c r="C541" s="521"/>
      <c r="D541" s="1290" t="s">
        <v>913</v>
      </c>
      <c r="E541" s="1290"/>
      <c r="F541" s="1290"/>
      <c r="I541" s="435" t="s">
        <v>2221</v>
      </c>
    </row>
    <row r="542" spans="1:9" ht="13.65" customHeight="1">
      <c r="A542" s="521"/>
      <c r="B542" s="521"/>
      <c r="C542" s="521"/>
      <c r="D542" s="480"/>
    </row>
    <row r="543" spans="1:9" ht="14.4">
      <c r="A543" s="518"/>
      <c r="B543" s="519" t="s">
        <v>1106</v>
      </c>
      <c r="C543" s="521"/>
      <c r="D543" s="1289" t="s">
        <v>1176</v>
      </c>
      <c r="E543" s="1289"/>
      <c r="F543" s="1289"/>
      <c r="I543" s="435" t="s">
        <v>2221</v>
      </c>
    </row>
    <row r="544" spans="1:9">
      <c r="A544" s="521"/>
      <c r="B544" s="521"/>
      <c r="C544" s="521"/>
      <c r="D544" s="1289"/>
      <c r="E544" s="1289"/>
      <c r="F544" s="1289"/>
    </row>
    <row r="545" spans="1:9">
      <c r="A545" s="521"/>
      <c r="B545" s="521"/>
      <c r="C545" s="521"/>
      <c r="D545" s="480"/>
      <c r="E545" s="480"/>
      <c r="F545" s="480"/>
    </row>
    <row r="546" spans="1:9" ht="14.4">
      <c r="A546" s="518"/>
      <c r="B546" s="519" t="s">
        <v>1106</v>
      </c>
      <c r="C546" s="521"/>
      <c r="D546" s="1289" t="s">
        <v>1177</v>
      </c>
      <c r="E546" s="1289"/>
      <c r="F546" s="1289"/>
      <c r="I546" s="435" t="s">
        <v>2172</v>
      </c>
    </row>
    <row r="547" spans="1:9">
      <c r="A547" s="521"/>
      <c r="B547" s="521"/>
      <c r="C547" s="521"/>
      <c r="D547" s="1289"/>
      <c r="E547" s="1289"/>
      <c r="F547" s="1289"/>
    </row>
    <row r="548" spans="1:9">
      <c r="A548" s="521"/>
      <c r="B548" s="521"/>
      <c r="C548" s="521"/>
      <c r="D548" s="480"/>
      <c r="E548" s="480"/>
      <c r="F548" s="480"/>
    </row>
    <row r="549" spans="1:9" ht="14.4">
      <c r="A549" s="518"/>
      <c r="B549" s="519" t="s">
        <v>1106</v>
      </c>
      <c r="C549" s="521"/>
      <c r="D549" s="1289" t="s">
        <v>1178</v>
      </c>
      <c r="E549" s="1289"/>
      <c r="F549" s="1289"/>
      <c r="I549" s="435" t="s">
        <v>2173</v>
      </c>
    </row>
    <row r="550" spans="1:9">
      <c r="A550" s="521"/>
      <c r="B550" s="521"/>
      <c r="C550" s="521"/>
      <c r="D550" s="1289"/>
      <c r="E550" s="1289"/>
      <c r="F550" s="1289"/>
    </row>
    <row r="551" spans="1:9">
      <c r="A551" s="521"/>
      <c r="B551" s="521"/>
      <c r="C551" s="521"/>
      <c r="D551" s="480"/>
      <c r="E551" s="480"/>
      <c r="F551" s="480"/>
    </row>
    <row r="552" spans="1:9" ht="14.4">
      <c r="A552" s="518"/>
      <c r="B552" s="519" t="s">
        <v>1106</v>
      </c>
      <c r="C552" s="521"/>
      <c r="D552" s="1289" t="s">
        <v>1179</v>
      </c>
      <c r="E552" s="1289"/>
      <c r="F552" s="1289"/>
      <c r="I552" s="435" t="s">
        <v>2222</v>
      </c>
    </row>
    <row r="553" spans="1:9">
      <c r="A553" s="521"/>
      <c r="B553" s="521"/>
      <c r="C553" s="521"/>
      <c r="D553" s="1289"/>
      <c r="E553" s="1289"/>
      <c r="F553" s="1289"/>
    </row>
    <row r="554" spans="1:9">
      <c r="A554" s="521"/>
      <c r="B554" s="521"/>
      <c r="C554" s="521"/>
      <c r="D554" s="1289"/>
      <c r="E554" s="1289"/>
      <c r="F554" s="1289"/>
    </row>
    <row r="555" spans="1:9">
      <c r="A555" s="521"/>
      <c r="B555" s="521"/>
      <c r="C555" s="521"/>
      <c r="D555" s="480"/>
      <c r="E555" s="480"/>
      <c r="F555" s="480"/>
    </row>
    <row r="556" spans="1:9" ht="14.4">
      <c r="A556" s="518"/>
      <c r="B556" s="519" t="s">
        <v>2657</v>
      </c>
      <c r="C556" s="521"/>
      <c r="D556" s="1289" t="s">
        <v>1297</v>
      </c>
      <c r="E556" s="1289"/>
      <c r="F556" s="1289"/>
      <c r="I556" s="435" t="s">
        <v>2221</v>
      </c>
    </row>
    <row r="557" spans="1:9">
      <c r="A557" s="521"/>
      <c r="B557" s="521"/>
      <c r="C557" s="521"/>
      <c r="D557" s="1289"/>
      <c r="E557" s="1289"/>
      <c r="F557" s="1289"/>
    </row>
    <row r="558" spans="1:9">
      <c r="A558" s="521"/>
      <c r="B558" s="521"/>
      <c r="C558" s="521"/>
      <c r="D558" s="480"/>
      <c r="E558" s="480"/>
      <c r="F558" s="480"/>
    </row>
    <row r="559" spans="1:9" ht="14.4">
      <c r="A559" s="518"/>
      <c r="B559" s="519" t="s">
        <v>1106</v>
      </c>
      <c r="C559" s="521"/>
      <c r="D559" s="1289" t="s">
        <v>1181</v>
      </c>
      <c r="E559" s="1289"/>
      <c r="F559" s="1289"/>
      <c r="I559" s="435" t="s">
        <v>2221</v>
      </c>
    </row>
    <row r="560" spans="1:9">
      <c r="A560" s="521"/>
      <c r="B560" s="521"/>
      <c r="C560" s="521"/>
      <c r="D560" s="1289"/>
      <c r="E560" s="1289"/>
      <c r="F560" s="1289"/>
    </row>
    <row r="561" spans="1:9">
      <c r="A561" s="521"/>
      <c r="B561" s="521"/>
      <c r="C561" s="521"/>
      <c r="D561" s="480"/>
      <c r="E561" s="480"/>
      <c r="F561" s="480"/>
    </row>
    <row r="562" spans="1:9" ht="14.4">
      <c r="A562" s="518"/>
      <c r="B562" s="519" t="s">
        <v>1106</v>
      </c>
      <c r="C562" s="521"/>
      <c r="D562" s="1290" t="s">
        <v>1182</v>
      </c>
      <c r="E562" s="1290"/>
      <c r="F562" s="1290"/>
      <c r="I562" s="435" t="s">
        <v>2224</v>
      </c>
    </row>
    <row r="563" spans="1:9">
      <c r="A563" s="524"/>
      <c r="B563" s="524"/>
      <c r="C563" s="521"/>
      <c r="D563" s="1290" t="s">
        <v>2288</v>
      </c>
      <c r="E563" s="1290"/>
      <c r="F563" s="1290"/>
    </row>
    <row r="564" spans="1:9">
      <c r="A564" s="524"/>
      <c r="B564" s="524"/>
      <c r="C564" s="521"/>
      <c r="E564" s="96" t="s">
        <v>2287</v>
      </c>
      <c r="F564" s="435"/>
    </row>
    <row r="565" spans="1:9" ht="14.4">
      <c r="A565" s="518"/>
      <c r="B565" s="518"/>
      <c r="C565" s="521"/>
      <c r="E565" s="480"/>
      <c r="F565" s="480"/>
    </row>
    <row r="566" spans="1:9" ht="14.4">
      <c r="A566" s="518"/>
      <c r="B566" s="519" t="s">
        <v>1106</v>
      </c>
      <c r="C566" s="521"/>
      <c r="D566" s="1290" t="s">
        <v>1184</v>
      </c>
      <c r="E566" s="1290"/>
      <c r="F566" s="1290"/>
      <c r="I566" s="435" t="s">
        <v>2174</v>
      </c>
    </row>
    <row r="567" spans="1:9">
      <c r="C567" s="521"/>
      <c r="D567" s="1289" t="s">
        <v>1185</v>
      </c>
      <c r="E567" s="1289"/>
      <c r="F567" s="1289"/>
    </row>
    <row r="568" spans="1:9">
      <c r="A568" s="521"/>
      <c r="B568" s="521"/>
      <c r="C568" s="521"/>
      <c r="D568" s="1289"/>
      <c r="E568" s="1289"/>
      <c r="F568" s="1289"/>
    </row>
    <row r="569" spans="1:9">
      <c r="A569" s="521"/>
      <c r="B569" s="521"/>
      <c r="C569" s="521"/>
      <c r="D569" s="1289"/>
      <c r="E569" s="1289"/>
      <c r="F569" s="1289"/>
    </row>
    <row r="570" spans="1:9">
      <c r="A570" s="521"/>
      <c r="B570" s="521"/>
      <c r="C570" s="521"/>
      <c r="D570" s="480"/>
      <c r="E570" s="480"/>
      <c r="F570" s="480"/>
    </row>
    <row r="571" spans="1:9" ht="14.4">
      <c r="A571" s="518"/>
      <c r="B571" s="519" t="s">
        <v>1106</v>
      </c>
      <c r="C571" s="521"/>
      <c r="D571" s="1289" t="s">
        <v>2462</v>
      </c>
      <c r="E571" s="1289"/>
      <c r="F571" s="1289"/>
      <c r="I571" s="435" t="s">
        <v>2175</v>
      </c>
    </row>
    <row r="572" spans="1:9" ht="14.4">
      <c r="A572" s="518"/>
      <c r="B572" s="518"/>
      <c r="C572" s="521"/>
      <c r="D572" s="1289"/>
      <c r="E572" s="1289"/>
      <c r="F572" s="1289"/>
    </row>
    <row r="573" spans="1:9" ht="14.4">
      <c r="A573" s="518"/>
      <c r="B573" s="518"/>
      <c r="C573" s="521"/>
      <c r="D573" s="1289"/>
      <c r="E573" s="1289"/>
      <c r="F573" s="1289"/>
    </row>
    <row r="574" spans="1:9" ht="14.4">
      <c r="A574" s="518"/>
      <c r="B574" s="518"/>
      <c r="C574" s="521"/>
      <c r="D574" s="1289"/>
      <c r="E574" s="1289"/>
      <c r="F574" s="1289"/>
    </row>
    <row r="575" spans="1:9" ht="14.4">
      <c r="A575" s="518"/>
      <c r="B575" s="518"/>
      <c r="C575" s="521"/>
      <c r="D575" s="480"/>
      <c r="E575" s="480"/>
      <c r="F575" s="480"/>
    </row>
    <row r="576" spans="1:9">
      <c r="A576" s="1277" t="s">
        <v>1119</v>
      </c>
      <c r="B576" s="1277"/>
      <c r="C576" s="1277"/>
      <c r="D576" s="1277"/>
      <c r="E576" s="1277"/>
      <c r="F576" s="1277"/>
      <c r="G576" s="1277"/>
      <c r="H576" s="1070"/>
      <c r="I576" s="1071"/>
    </row>
    <row r="577" spans="1:9">
      <c r="A577" s="521"/>
      <c r="B577" s="521"/>
      <c r="C577" s="521"/>
      <c r="E577" s="480"/>
      <c r="F577" s="480"/>
    </row>
    <row r="578" spans="1:9" ht="12.75" customHeight="1">
      <c r="C578" s="516"/>
      <c r="D578" s="1291" t="s">
        <v>212</v>
      </c>
      <c r="E578" s="1291"/>
      <c r="F578" s="1291"/>
    </row>
    <row r="579" spans="1:9">
      <c r="A579" s="517"/>
      <c r="B579" s="517"/>
      <c r="C579" s="517"/>
      <c r="D579" s="1276" t="s">
        <v>1135</v>
      </c>
      <c r="E579" s="1276"/>
      <c r="F579" s="1276"/>
    </row>
    <row r="580" spans="1:9">
      <c r="A580" s="433"/>
      <c r="B580" s="433"/>
      <c r="C580" s="517"/>
      <c r="D580" s="533"/>
      <c r="I580" s="435" t="s">
        <v>2176</v>
      </c>
    </row>
    <row r="581" spans="1:9">
      <c r="A581" s="517"/>
      <c r="B581" s="519" t="s">
        <v>1106</v>
      </c>
      <c r="D581" s="1276" t="s">
        <v>919</v>
      </c>
      <c r="E581" s="1276"/>
      <c r="F581" s="1276"/>
    </row>
    <row r="582" spans="1:9">
      <c r="A582" s="524"/>
      <c r="B582" s="524"/>
      <c r="D582" s="510"/>
    </row>
    <row r="583" spans="1:9">
      <c r="A583" s="524"/>
      <c r="B583" s="519" t="s">
        <v>1106</v>
      </c>
      <c r="D583" s="1276" t="s">
        <v>2463</v>
      </c>
      <c r="E583" s="1276"/>
      <c r="F583" s="1276"/>
      <c r="I583" s="435" t="s">
        <v>2178</v>
      </c>
    </row>
    <row r="584" spans="1:9">
      <c r="A584" s="524"/>
      <c r="B584" s="524"/>
      <c r="D584" s="1276"/>
      <c r="E584" s="1276"/>
      <c r="F584" s="1276"/>
      <c r="I584" s="435" t="s">
        <v>2177</v>
      </c>
    </row>
    <row r="585" spans="1:9">
      <c r="A585" s="524"/>
      <c r="B585" s="524"/>
      <c r="D585" s="1276"/>
      <c r="E585" s="1276"/>
      <c r="F585" s="1276"/>
    </row>
    <row r="586" spans="1:9">
      <c r="A586" s="524"/>
      <c r="B586" s="524"/>
      <c r="D586" s="1276"/>
      <c r="E586" s="1276"/>
      <c r="F586" s="1276"/>
    </row>
    <row r="587" spans="1:9">
      <c r="A587" s="524"/>
      <c r="B587" s="519" t="s">
        <v>2657</v>
      </c>
      <c r="D587" s="1276" t="s">
        <v>1137</v>
      </c>
      <c r="E587" s="1276"/>
      <c r="F587" s="1276"/>
    </row>
    <row r="588" spans="1:9">
      <c r="A588" s="524"/>
      <c r="B588" s="524"/>
      <c r="D588" s="1276"/>
      <c r="E588" s="1276"/>
      <c r="F588" s="1276"/>
    </row>
    <row r="589" spans="1:9">
      <c r="A589" s="524"/>
      <c r="B589" s="524"/>
      <c r="D589" s="1276"/>
      <c r="E589" s="1276"/>
      <c r="F589" s="1276"/>
    </row>
    <row r="590" spans="1:9">
      <c r="A590" s="524"/>
      <c r="B590" s="524"/>
      <c r="D590" s="1276"/>
      <c r="E590" s="1276"/>
      <c r="F590" s="1276"/>
    </row>
    <row r="591" spans="1:9">
      <c r="A591" s="524"/>
      <c r="B591" s="524"/>
      <c r="D591" s="473"/>
      <c r="E591" s="473"/>
      <c r="F591" s="473"/>
    </row>
    <row r="592" spans="1:9">
      <c r="A592" s="524"/>
      <c r="B592" s="519" t="s">
        <v>1106</v>
      </c>
      <c r="D592" s="1276" t="s">
        <v>2464</v>
      </c>
      <c r="E592" s="1276"/>
      <c r="F592" s="1276"/>
    </row>
    <row r="593" spans="1:9">
      <c r="A593" s="524"/>
      <c r="B593" s="524"/>
      <c r="D593" s="1276"/>
      <c r="E593" s="1276"/>
      <c r="F593" s="1276"/>
    </row>
    <row r="594" spans="1:9">
      <c r="A594" s="524"/>
      <c r="B594" s="524"/>
      <c r="D594" s="533"/>
    </row>
    <row r="595" spans="1:9">
      <c r="A595" s="524"/>
      <c r="B595" s="519" t="s">
        <v>2657</v>
      </c>
      <c r="D595" s="1276" t="s">
        <v>1139</v>
      </c>
      <c r="E595" s="1276"/>
      <c r="F595" s="1276"/>
      <c r="I595" s="435" t="s">
        <v>2225</v>
      </c>
    </row>
    <row r="596" spans="1:9">
      <c r="A596" s="524"/>
      <c r="B596" s="524"/>
      <c r="D596" s="1276"/>
      <c r="E596" s="1276"/>
      <c r="F596" s="1276"/>
    </row>
    <row r="597" spans="1:9" ht="14.4">
      <c r="A597" s="518"/>
      <c r="B597" s="518"/>
      <c r="D597" s="533"/>
    </row>
    <row r="598" spans="1:9">
      <c r="A598" s="1277" t="s">
        <v>1120</v>
      </c>
      <c r="B598" s="1277"/>
      <c r="C598" s="1277"/>
      <c r="D598" s="1277"/>
      <c r="E598" s="1277"/>
      <c r="F598" s="1277"/>
      <c r="G598" s="1277"/>
      <c r="H598" s="1070"/>
      <c r="I598" s="1071"/>
    </row>
    <row r="599" spans="1:9"/>
    <row r="600" spans="1:9">
      <c r="D600" s="1288" t="s">
        <v>1220</v>
      </c>
      <c r="E600" s="1288"/>
      <c r="F600" s="1288"/>
    </row>
    <row r="601" spans="1:9">
      <c r="D601" s="1311" t="s">
        <v>1221</v>
      </c>
      <c r="E601" s="1311"/>
      <c r="F601" s="1311"/>
    </row>
    <row r="602" spans="1:9">
      <c r="D602" s="478"/>
    </row>
    <row r="603" spans="1:9" ht="14.25" customHeight="1">
      <c r="A603" s="518"/>
      <c r="B603" s="519" t="s">
        <v>1106</v>
      </c>
      <c r="D603" s="1331" t="s">
        <v>2289</v>
      </c>
      <c r="E603" s="1331"/>
      <c r="F603" s="1331"/>
      <c r="I603" s="435" t="s">
        <v>2206</v>
      </c>
    </row>
    <row r="604" spans="1:9">
      <c r="D604" s="1331"/>
      <c r="E604" s="1331"/>
      <c r="F604" s="1331"/>
    </row>
    <row r="605" spans="1:9">
      <c r="D605" s="416"/>
      <c r="E605" s="1079" t="s">
        <v>2290</v>
      </c>
      <c r="F605" s="416"/>
    </row>
    <row r="606" spans="1:9"/>
    <row r="607" spans="1:9">
      <c r="A607" s="1277" t="s">
        <v>1121</v>
      </c>
      <c r="B607" s="1277"/>
      <c r="C607" s="1277"/>
      <c r="D607" s="1277"/>
      <c r="E607" s="1277"/>
      <c r="F607" s="1277"/>
      <c r="G607" s="1277"/>
      <c r="H607" s="1070"/>
      <c r="I607" s="1071"/>
    </row>
    <row r="608" spans="1:9">
      <c r="A608" s="480"/>
      <c r="B608" s="480"/>
    </row>
    <row r="609" spans="1:9">
      <c r="A609" s="516"/>
      <c r="B609" s="516"/>
      <c r="C609" s="516"/>
      <c r="D609" s="1312" t="s">
        <v>1223</v>
      </c>
      <c r="E609" s="1312"/>
      <c r="F609" s="1312"/>
    </row>
    <row r="610" spans="1:9">
      <c r="A610" s="516"/>
      <c r="B610" s="516"/>
      <c r="C610" s="516"/>
      <c r="D610" s="1312"/>
      <c r="E610" s="1312"/>
      <c r="F610" s="1312"/>
    </row>
    <row r="611" spans="1:9">
      <c r="C611" s="517"/>
      <c r="D611" s="1311" t="s">
        <v>1224</v>
      </c>
      <c r="E611" s="1311"/>
      <c r="F611" s="1311"/>
    </row>
    <row r="612" spans="1:9">
      <c r="C612" s="517"/>
      <c r="D612" s="478"/>
      <c r="E612" s="478"/>
      <c r="F612" s="478"/>
    </row>
    <row r="613" spans="1:9" ht="12.75" customHeight="1">
      <c r="A613" s="524"/>
      <c r="B613" s="519" t="s">
        <v>1106</v>
      </c>
      <c r="D613" s="1287" t="s">
        <v>1225</v>
      </c>
      <c r="E613" s="1287"/>
      <c r="F613" s="1287"/>
      <c r="I613" s="435" t="s">
        <v>2226</v>
      </c>
    </row>
    <row r="614" spans="1:9">
      <c r="D614" s="1287"/>
      <c r="E614" s="1287"/>
      <c r="F614" s="1287"/>
    </row>
    <row r="615" spans="1:9"/>
    <row r="616" spans="1:9">
      <c r="B616" s="519" t="s">
        <v>1106</v>
      </c>
      <c r="D616" s="1287" t="s">
        <v>1226</v>
      </c>
      <c r="E616" s="1287"/>
      <c r="F616" s="1287"/>
      <c r="I616" s="435" t="s">
        <v>2179</v>
      </c>
    </row>
    <row r="617" spans="1:9">
      <c r="C617" s="534"/>
      <c r="D617" s="1287"/>
      <c r="E617" s="1287"/>
      <c r="F617" s="1287"/>
    </row>
    <row r="618" spans="1:9">
      <c r="C618" s="534"/>
    </row>
    <row r="619" spans="1:9">
      <c r="B619" s="519" t="s">
        <v>2657</v>
      </c>
      <c r="C619" s="534"/>
      <c r="D619" s="1287" t="s">
        <v>1227</v>
      </c>
      <c r="E619" s="1287"/>
      <c r="F619" s="1287"/>
      <c r="I619" s="435" t="s">
        <v>2227</v>
      </c>
    </row>
    <row r="620" spans="1:9">
      <c r="C620" s="534"/>
      <c r="D620" s="1287"/>
      <c r="E620" s="1287"/>
      <c r="F620" s="1287"/>
      <c r="I620" s="1067" t="s">
        <v>2228</v>
      </c>
    </row>
    <row r="621" spans="1:9">
      <c r="C621" s="534"/>
    </row>
    <row r="622" spans="1:9">
      <c r="A622" s="1277" t="s">
        <v>1122</v>
      </c>
      <c r="B622" s="1277"/>
      <c r="C622" s="1277"/>
      <c r="D622" s="1277"/>
      <c r="E622" s="1277"/>
      <c r="F622" s="1277"/>
      <c r="G622" s="1277"/>
      <c r="H622" s="1070"/>
      <c r="I622" s="1071"/>
    </row>
    <row r="623" spans="1:9">
      <c r="A623" s="516"/>
      <c r="B623" s="516"/>
      <c r="C623" s="516"/>
    </row>
    <row r="624" spans="1:9">
      <c r="C624" s="524"/>
      <c r="D624" s="1288" t="s">
        <v>1228</v>
      </c>
      <c r="E624" s="1288"/>
      <c r="F624" s="1288"/>
    </row>
    <row r="625" spans="1:9">
      <c r="A625" s="524"/>
      <c r="B625" s="524"/>
      <c r="D625" s="435"/>
    </row>
    <row r="626" spans="1:9" ht="14.25" customHeight="1">
      <c r="A626" s="518"/>
      <c r="B626" s="519" t="s">
        <v>2658</v>
      </c>
      <c r="D626" s="1331" t="s">
        <v>2465</v>
      </c>
      <c r="E626" s="1331"/>
      <c r="F626" s="1331"/>
      <c r="I626" s="435" t="s">
        <v>2207</v>
      </c>
    </row>
    <row r="627" spans="1:9">
      <c r="D627" s="1331"/>
      <c r="E627" s="1331"/>
      <c r="F627" s="1331"/>
    </row>
    <row r="628" spans="1:9">
      <c r="D628" s="416"/>
      <c r="E628" s="1079" t="s">
        <v>2292</v>
      </c>
      <c r="F628" s="416"/>
    </row>
    <row r="629" spans="1:9">
      <c r="D629" s="1289" t="s">
        <v>2291</v>
      </c>
      <c r="E629" s="1289"/>
      <c r="F629" s="1289"/>
    </row>
    <row r="630" spans="1:9">
      <c r="D630" s="1289"/>
      <c r="E630" s="1289"/>
      <c r="F630" s="1289"/>
    </row>
    <row r="631" spans="1:9">
      <c r="D631" s="1289"/>
      <c r="E631" s="1289"/>
      <c r="F631" s="1289"/>
    </row>
    <row r="632" spans="1:9">
      <c r="D632" s="479"/>
      <c r="E632" s="479"/>
      <c r="F632" s="479"/>
    </row>
    <row r="633" spans="1:9" ht="14.4">
      <c r="A633" s="518"/>
      <c r="B633" s="519" t="s">
        <v>2657</v>
      </c>
      <c r="D633" s="1289" t="s">
        <v>1230</v>
      </c>
      <c r="E633" s="1289"/>
      <c r="F633" s="1289"/>
      <c r="I633" s="435" t="s">
        <v>2229</v>
      </c>
    </row>
    <row r="634" spans="1:9">
      <c r="A634" s="521"/>
      <c r="B634" s="521"/>
      <c r="C634" s="521"/>
      <c r="D634" s="1289"/>
      <c r="E634" s="1289"/>
      <c r="F634" s="1289"/>
    </row>
    <row r="635" spans="1:9">
      <c r="A635" s="521"/>
      <c r="B635" s="521"/>
      <c r="C635" s="521"/>
      <c r="D635" s="480"/>
      <c r="E635" s="480"/>
      <c r="F635" s="480"/>
    </row>
    <row r="636" spans="1:9" ht="14.4">
      <c r="A636" s="518"/>
      <c r="B636" s="519" t="s">
        <v>2657</v>
      </c>
      <c r="C636" s="521"/>
      <c r="D636" s="1289" t="s">
        <v>1372</v>
      </c>
      <c r="E636" s="1289"/>
      <c r="F636" s="1289"/>
      <c r="I636" s="435" t="s">
        <v>2180</v>
      </c>
    </row>
    <row r="637" spans="1:9" ht="14.4">
      <c r="A637" s="518"/>
      <c r="B637" s="518"/>
      <c r="C637" s="521"/>
      <c r="D637" s="1289"/>
      <c r="E637" s="1289"/>
      <c r="F637" s="1289"/>
    </row>
    <row r="638" spans="1:9" ht="14.4">
      <c r="A638" s="518"/>
      <c r="B638" s="518"/>
      <c r="C638" s="521"/>
      <c r="D638" s="1289"/>
      <c r="E638" s="1289"/>
      <c r="F638" s="1289"/>
    </row>
    <row r="639" spans="1:9">
      <c r="A639" s="521"/>
      <c r="B639" s="519" t="s">
        <v>2657</v>
      </c>
      <c r="C639" s="521"/>
      <c r="D639" s="1290" t="s">
        <v>1232</v>
      </c>
      <c r="E639" s="1290"/>
      <c r="F639" s="1290"/>
      <c r="I639" s="435" t="s">
        <v>2180</v>
      </c>
    </row>
    <row r="640" spans="1:9">
      <c r="A640" s="521"/>
      <c r="B640" s="521"/>
      <c r="C640" s="521"/>
      <c r="D640" s="480"/>
      <c r="E640" s="480"/>
      <c r="F640" s="480"/>
    </row>
    <row r="641" spans="1:9">
      <c r="A641" s="1277" t="s">
        <v>1123</v>
      </c>
      <c r="B641" s="1277"/>
      <c r="C641" s="1277"/>
      <c r="D641" s="1277"/>
      <c r="E641" s="1277"/>
      <c r="F641" s="1277"/>
      <c r="G641" s="1277"/>
      <c r="H641" s="1070"/>
      <c r="I641" s="1071"/>
    </row>
    <row r="642" spans="1:9">
      <c r="A642" s="480"/>
      <c r="B642" s="480"/>
      <c r="C642" s="521"/>
      <c r="D642" s="480"/>
      <c r="E642" s="480"/>
      <c r="F642" s="480"/>
    </row>
    <row r="643" spans="1:9">
      <c r="C643" s="516"/>
      <c r="D643" s="1288" t="s">
        <v>1282</v>
      </c>
      <c r="E643" s="1288"/>
      <c r="F643" s="1288"/>
    </row>
    <row r="644" spans="1:9">
      <c r="A644" s="517"/>
      <c r="B644" s="517"/>
      <c r="C644" s="517"/>
      <c r="D644" s="1290" t="s">
        <v>1283</v>
      </c>
      <c r="E644" s="1290"/>
      <c r="F644" s="1290"/>
    </row>
    <row r="645" spans="1:9">
      <c r="A645" s="517"/>
      <c r="B645" s="517"/>
      <c r="C645" s="517"/>
      <c r="D645" s="480"/>
      <c r="E645" s="480"/>
      <c r="F645" s="480"/>
    </row>
    <row r="646" spans="1:9" ht="12.75" customHeight="1">
      <c r="B646" s="519" t="s">
        <v>1106</v>
      </c>
      <c r="C646" s="521"/>
      <c r="D646" s="1289" t="s">
        <v>1445</v>
      </c>
      <c r="E646" s="1289"/>
      <c r="F646" s="1289"/>
      <c r="I646" s="435" t="s">
        <v>2232</v>
      </c>
    </row>
    <row r="647" spans="1:9">
      <c r="D647" s="1289"/>
      <c r="E647" s="1289"/>
      <c r="F647" s="1289"/>
    </row>
    <row r="648" spans="1:9">
      <c r="D648" s="1289"/>
      <c r="E648" s="1289"/>
      <c r="F648" s="1289"/>
    </row>
    <row r="649" spans="1:9">
      <c r="D649" s="1289"/>
      <c r="E649" s="1289"/>
      <c r="F649" s="1289"/>
    </row>
    <row r="650" spans="1:9" ht="14.4" customHeight="1">
      <c r="A650" s="518"/>
      <c r="B650" s="518"/>
      <c r="C650" s="521"/>
      <c r="D650" s="416"/>
      <c r="E650" s="416"/>
      <c r="F650" s="416"/>
    </row>
    <row r="651" spans="1:9" ht="12.75" customHeight="1">
      <c r="A651" s="517"/>
      <c r="B651" s="519" t="s">
        <v>1106</v>
      </c>
      <c r="C651" s="521"/>
      <c r="D651" s="1289" t="s">
        <v>1447</v>
      </c>
      <c r="E651" s="1289"/>
      <c r="F651" s="1289"/>
      <c r="I651" s="435" t="s">
        <v>2232</v>
      </c>
    </row>
    <row r="652" spans="1:9" ht="14.4">
      <c r="A652" s="517"/>
      <c r="B652" s="518"/>
      <c r="C652" s="521"/>
      <c r="D652" s="1289"/>
      <c r="E652" s="1289"/>
      <c r="F652" s="1289"/>
    </row>
    <row r="653" spans="1:9" ht="14.4">
      <c r="A653" s="517"/>
      <c r="B653" s="518"/>
      <c r="C653" s="521"/>
      <c r="D653" s="1289"/>
      <c r="E653" s="1289"/>
      <c r="F653" s="1289"/>
    </row>
    <row r="654" spans="1:9" ht="14.4">
      <c r="A654" s="517"/>
      <c r="B654" s="518"/>
      <c r="C654" s="521"/>
      <c r="D654" s="1289"/>
      <c r="E654" s="1289"/>
      <c r="F654" s="1289"/>
    </row>
    <row r="655" spans="1:9" ht="14.4">
      <c r="A655" s="517"/>
      <c r="B655" s="518"/>
      <c r="C655" s="521"/>
      <c r="D655" s="1289"/>
      <c r="E655" s="1289"/>
      <c r="F655" s="1289"/>
    </row>
    <row r="656" spans="1:9" ht="14.25" customHeight="1">
      <c r="A656" s="517"/>
      <c r="B656" s="518"/>
      <c r="C656" s="521"/>
      <c r="F656" s="417"/>
    </row>
    <row r="657" spans="1:11" ht="12.75" customHeight="1">
      <c r="A657" s="517"/>
      <c r="B657" s="519" t="s">
        <v>1106</v>
      </c>
      <c r="C657" s="521"/>
      <c r="D657" s="1289" t="s">
        <v>1446</v>
      </c>
      <c r="E657" s="1289"/>
      <c r="F657" s="1289"/>
      <c r="I657" s="435" t="s">
        <v>2232</v>
      </c>
    </row>
    <row r="658" spans="1:11" ht="14.4">
      <c r="A658" s="517"/>
      <c r="B658" s="518"/>
      <c r="C658" s="521"/>
      <c r="D658" s="1289"/>
      <c r="E658" s="1289"/>
      <c r="F658" s="1289"/>
    </row>
    <row r="659" spans="1:11" ht="14.4">
      <c r="A659" s="518"/>
      <c r="B659" s="518"/>
      <c r="C659" s="521"/>
      <c r="D659" s="1289"/>
      <c r="E659" s="1289"/>
      <c r="F659" s="1289"/>
    </row>
    <row r="660" spans="1:11" ht="14.4">
      <c r="A660" s="518"/>
      <c r="B660" s="518"/>
      <c r="C660" s="521"/>
      <c r="D660" s="1289"/>
      <c r="E660" s="1289"/>
      <c r="F660" s="1289"/>
    </row>
    <row r="661" spans="1:11" ht="14.4">
      <c r="A661" s="518"/>
      <c r="B661" s="518"/>
      <c r="C661" s="521"/>
      <c r="D661" s="479"/>
      <c r="E661" s="479"/>
      <c r="F661" s="479"/>
    </row>
    <row r="662" spans="1:11" ht="12.75" customHeight="1">
      <c r="A662" s="517"/>
      <c r="B662" s="519" t="s">
        <v>2657</v>
      </c>
      <c r="C662" s="521"/>
      <c r="D662" s="1289" t="s">
        <v>2466</v>
      </c>
      <c r="E662" s="1289"/>
      <c r="F662" s="1289"/>
      <c r="I662" s="435" t="s">
        <v>2232</v>
      </c>
    </row>
    <row r="663" spans="1:11" ht="12.75" customHeight="1">
      <c r="A663" s="517"/>
      <c r="B663" s="518"/>
      <c r="C663" s="521"/>
      <c r="D663" s="1289"/>
      <c r="E663" s="1289"/>
      <c r="F663" s="1289"/>
    </row>
    <row r="664" spans="1:11" ht="12.75" customHeight="1">
      <c r="A664" s="517"/>
      <c r="B664" s="518"/>
      <c r="C664" s="521"/>
      <c r="D664" s="1289"/>
      <c r="E664" s="1289"/>
      <c r="F664" s="1289"/>
    </row>
    <row r="665" spans="1:11" ht="12.75" customHeight="1">
      <c r="A665" s="517"/>
      <c r="B665" s="518"/>
      <c r="C665" s="521"/>
      <c r="D665" s="1289"/>
      <c r="E665" s="1289"/>
      <c r="F665" s="1289"/>
    </row>
    <row r="666" spans="1:11" ht="12.75" customHeight="1">
      <c r="A666" s="517"/>
      <c r="B666" s="518"/>
      <c r="C666" s="521"/>
      <c r="D666" s="1289"/>
      <c r="E666" s="1289"/>
      <c r="F666" s="1289"/>
    </row>
    <row r="667" spans="1:11" ht="12.75" customHeight="1">
      <c r="A667" s="517"/>
      <c r="B667" s="518"/>
      <c r="C667" s="521"/>
      <c r="D667" s="1289"/>
      <c r="E667" s="1289"/>
      <c r="F667" s="1289"/>
    </row>
    <row r="668" spans="1:11" ht="12.75" customHeight="1">
      <c r="A668" s="517"/>
      <c r="B668" s="518"/>
      <c r="C668" s="521"/>
      <c r="D668" s="1289"/>
      <c r="E668" s="1289"/>
      <c r="F668" s="1289"/>
    </row>
    <row r="669" spans="1:11" ht="12.75" customHeight="1">
      <c r="A669" s="517"/>
      <c r="B669" s="518"/>
      <c r="C669" s="521"/>
      <c r="D669" s="1289"/>
      <c r="E669" s="1289"/>
      <c r="F669" s="1289"/>
    </row>
    <row r="670" spans="1:11" ht="12.75" customHeight="1">
      <c r="A670" s="517"/>
      <c r="B670" s="518"/>
      <c r="C670" s="521"/>
      <c r="D670" s="1289"/>
      <c r="E670" s="1289"/>
      <c r="F670" s="1289"/>
    </row>
    <row r="671" spans="1:11">
      <c r="A671" s="521"/>
      <c r="B671" s="521"/>
      <c r="C671" s="521"/>
      <c r="D671" s="480"/>
      <c r="E671" s="480"/>
      <c r="F671" s="480"/>
    </row>
    <row r="672" spans="1:11">
      <c r="A672" s="1277" t="s">
        <v>1124</v>
      </c>
      <c r="B672" s="1277"/>
      <c r="C672" s="1277"/>
      <c r="D672" s="1277"/>
      <c r="E672" s="1277"/>
      <c r="F672" s="1277"/>
      <c r="G672" s="1277"/>
      <c r="H672" s="1072"/>
      <c r="I672" s="1073"/>
      <c r="J672" s="535"/>
      <c r="K672" s="535"/>
    </row>
    <row r="673" spans="1:11">
      <c r="A673" s="482"/>
      <c r="B673" s="482"/>
      <c r="C673" s="482"/>
      <c r="D673" s="482"/>
      <c r="E673" s="482"/>
      <c r="F673" s="482"/>
      <c r="G673" s="482"/>
      <c r="H673" s="535"/>
      <c r="I673" s="1064"/>
      <c r="J673" s="535"/>
      <c r="K673" s="535"/>
    </row>
    <row r="674" spans="1:11">
      <c r="C674" s="516"/>
      <c r="D674" s="1288" t="s">
        <v>100</v>
      </c>
      <c r="E674" s="1288"/>
      <c r="F674" s="1288"/>
      <c r="H674" s="535"/>
      <c r="I674" s="1064"/>
      <c r="J674" s="535"/>
      <c r="K674" s="535"/>
    </row>
    <row r="675" spans="1:11">
      <c r="A675" s="516"/>
      <c r="B675" s="516"/>
      <c r="C675" s="516"/>
      <c r="D675" s="1288" t="s">
        <v>124</v>
      </c>
      <c r="E675" s="1288"/>
      <c r="F675" s="1288"/>
      <c r="H675" s="535"/>
      <c r="I675" s="1064"/>
      <c r="J675" s="535"/>
      <c r="K675" s="535"/>
    </row>
    <row r="676" spans="1:11">
      <c r="A676" s="517"/>
      <c r="B676" s="517"/>
      <c r="C676" s="517"/>
      <c r="D676" s="1290" t="s">
        <v>1160</v>
      </c>
      <c r="E676" s="1290"/>
      <c r="F676" s="1290"/>
      <c r="H676" s="535"/>
      <c r="I676" s="1064"/>
      <c r="J676" s="535"/>
      <c r="K676" s="535"/>
    </row>
    <row r="677" spans="1:11">
      <c r="A677" s="517"/>
      <c r="B677" s="517"/>
      <c r="C677" s="517"/>
      <c r="H677" s="535"/>
      <c r="I677" s="1064"/>
      <c r="J677" s="535"/>
      <c r="K677" s="535"/>
    </row>
    <row r="678" spans="1:11" ht="14.4">
      <c r="A678" s="518"/>
      <c r="B678" s="519" t="s">
        <v>1106</v>
      </c>
      <c r="C678" s="517"/>
      <c r="D678" s="1290" t="s">
        <v>915</v>
      </c>
      <c r="E678" s="1290"/>
      <c r="F678" s="1290"/>
      <c r="H678" s="535"/>
      <c r="I678" s="1064" t="s">
        <v>2208</v>
      </c>
      <c r="J678" s="535"/>
      <c r="K678" s="535"/>
    </row>
    <row r="679" spans="1:11">
      <c r="A679" s="517"/>
      <c r="B679" s="517"/>
      <c r="C679" s="517"/>
      <c r="D679" s="1290" t="s">
        <v>926</v>
      </c>
      <c r="E679" s="1290"/>
      <c r="F679" s="1290"/>
      <c r="H679" s="535"/>
      <c r="I679" s="1064"/>
      <c r="J679" s="535"/>
      <c r="K679" s="535"/>
    </row>
    <row r="680" spans="1:11" ht="12.75" customHeight="1">
      <c r="A680" s="517"/>
      <c r="B680" s="517"/>
      <c r="C680" s="517"/>
      <c r="E680" s="1079" t="s">
        <v>2294</v>
      </c>
      <c r="F680" s="451"/>
      <c r="H680" s="535"/>
      <c r="I680" s="1064"/>
      <c r="J680" s="535"/>
      <c r="K680" s="535"/>
    </row>
    <row r="681" spans="1:11">
      <c r="A681" s="517"/>
      <c r="B681" s="517"/>
      <c r="C681" s="517"/>
      <c r="E681" s="535" t="s">
        <v>2293</v>
      </c>
      <c r="F681" s="451"/>
      <c r="I681" s="1064"/>
      <c r="J681" s="535"/>
      <c r="K681" s="535"/>
    </row>
    <row r="682" spans="1:11">
      <c r="A682" s="517"/>
      <c r="B682" s="517"/>
      <c r="C682" s="517"/>
      <c r="D682" s="536"/>
      <c r="E682" s="480"/>
      <c r="H682" s="535"/>
      <c r="I682" s="1064"/>
      <c r="J682" s="535"/>
      <c r="K682" s="535"/>
    </row>
    <row r="683" spans="1:11" ht="14.4">
      <c r="A683" s="518"/>
      <c r="B683" s="519" t="s">
        <v>2657</v>
      </c>
      <c r="C683" s="517"/>
      <c r="D683" s="1289" t="s">
        <v>2467</v>
      </c>
      <c r="E683" s="1289"/>
      <c r="F683" s="1289"/>
      <c r="H683" s="535"/>
      <c r="I683" s="1064" t="s">
        <v>2230</v>
      </c>
      <c r="J683" s="535"/>
      <c r="K683" s="535"/>
    </row>
    <row r="684" spans="1:11">
      <c r="A684" s="524"/>
      <c r="B684" s="524"/>
      <c r="C684" s="517"/>
      <c r="D684" s="1289"/>
      <c r="E684" s="1289"/>
      <c r="F684" s="1289"/>
      <c r="H684" s="535"/>
      <c r="I684" s="1064"/>
      <c r="J684" s="535"/>
      <c r="K684" s="535"/>
    </row>
    <row r="685" spans="1:11">
      <c r="A685" s="517"/>
      <c r="B685" s="517"/>
      <c r="C685" s="517"/>
      <c r="D685" s="1289"/>
      <c r="E685" s="1289"/>
      <c r="F685" s="1289"/>
      <c r="H685" s="535"/>
      <c r="I685" s="1064"/>
      <c r="J685" s="535"/>
      <c r="K685" s="535"/>
    </row>
    <row r="686" spans="1:11">
      <c r="A686" s="517"/>
      <c r="B686" s="517"/>
      <c r="C686" s="517"/>
      <c r="H686" s="535"/>
      <c r="I686" s="1064" t="s">
        <v>2209</v>
      </c>
      <c r="J686" s="535"/>
      <c r="K686" s="535"/>
    </row>
    <row r="687" spans="1:11" ht="14.4">
      <c r="A687" s="518"/>
      <c r="B687" s="519" t="s">
        <v>1106</v>
      </c>
      <c r="C687" s="517"/>
      <c r="D687" s="1290" t="s">
        <v>954</v>
      </c>
      <c r="E687" s="1290"/>
      <c r="F687" s="1290"/>
      <c r="H687" s="535"/>
      <c r="I687" s="1064"/>
      <c r="J687" s="535"/>
      <c r="K687" s="535"/>
    </row>
    <row r="688" spans="1:11" ht="14.4">
      <c r="A688" s="518"/>
      <c r="B688" s="518"/>
      <c r="C688" s="517"/>
      <c r="D688" s="1290" t="s">
        <v>926</v>
      </c>
      <c r="E688" s="1290"/>
      <c r="F688" s="1290"/>
      <c r="H688" s="535"/>
      <c r="I688" s="1064"/>
      <c r="J688" s="535"/>
      <c r="K688" s="535"/>
    </row>
    <row r="689" spans="1:11">
      <c r="A689" s="517"/>
      <c r="B689" s="517"/>
      <c r="C689" s="517"/>
      <c r="E689" s="1079" t="s">
        <v>2295</v>
      </c>
      <c r="F689" s="435"/>
      <c r="H689" s="535"/>
      <c r="I689" s="1064"/>
      <c r="J689" s="535"/>
      <c r="K689" s="535"/>
    </row>
    <row r="690" spans="1:11">
      <c r="A690" s="517"/>
      <c r="B690" s="517"/>
      <c r="C690" s="517"/>
      <c r="D690" s="435"/>
      <c r="H690" s="535"/>
      <c r="I690" s="1064"/>
      <c r="J690" s="535"/>
      <c r="K690" s="535"/>
    </row>
    <row r="691" spans="1:11" ht="14.4">
      <c r="A691" s="518"/>
      <c r="B691" s="519" t="s">
        <v>1106</v>
      </c>
      <c r="C691" s="517"/>
      <c r="D691" s="1289" t="s">
        <v>1173</v>
      </c>
      <c r="E691" s="1289"/>
      <c r="F691" s="1289"/>
      <c r="H691" s="535"/>
      <c r="I691" s="1064" t="s">
        <v>2181</v>
      </c>
      <c r="J691" s="535"/>
      <c r="K691" s="535"/>
    </row>
    <row r="692" spans="1:11">
      <c r="A692" s="517"/>
      <c r="B692" s="517"/>
      <c r="C692" s="517"/>
      <c r="D692" s="1289"/>
      <c r="E692" s="1289"/>
      <c r="F692" s="1289"/>
      <c r="H692" s="535"/>
      <c r="I692" s="1064"/>
      <c r="J692" s="535"/>
      <c r="K692" s="535"/>
    </row>
    <row r="693" spans="1:11">
      <c r="A693" s="517"/>
      <c r="B693" s="517"/>
      <c r="C693" s="517"/>
      <c r="D693" s="1289"/>
      <c r="E693" s="1289"/>
      <c r="F693" s="1289"/>
      <c r="H693" s="535"/>
      <c r="I693" s="1064"/>
      <c r="J693" s="535"/>
      <c r="K693" s="535"/>
    </row>
    <row r="694" spans="1:11">
      <c r="A694" s="517"/>
      <c r="B694" s="517"/>
      <c r="C694" s="517"/>
      <c r="D694" s="1289"/>
      <c r="E694" s="1289"/>
      <c r="F694" s="1289"/>
      <c r="H694" s="535"/>
      <c r="I694" s="1064"/>
      <c r="J694" s="535"/>
      <c r="K694" s="535"/>
    </row>
    <row r="695" spans="1:11">
      <c r="A695" s="517"/>
      <c r="B695" s="517"/>
      <c r="C695" s="517"/>
      <c r="D695" s="1289"/>
      <c r="E695" s="1289"/>
      <c r="F695" s="1289"/>
      <c r="H695" s="535"/>
      <c r="I695" s="1064"/>
      <c r="J695" s="535"/>
      <c r="K695" s="535"/>
    </row>
    <row r="696" spans="1:11">
      <c r="A696" s="517"/>
      <c r="B696" s="517"/>
      <c r="C696" s="517"/>
      <c r="D696" s="1289"/>
      <c r="E696" s="1289"/>
      <c r="F696" s="1289"/>
      <c r="H696" s="535"/>
      <c r="I696" s="1064"/>
      <c r="J696" s="535"/>
      <c r="K696" s="535"/>
    </row>
    <row r="697" spans="1:11">
      <c r="A697" s="517"/>
      <c r="B697" s="517"/>
      <c r="C697" s="517"/>
      <c r="D697" s="479"/>
      <c r="E697" s="479"/>
      <c r="F697" s="479"/>
      <c r="H697" s="535"/>
      <c r="I697" s="1064"/>
      <c r="J697" s="535"/>
      <c r="K697" s="535"/>
    </row>
    <row r="698" spans="1:11">
      <c r="A698" s="517"/>
      <c r="B698" s="519" t="s">
        <v>1106</v>
      </c>
      <c r="C698" s="517"/>
      <c r="D698" s="1289" t="s">
        <v>1344</v>
      </c>
      <c r="E698" s="1289"/>
      <c r="F698" s="1289"/>
      <c r="H698" s="535"/>
      <c r="I698" s="1064" t="s">
        <v>2181</v>
      </c>
      <c r="J698" s="535"/>
      <c r="K698" s="535"/>
    </row>
    <row r="699" spans="1:11">
      <c r="A699" s="517"/>
      <c r="B699" s="517"/>
      <c r="C699" s="517"/>
      <c r="D699" s="1289"/>
      <c r="E699" s="1289"/>
      <c r="F699" s="1289"/>
      <c r="H699" s="535"/>
      <c r="I699" s="1064"/>
      <c r="J699" s="535"/>
      <c r="K699" s="535"/>
    </row>
    <row r="700" spans="1:11">
      <c r="A700" s="517"/>
      <c r="B700" s="517"/>
      <c r="C700" s="517"/>
      <c r="D700" s="479"/>
      <c r="E700" s="479"/>
      <c r="F700" s="479"/>
      <c r="H700" s="535"/>
      <c r="I700" s="1064"/>
      <c r="J700" s="535"/>
      <c r="K700" s="535"/>
    </row>
    <row r="701" spans="1:11" ht="14.4">
      <c r="A701" s="518"/>
      <c r="B701" s="519" t="s">
        <v>2657</v>
      </c>
      <c r="C701" s="517"/>
      <c r="D701" s="1289" t="s">
        <v>1164</v>
      </c>
      <c r="E701" s="1289"/>
      <c r="F701" s="1289"/>
      <c r="H701" s="535"/>
      <c r="I701" s="1064" t="s">
        <v>2181</v>
      </c>
      <c r="J701" s="535"/>
      <c r="K701" s="535"/>
    </row>
    <row r="702" spans="1:11">
      <c r="A702" s="517"/>
      <c r="B702" s="517"/>
      <c r="C702" s="517"/>
      <c r="D702" s="1289"/>
      <c r="E702" s="1289"/>
      <c r="F702" s="1289"/>
      <c r="H702" s="535"/>
      <c r="I702" s="1064"/>
      <c r="J702" s="535"/>
      <c r="K702" s="535"/>
    </row>
    <row r="703" spans="1:11">
      <c r="A703" s="517"/>
      <c r="B703" s="517"/>
      <c r="C703" s="517"/>
      <c r="D703" s="1289"/>
      <c r="E703" s="1289"/>
      <c r="F703" s="1289"/>
      <c r="H703" s="535"/>
      <c r="I703" s="1064"/>
      <c r="J703" s="535"/>
      <c r="K703" s="535"/>
    </row>
    <row r="704" spans="1:11" ht="15" customHeight="1">
      <c r="A704" s="517"/>
      <c r="B704" s="517"/>
      <c r="C704" s="517"/>
      <c r="D704" s="1289"/>
      <c r="E704" s="1289"/>
      <c r="F704" s="1289"/>
      <c r="H704" s="535"/>
      <c r="I704" s="1064"/>
      <c r="J704" s="535"/>
      <c r="K704" s="535"/>
    </row>
    <row r="705" spans="1:11" ht="15" customHeight="1">
      <c r="A705" s="517"/>
      <c r="B705" s="517"/>
      <c r="C705" s="517"/>
      <c r="D705" s="1289"/>
      <c r="E705" s="1289"/>
      <c r="F705" s="1289"/>
      <c r="H705" s="535"/>
      <c r="I705" s="1064"/>
      <c r="J705" s="535"/>
      <c r="K705" s="535"/>
    </row>
    <row r="706" spans="1:11">
      <c r="A706" s="517"/>
      <c r="B706" s="517"/>
      <c r="C706" s="517"/>
      <c r="D706" s="1289"/>
      <c r="E706" s="1289"/>
      <c r="F706" s="1289"/>
      <c r="H706" s="535"/>
      <c r="I706" s="1064"/>
      <c r="J706" s="535"/>
      <c r="K706" s="535"/>
    </row>
    <row r="707" spans="1:11">
      <c r="A707" s="517"/>
      <c r="B707" s="517"/>
      <c r="C707" s="517"/>
      <c r="D707" s="1289"/>
      <c r="E707" s="1289"/>
      <c r="F707" s="1289"/>
      <c r="H707" s="535"/>
      <c r="I707" s="1064"/>
      <c r="J707" s="535"/>
      <c r="K707" s="535"/>
    </row>
    <row r="708" spans="1:11">
      <c r="A708" s="517"/>
      <c r="B708" s="517"/>
      <c r="C708" s="517"/>
      <c r="D708" s="1289"/>
      <c r="E708" s="1289"/>
      <c r="F708" s="1289"/>
      <c r="H708" s="535"/>
      <c r="I708" s="1064"/>
      <c r="J708" s="535"/>
      <c r="K708" s="535"/>
    </row>
    <row r="709" spans="1:11" ht="15" customHeight="1">
      <c r="A709" s="517"/>
      <c r="B709" s="517"/>
      <c r="C709" s="517"/>
      <c r="D709" s="1289"/>
      <c r="E709" s="1289"/>
      <c r="F709" s="1289"/>
      <c r="H709" s="535"/>
      <c r="I709" s="1064"/>
      <c r="J709" s="535"/>
      <c r="K709" s="535"/>
    </row>
    <row r="710" spans="1:11">
      <c r="A710" s="517"/>
      <c r="B710" s="517"/>
      <c r="C710" s="517"/>
      <c r="D710" s="1289"/>
      <c r="E710" s="1289"/>
      <c r="F710" s="1289"/>
      <c r="H710" s="535"/>
      <c r="I710" s="1064"/>
      <c r="J710" s="535"/>
      <c r="K710" s="535"/>
    </row>
    <row r="711" spans="1:11">
      <c r="A711" s="517"/>
      <c r="B711" s="517"/>
      <c r="C711" s="517"/>
      <c r="D711" s="1289"/>
      <c r="E711" s="1289"/>
      <c r="F711" s="1289"/>
      <c r="H711" s="535"/>
      <c r="I711" s="1064"/>
      <c r="J711" s="535"/>
      <c r="K711" s="535"/>
    </row>
    <row r="712" spans="1:11">
      <c r="A712" s="517"/>
      <c r="B712" s="517"/>
      <c r="C712" s="517"/>
      <c r="D712" s="1289"/>
      <c r="E712" s="1289"/>
      <c r="F712" s="1289"/>
      <c r="H712" s="535"/>
      <c r="I712" s="1064"/>
      <c r="J712" s="535"/>
      <c r="K712" s="535"/>
    </row>
    <row r="713" spans="1:11">
      <c r="A713" s="517"/>
      <c r="B713" s="517"/>
      <c r="C713" s="517"/>
      <c r="D713" s="1289"/>
      <c r="E713" s="1289"/>
      <c r="F713" s="1289"/>
      <c r="H713" s="535"/>
      <c r="I713" s="1064"/>
      <c r="J713" s="535"/>
      <c r="K713" s="535"/>
    </row>
    <row r="714" spans="1:11">
      <c r="A714" s="517"/>
      <c r="B714" s="519" t="s">
        <v>2657</v>
      </c>
      <c r="C714" s="517"/>
      <c r="D714" s="1289" t="s">
        <v>1171</v>
      </c>
      <c r="E714" s="1289"/>
      <c r="F714" s="1289"/>
      <c r="H714" s="535"/>
      <c r="I714" s="1064" t="s">
        <v>2231</v>
      </c>
      <c r="J714" s="535"/>
      <c r="K714" s="535"/>
    </row>
    <row r="715" spans="1:11">
      <c r="A715" s="517"/>
      <c r="B715" s="517"/>
      <c r="C715" s="517"/>
      <c r="D715" s="1289"/>
      <c r="E715" s="1289"/>
      <c r="F715" s="1289"/>
      <c r="H715" s="535"/>
      <c r="I715" s="1064"/>
      <c r="J715" s="535"/>
      <c r="K715" s="535"/>
    </row>
    <row r="716" spans="1:11">
      <c r="A716" s="517"/>
      <c r="B716" s="517"/>
      <c r="C716" s="517"/>
      <c r="D716" s="479"/>
      <c r="E716" s="479"/>
      <c r="F716" s="479"/>
      <c r="H716" s="535"/>
      <c r="I716" s="1064"/>
      <c r="J716" s="535"/>
      <c r="K716" s="535"/>
    </row>
    <row r="717" spans="1:11">
      <c r="A717" s="517"/>
      <c r="B717" s="519" t="s">
        <v>2657</v>
      </c>
      <c r="C717" s="517"/>
      <c r="D717" s="1289" t="s">
        <v>1165</v>
      </c>
      <c r="E717" s="1289"/>
      <c r="F717" s="1289"/>
      <c r="H717" s="535"/>
      <c r="I717" s="1064" t="s">
        <v>2231</v>
      </c>
      <c r="J717" s="535"/>
      <c r="K717" s="535"/>
    </row>
    <row r="718" spans="1:11">
      <c r="A718" s="517"/>
      <c r="B718" s="517"/>
      <c r="C718" s="517"/>
      <c r="D718" s="1289"/>
      <c r="E718" s="1289"/>
      <c r="F718" s="1289"/>
      <c r="H718" s="535"/>
      <c r="I718" s="1064"/>
      <c r="J718" s="535"/>
      <c r="K718" s="535"/>
    </row>
    <row r="719" spans="1:11">
      <c r="A719" s="517"/>
      <c r="B719" s="517"/>
      <c r="C719" s="517"/>
      <c r="D719" s="1289"/>
      <c r="E719" s="1289"/>
      <c r="F719" s="1289"/>
      <c r="H719" s="535"/>
      <c r="I719" s="1064"/>
      <c r="J719" s="535"/>
      <c r="K719" s="535"/>
    </row>
    <row r="720" spans="1:11">
      <c r="A720" s="517"/>
      <c r="B720" s="517"/>
      <c r="C720" s="517"/>
      <c r="H720" s="535"/>
      <c r="I720" s="1064"/>
      <c r="J720" s="535"/>
      <c r="K720" s="535"/>
    </row>
    <row r="721" spans="1:11">
      <c r="A721" s="517"/>
      <c r="B721" s="519" t="s">
        <v>2657</v>
      </c>
      <c r="C721" s="517"/>
      <c r="D721" s="1289" t="s">
        <v>1166</v>
      </c>
      <c r="E721" s="1289"/>
      <c r="F721" s="1289"/>
      <c r="H721" s="535"/>
      <c r="I721" s="1064" t="s">
        <v>2231</v>
      </c>
      <c r="J721" s="535"/>
      <c r="K721" s="535"/>
    </row>
    <row r="722" spans="1:11">
      <c r="A722" s="517"/>
      <c r="B722" s="517"/>
      <c r="C722" s="517"/>
      <c r="D722" s="1289"/>
      <c r="E722" s="1289"/>
      <c r="F722" s="1289"/>
      <c r="H722" s="535"/>
      <c r="I722" s="1064"/>
      <c r="J722" s="535"/>
      <c r="K722" s="535"/>
    </row>
    <row r="723" spans="1:11">
      <c r="A723" s="517"/>
      <c r="B723" s="517"/>
      <c r="C723" s="517"/>
      <c r="D723" s="1289"/>
      <c r="E723" s="1289"/>
      <c r="F723" s="1289"/>
      <c r="H723" s="535"/>
      <c r="I723" s="1064"/>
      <c r="J723" s="535"/>
      <c r="K723" s="535"/>
    </row>
    <row r="724" spans="1:11">
      <c r="A724" s="517"/>
      <c r="B724" s="517"/>
      <c r="C724" s="517"/>
      <c r="H724" s="535"/>
      <c r="I724" s="1064"/>
      <c r="J724" s="535"/>
      <c r="K724" s="535"/>
    </row>
    <row r="725" spans="1:11" ht="14.4">
      <c r="A725" s="518"/>
      <c r="B725" s="519" t="s">
        <v>2657</v>
      </c>
      <c r="C725" s="517"/>
      <c r="D725" s="1289" t="s">
        <v>1167</v>
      </c>
      <c r="E725" s="1289"/>
      <c r="F725" s="1289"/>
      <c r="H725" s="535"/>
      <c r="I725" s="1064" t="s">
        <v>2182</v>
      </c>
      <c r="J725" s="535"/>
      <c r="K725" s="535"/>
    </row>
    <row r="726" spans="1:11">
      <c r="A726" s="517"/>
      <c r="B726" s="517"/>
      <c r="C726" s="517"/>
      <c r="D726" s="1289"/>
      <c r="E726" s="1289"/>
      <c r="F726" s="1289"/>
      <c r="H726" s="535"/>
      <c r="I726" s="1064"/>
      <c r="J726" s="535"/>
      <c r="K726" s="535"/>
    </row>
    <row r="727" spans="1:11">
      <c r="A727" s="517"/>
      <c r="B727" s="517"/>
      <c r="C727" s="517"/>
      <c r="D727" s="1289"/>
      <c r="E727" s="1289"/>
      <c r="F727" s="1289"/>
      <c r="H727" s="535"/>
      <c r="I727" s="1064"/>
      <c r="J727" s="535"/>
      <c r="K727" s="535"/>
    </row>
    <row r="728" spans="1:11">
      <c r="A728" s="517"/>
      <c r="B728" s="517"/>
      <c r="C728" s="517"/>
      <c r="D728" s="1289"/>
      <c r="E728" s="1289"/>
      <c r="F728" s="1289"/>
      <c r="H728" s="535"/>
      <c r="I728" s="1064"/>
      <c r="J728" s="535"/>
      <c r="K728" s="535"/>
    </row>
    <row r="729" spans="1:11">
      <c r="A729" s="517"/>
      <c r="B729" s="517"/>
      <c r="C729" s="517"/>
      <c r="D729" s="526"/>
      <c r="H729" s="535"/>
      <c r="I729" s="1064"/>
      <c r="J729" s="535"/>
      <c r="K729" s="535"/>
    </row>
    <row r="730" spans="1:11" ht="14.4">
      <c r="A730" s="518"/>
      <c r="B730" s="519" t="s">
        <v>2657</v>
      </c>
      <c r="C730" s="517"/>
      <c r="D730" s="1289" t="s">
        <v>2468</v>
      </c>
      <c r="E730" s="1289"/>
      <c r="F730" s="1289"/>
      <c r="H730" s="535"/>
      <c r="I730" s="1064" t="s">
        <v>2198</v>
      </c>
      <c r="J730" s="535"/>
      <c r="K730" s="535"/>
    </row>
    <row r="731" spans="1:11">
      <c r="A731" s="517"/>
      <c r="B731" s="517"/>
      <c r="C731" s="517"/>
      <c r="D731" s="1289"/>
      <c r="E731" s="1289"/>
      <c r="F731" s="1289"/>
      <c r="H731" s="535"/>
      <c r="I731" s="1064"/>
      <c r="J731" s="535"/>
      <c r="K731" s="535"/>
    </row>
    <row r="732" spans="1:11">
      <c r="A732" s="517"/>
      <c r="B732" s="517"/>
      <c r="C732" s="517"/>
      <c r="D732" s="1289"/>
      <c r="E732" s="1289"/>
      <c r="F732" s="1289"/>
      <c r="H732" s="535"/>
      <c r="I732" s="1064"/>
      <c r="J732" s="535"/>
      <c r="K732" s="535"/>
    </row>
    <row r="733" spans="1:11">
      <c r="A733" s="517"/>
      <c r="B733" s="517"/>
      <c r="C733" s="517"/>
      <c r="D733" s="1289"/>
      <c r="E733" s="1289"/>
      <c r="F733" s="1289"/>
      <c r="H733" s="535"/>
      <c r="I733" s="1064"/>
      <c r="J733" s="535"/>
      <c r="K733" s="535"/>
    </row>
    <row r="734" spans="1:11">
      <c r="A734" s="517"/>
      <c r="B734" s="517"/>
      <c r="C734" s="517"/>
      <c r="D734" s="1289"/>
      <c r="E734" s="1289"/>
      <c r="F734" s="1289"/>
      <c r="H734" s="535"/>
      <c r="I734" s="1064"/>
      <c r="J734" s="535"/>
      <c r="K734" s="535"/>
    </row>
    <row r="735" spans="1:11">
      <c r="A735" s="517"/>
      <c r="B735" s="517"/>
      <c r="C735" s="517"/>
      <c r="D735" s="1289"/>
      <c r="E735" s="1289"/>
      <c r="F735" s="1289"/>
      <c r="H735" s="535"/>
      <c r="I735" s="1064"/>
      <c r="J735" s="535"/>
      <c r="K735" s="535"/>
    </row>
    <row r="736" spans="1:11">
      <c r="A736" s="517"/>
      <c r="B736" s="517"/>
      <c r="C736" s="517"/>
      <c r="D736" s="1289"/>
      <c r="E736" s="1289"/>
      <c r="F736" s="1289"/>
      <c r="H736" s="535"/>
      <c r="I736" s="1064"/>
      <c r="J736" s="535"/>
      <c r="K736" s="535"/>
    </row>
    <row r="737" spans="1:11">
      <c r="A737" s="517"/>
      <c r="B737" s="517"/>
      <c r="C737" s="517"/>
      <c r="D737" s="1306" t="s">
        <v>2477</v>
      </c>
      <c r="E737" s="1306"/>
      <c r="F737" s="1306"/>
      <c r="H737" s="535"/>
      <c r="I737" s="1064"/>
      <c r="J737" s="535"/>
      <c r="K737" s="535"/>
    </row>
    <row r="738" spans="1:11">
      <c r="A738" s="517"/>
      <c r="B738" s="517"/>
      <c r="C738" s="517"/>
      <c r="D738" s="369"/>
      <c r="H738" s="535"/>
      <c r="I738" s="1064"/>
      <c r="J738" s="535"/>
      <c r="K738" s="535"/>
    </row>
    <row r="739" spans="1:11">
      <c r="A739" s="1308" t="s">
        <v>1125</v>
      </c>
      <c r="B739" s="1308"/>
      <c r="C739" s="1308"/>
      <c r="D739" s="1308"/>
      <c r="E739" s="1308"/>
      <c r="F739" s="1308"/>
      <c r="G739" s="1308"/>
      <c r="H739" s="1072"/>
      <c r="I739" s="1073"/>
      <c r="J739" s="535"/>
      <c r="K739" s="535"/>
    </row>
    <row r="740" spans="1:11">
      <c r="A740" s="517"/>
      <c r="B740" s="517"/>
      <c r="C740" s="517"/>
      <c r="D740" s="526"/>
      <c r="G740" s="535"/>
      <c r="H740" s="535"/>
      <c r="I740" s="1064"/>
      <c r="J740" s="535"/>
      <c r="K740" s="535"/>
    </row>
    <row r="741" spans="1:11" ht="13.65" customHeight="1">
      <c r="C741" s="517"/>
      <c r="D741" s="1291" t="s">
        <v>1141</v>
      </c>
      <c r="E741" s="1291"/>
      <c r="F741" s="1291"/>
      <c r="G741" s="535"/>
      <c r="H741" s="535"/>
      <c r="I741" s="1064"/>
      <c r="J741" s="535"/>
      <c r="K741" s="535"/>
    </row>
    <row r="742" spans="1:11">
      <c r="A742" s="517"/>
      <c r="B742" s="517"/>
      <c r="C742" s="517"/>
      <c r="D742" s="1292" t="s">
        <v>1142</v>
      </c>
      <c r="E742" s="1292"/>
      <c r="F742" s="1292"/>
      <c r="G742" s="535"/>
      <c r="H742" s="535"/>
      <c r="I742" s="1064"/>
      <c r="J742" s="535"/>
      <c r="K742" s="535"/>
    </row>
    <row r="743" spans="1:11">
      <c r="A743" s="517"/>
      <c r="B743" s="517"/>
      <c r="C743" s="517"/>
      <c r="G743" s="535"/>
      <c r="H743" s="535"/>
      <c r="I743" s="1064"/>
      <c r="J743" s="535"/>
      <c r="K743" s="535"/>
    </row>
    <row r="744" spans="1:11" ht="14.4">
      <c r="A744" s="518"/>
      <c r="B744" s="519" t="s">
        <v>1106</v>
      </c>
      <c r="D744" s="1289" t="s">
        <v>1143</v>
      </c>
      <c r="E744" s="1289"/>
      <c r="F744" s="1289"/>
      <c r="G744" s="535"/>
      <c r="H744" s="535"/>
      <c r="I744" s="1064" t="s">
        <v>2183</v>
      </c>
      <c r="J744" s="535"/>
      <c r="K744" s="535"/>
    </row>
    <row r="745" spans="1:11" ht="10.5" customHeight="1">
      <c r="D745" s="1289"/>
      <c r="E745" s="1289"/>
      <c r="F745" s="1289"/>
      <c r="G745" s="535"/>
      <c r="H745" s="535"/>
      <c r="I745" s="1064"/>
      <c r="J745" s="535"/>
      <c r="K745" s="535"/>
    </row>
    <row r="746" spans="1:11">
      <c r="D746" s="1289"/>
      <c r="E746" s="1289"/>
      <c r="F746" s="1289"/>
      <c r="G746" s="535"/>
      <c r="H746" s="535"/>
      <c r="I746" s="1064"/>
      <c r="J746" s="535"/>
      <c r="K746" s="535"/>
    </row>
    <row r="747" spans="1:11">
      <c r="D747" s="1289"/>
      <c r="E747" s="1289"/>
      <c r="F747" s="1289"/>
      <c r="G747" s="535"/>
      <c r="H747" s="535"/>
      <c r="I747" s="1064"/>
      <c r="J747" s="535"/>
      <c r="K747" s="535"/>
    </row>
    <row r="748" spans="1:11">
      <c r="D748" s="1289"/>
      <c r="E748" s="1289"/>
      <c r="F748" s="1289"/>
      <c r="G748" s="535"/>
      <c r="H748" s="535"/>
      <c r="I748" s="1064"/>
      <c r="J748" s="535"/>
      <c r="K748" s="535"/>
    </row>
    <row r="749" spans="1:11" ht="15.6" customHeight="1">
      <c r="D749" s="1289"/>
      <c r="E749" s="1289"/>
      <c r="F749" s="1289"/>
      <c r="G749" s="535"/>
      <c r="H749" s="535"/>
      <c r="I749" s="1064"/>
      <c r="J749" s="535"/>
      <c r="K749" s="535"/>
    </row>
    <row r="750" spans="1:11">
      <c r="D750" s="533"/>
      <c r="E750" s="480"/>
      <c r="F750" s="480"/>
      <c r="G750" s="535"/>
      <c r="H750" s="535"/>
      <c r="I750" s="1064"/>
      <c r="J750" s="535"/>
      <c r="K750" s="535"/>
    </row>
    <row r="751" spans="1:11" s="539" customFormat="1" ht="14.4">
      <c r="A751" s="537"/>
      <c r="B751" s="519" t="s">
        <v>1106</v>
      </c>
      <c r="C751" s="538"/>
      <c r="D751" s="1289" t="s">
        <v>1389</v>
      </c>
      <c r="E751" s="1289"/>
      <c r="F751" s="1289"/>
      <c r="I751" s="1065" t="s">
        <v>2183</v>
      </c>
    </row>
    <row r="752" spans="1:11" s="539" customFormat="1">
      <c r="A752" s="538"/>
      <c r="B752" s="538"/>
      <c r="C752" s="538"/>
      <c r="D752" s="1289"/>
      <c r="E752" s="1289"/>
      <c r="F752" s="1289"/>
      <c r="I752" s="1065"/>
    </row>
    <row r="753" spans="1:11" s="539" customFormat="1">
      <c r="A753" s="538"/>
      <c r="B753" s="538"/>
      <c r="C753" s="538"/>
      <c r="D753" s="1289"/>
      <c r="E753" s="1289"/>
      <c r="F753" s="1289"/>
      <c r="I753" s="1065"/>
    </row>
    <row r="754" spans="1:11" s="539" customFormat="1">
      <c r="A754" s="538"/>
      <c r="B754" s="538"/>
      <c r="C754" s="538"/>
      <c r="D754" s="1289"/>
      <c r="E754" s="1289"/>
      <c r="F754" s="1289"/>
      <c r="I754" s="1065"/>
    </row>
    <row r="755" spans="1:11" s="539" customFormat="1">
      <c r="A755" s="538"/>
      <c r="B755" s="538"/>
      <c r="C755" s="538"/>
      <c r="D755" s="533"/>
      <c r="I755" s="1065"/>
    </row>
    <row r="756" spans="1:11" s="539" customFormat="1" ht="14.4">
      <c r="A756" s="518"/>
      <c r="B756" s="519" t="s">
        <v>2657</v>
      </c>
      <c r="C756" s="538"/>
      <c r="D756" s="1287" t="s">
        <v>1390</v>
      </c>
      <c r="E756" s="1287"/>
      <c r="F756" s="1287"/>
      <c r="I756" s="1065" t="s">
        <v>2184</v>
      </c>
    </row>
    <row r="757" spans="1:11" s="539" customFormat="1">
      <c r="A757" s="538"/>
      <c r="B757" s="538"/>
      <c r="C757" s="538"/>
      <c r="D757" s="1287"/>
      <c r="E757" s="1287"/>
      <c r="F757" s="1287"/>
      <c r="I757" s="1065"/>
    </row>
    <row r="758" spans="1:11" s="539" customFormat="1">
      <c r="A758" s="538"/>
      <c r="B758" s="538"/>
      <c r="C758" s="538"/>
      <c r="D758" s="1287"/>
      <c r="E758" s="1287"/>
      <c r="F758" s="1287"/>
      <c r="I758" s="1065"/>
    </row>
    <row r="759" spans="1:11">
      <c r="D759" s="533"/>
      <c r="E759" s="480"/>
      <c r="F759" s="480"/>
      <c r="G759" s="535"/>
      <c r="H759" s="535"/>
      <c r="I759" s="1064"/>
      <c r="J759" s="535"/>
      <c r="K759" s="535"/>
    </row>
    <row r="760" spans="1:11" ht="14.4">
      <c r="A760" s="518"/>
      <c r="B760" s="519" t="s">
        <v>2657</v>
      </c>
      <c r="D760" s="1289" t="s">
        <v>1341</v>
      </c>
      <c r="E760" s="1289"/>
      <c r="F760" s="1289"/>
      <c r="G760" s="535"/>
      <c r="H760" s="535"/>
      <c r="I760" s="1064" t="s">
        <v>2183</v>
      </c>
      <c r="J760" s="535"/>
      <c r="K760" s="535"/>
    </row>
    <row r="761" spans="1:11">
      <c r="D761" s="1289"/>
      <c r="E761" s="1289"/>
      <c r="F761" s="1289"/>
      <c r="G761" s="535"/>
      <c r="H761" s="535"/>
      <c r="I761" s="1064"/>
      <c r="J761" s="535"/>
      <c r="K761" s="535"/>
    </row>
    <row r="762" spans="1:11">
      <c r="D762" s="479"/>
      <c r="E762" s="479"/>
      <c r="F762" s="479"/>
      <c r="G762" s="535"/>
      <c r="H762" s="535"/>
      <c r="I762" s="1064"/>
      <c r="J762" s="535"/>
      <c r="K762" s="535"/>
    </row>
    <row r="763" spans="1:11">
      <c r="B763" s="519" t="s">
        <v>2657</v>
      </c>
      <c r="D763" s="1289" t="s">
        <v>1358</v>
      </c>
      <c r="E763" s="1289"/>
      <c r="F763" s="1289"/>
      <c r="G763" s="535"/>
      <c r="H763" s="535"/>
      <c r="I763" s="1064" t="s">
        <v>2183</v>
      </c>
      <c r="J763" s="535"/>
      <c r="K763" s="535"/>
    </row>
    <row r="764" spans="1:11">
      <c r="D764" s="1289"/>
      <c r="E764" s="1289"/>
      <c r="F764" s="1289"/>
      <c r="G764" s="535"/>
      <c r="H764" s="535"/>
      <c r="I764" s="1064"/>
      <c r="J764" s="535"/>
      <c r="K764" s="535"/>
    </row>
    <row r="765" spans="1:11">
      <c r="D765" s="1289"/>
      <c r="E765" s="1289"/>
      <c r="F765" s="1289"/>
      <c r="G765" s="535"/>
      <c r="H765" s="535"/>
      <c r="I765" s="1064"/>
      <c r="J765" s="535"/>
      <c r="K765" s="535"/>
    </row>
    <row r="766" spans="1:11">
      <c r="D766" s="479"/>
      <c r="E766" s="479"/>
      <c r="F766" s="479"/>
      <c r="G766" s="535"/>
      <c r="H766" s="535"/>
      <c r="I766" s="1064"/>
      <c r="J766" s="535"/>
      <c r="K766" s="535"/>
    </row>
    <row r="767" spans="1:11">
      <c r="A767" s="1341" t="s">
        <v>2063</v>
      </c>
      <c r="B767" s="1341"/>
      <c r="C767" s="1341"/>
      <c r="D767" s="1341"/>
      <c r="E767" s="1341"/>
      <c r="F767" s="1341"/>
      <c r="G767" s="1341"/>
      <c r="H767" s="1070"/>
      <c r="I767" s="1071"/>
    </row>
    <row r="768" spans="1:11">
      <c r="A768" s="57"/>
      <c r="B768" s="57"/>
      <c r="C768" s="385"/>
      <c r="D768" s="3"/>
      <c r="E768" s="3"/>
      <c r="F768" s="3"/>
      <c r="G768" s="3"/>
    </row>
    <row r="769" spans="1:9">
      <c r="A769" s="57"/>
      <c r="B769" s="57"/>
      <c r="C769" s="385"/>
      <c r="D769" s="1342" t="s">
        <v>2117</v>
      </c>
      <c r="E769" s="1342"/>
      <c r="F769" s="1342"/>
      <c r="G769" s="3"/>
    </row>
    <row r="770" spans="1:9">
      <c r="A770" s="57"/>
      <c r="B770" s="57"/>
      <c r="C770" s="385"/>
      <c r="D770" s="1275" t="s">
        <v>2016</v>
      </c>
      <c r="E770" s="1275"/>
      <c r="F770" s="1275"/>
      <c r="G770" s="3"/>
    </row>
    <row r="771" spans="1:9">
      <c r="A771" s="57"/>
      <c r="B771" s="57"/>
      <c r="C771" s="385"/>
      <c r="D771" s="481"/>
      <c r="E771" s="481"/>
      <c r="F771" s="481"/>
      <c r="G771" s="3"/>
    </row>
    <row r="772" spans="1:9">
      <c r="A772" s="57"/>
      <c r="B772" s="519" t="s">
        <v>1106</v>
      </c>
      <c r="C772" s="385"/>
      <c r="D772" s="1302" t="s">
        <v>2017</v>
      </c>
      <c r="E772" s="1302"/>
      <c r="F772" s="1302"/>
      <c r="G772" s="3"/>
      <c r="I772" s="1064" t="s">
        <v>2233</v>
      </c>
    </row>
    <row r="773" spans="1:9">
      <c r="A773" s="57"/>
      <c r="B773" s="57"/>
      <c r="C773" s="385"/>
      <c r="D773" s="1302"/>
      <c r="E773" s="1302"/>
      <c r="F773" s="1302"/>
      <c r="G773" s="3"/>
    </row>
    <row r="774" spans="1:9">
      <c r="A774" s="175"/>
      <c r="B774" s="175"/>
      <c r="C774" s="175"/>
      <c r="D774" s="1302"/>
      <c r="E774" s="1302"/>
      <c r="F774" s="1302"/>
      <c r="G774" s="118"/>
    </row>
    <row r="775" spans="1:9">
      <c r="A775" s="385"/>
      <c r="B775" s="385"/>
      <c r="C775" s="385"/>
      <c r="D775" s="174"/>
      <c r="E775" s="3"/>
      <c r="F775" s="3"/>
      <c r="G775" s="3"/>
    </row>
    <row r="776" spans="1:9">
      <c r="A776" s="172"/>
      <c r="B776" s="519" t="s">
        <v>1106</v>
      </c>
      <c r="C776" s="172"/>
      <c r="D776" s="1302" t="s">
        <v>2018</v>
      </c>
      <c r="E776" s="1302"/>
      <c r="F776" s="1302"/>
      <c r="G776" s="3"/>
      <c r="I776" s="1064"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4"/>
      <c r="F779" s="1024"/>
      <c r="G779" s="1024"/>
    </row>
    <row r="780" spans="1:9" ht="14.4">
      <c r="A780" s="176"/>
      <c r="B780" s="519" t="s">
        <v>2657</v>
      </c>
      <c r="C780" s="1025"/>
      <c r="D780" s="1302" t="s">
        <v>2019</v>
      </c>
      <c r="E780" s="1302"/>
      <c r="F780" s="1302"/>
      <c r="G780" s="1024"/>
      <c r="I780" s="1064" t="s">
        <v>2233</v>
      </c>
    </row>
    <row r="781" spans="1:9" ht="14.4">
      <c r="A781" s="176"/>
      <c r="B781" s="176"/>
      <c r="C781" s="1025"/>
      <c r="D781" s="1302"/>
      <c r="E781" s="1302"/>
      <c r="F781" s="1302"/>
      <c r="G781" s="1024"/>
    </row>
    <row r="782" spans="1:9" ht="14.4">
      <c r="A782" s="176"/>
      <c r="B782" s="176"/>
      <c r="C782" s="1025"/>
      <c r="D782" s="1302"/>
      <c r="E782" s="1302"/>
      <c r="F782" s="1302"/>
      <c r="G782" s="1024"/>
    </row>
    <row r="783" spans="1:9" ht="14.4">
      <c r="A783" s="176"/>
      <c r="B783" s="176"/>
      <c r="C783" s="1025"/>
      <c r="D783" s="118"/>
      <c r="E783" s="3"/>
      <c r="F783" s="3"/>
      <c r="G783" s="1024"/>
    </row>
    <row r="784" spans="1:9" ht="14.4">
      <c r="A784" s="176"/>
      <c r="B784" s="519" t="s">
        <v>2657</v>
      </c>
      <c r="C784" s="1025"/>
      <c r="D784" s="1302" t="s">
        <v>2020</v>
      </c>
      <c r="E784" s="1302"/>
      <c r="F784" s="1302"/>
      <c r="G784" s="1024"/>
      <c r="I784" s="1064" t="s">
        <v>2233</v>
      </c>
    </row>
    <row r="785" spans="1:9" ht="14.4">
      <c r="A785" s="176"/>
      <c r="B785" s="176"/>
      <c r="C785" s="1025"/>
      <c r="D785" s="1302"/>
      <c r="E785" s="1302"/>
      <c r="F785" s="1302"/>
      <c r="G785" s="1024"/>
    </row>
    <row r="786" spans="1:9" ht="14.4">
      <c r="A786" s="176"/>
      <c r="B786" s="176"/>
      <c r="C786" s="1025"/>
      <c r="D786" s="1302"/>
      <c r="E786" s="1302"/>
      <c r="F786" s="1302"/>
      <c r="G786" s="1024"/>
    </row>
    <row r="787" spans="1:9" ht="14.4">
      <c r="A787" s="176"/>
      <c r="B787" s="176"/>
      <c r="C787" s="1025"/>
      <c r="D787" s="1302"/>
      <c r="E787" s="1302"/>
      <c r="F787" s="1302"/>
      <c r="G787" s="1024"/>
    </row>
    <row r="788" spans="1:9" ht="14.4">
      <c r="A788" s="176"/>
      <c r="B788" s="176"/>
      <c r="C788" s="1025"/>
      <c r="D788" s="1302"/>
      <c r="E788" s="1302"/>
      <c r="F788" s="1302"/>
      <c r="G788" s="1024"/>
    </row>
    <row r="789" spans="1:9" ht="14.4">
      <c r="A789" s="176"/>
      <c r="B789" s="176"/>
      <c r="C789" s="1025"/>
      <c r="D789" s="1302"/>
      <c r="E789" s="1302"/>
      <c r="F789" s="1302"/>
      <c r="G789" s="1024"/>
    </row>
    <row r="790" spans="1:9" ht="14.4">
      <c r="A790" s="176"/>
      <c r="B790" s="176"/>
      <c r="C790" s="1025"/>
      <c r="D790" s="1302" t="s">
        <v>2064</v>
      </c>
      <c r="E790" s="1302"/>
      <c r="F790" s="1302"/>
      <c r="G790" s="1024"/>
    </row>
    <row r="791" spans="1:9" ht="14.4">
      <c r="A791" s="176"/>
      <c r="B791" s="176"/>
      <c r="C791" s="1025"/>
      <c r="D791" s="1302"/>
      <c r="E791" s="1302"/>
      <c r="F791" s="1302"/>
      <c r="G791" s="1024"/>
    </row>
    <row r="792" spans="1:9" ht="14.4">
      <c r="A792" s="176"/>
      <c r="B792" s="176"/>
      <c r="C792" s="1025"/>
      <c r="D792" s="1302"/>
      <c r="E792" s="1302"/>
      <c r="F792" s="1302"/>
      <c r="G792" s="1024"/>
    </row>
    <row r="793" spans="1:9" ht="14.4">
      <c r="A793" s="176"/>
      <c r="B793" s="385"/>
      <c r="C793" s="1025"/>
      <c r="D793" s="1026"/>
      <c r="E793" s="1026"/>
      <c r="F793" s="1026"/>
      <c r="G793" s="1024"/>
    </row>
    <row r="794" spans="1:9" ht="14.4">
      <c r="A794" s="176"/>
      <c r="B794" s="519" t="s">
        <v>2657</v>
      </c>
      <c r="C794" s="1025"/>
      <c r="D794" s="1302" t="s">
        <v>2021</v>
      </c>
      <c r="E794" s="1302"/>
      <c r="F794" s="1302"/>
      <c r="G794" s="1024"/>
      <c r="I794" s="1064" t="s">
        <v>2233</v>
      </c>
    </row>
    <row r="795" spans="1:9" ht="14.4">
      <c r="A795" s="176"/>
      <c r="B795" s="176"/>
      <c r="C795" s="1025"/>
      <c r="D795" s="1302"/>
      <c r="E795" s="1302"/>
      <c r="F795" s="1302"/>
      <c r="G795" s="1024"/>
    </row>
    <row r="796" spans="1:9" ht="14.4">
      <c r="A796" s="176"/>
      <c r="B796" s="176"/>
      <c r="C796" s="1025"/>
      <c r="D796" s="1302"/>
      <c r="E796" s="1302"/>
      <c r="F796" s="1302"/>
      <c r="G796" s="1024"/>
    </row>
    <row r="797" spans="1:9" ht="14.4">
      <c r="A797" s="176"/>
      <c r="B797" s="176"/>
      <c r="C797" s="1025"/>
      <c r="D797" s="1302"/>
      <c r="E797" s="1302"/>
      <c r="F797" s="1302"/>
      <c r="G797" s="1024"/>
    </row>
    <row r="798" spans="1:9" ht="14.4">
      <c r="A798" s="176"/>
      <c r="B798" s="176"/>
      <c r="C798" s="1025"/>
      <c r="D798" s="1302"/>
      <c r="E798" s="1302"/>
      <c r="F798" s="1302"/>
      <c r="G798" s="1024"/>
    </row>
    <row r="799" spans="1:9" ht="14.4">
      <c r="A799" s="176"/>
      <c r="B799" s="176"/>
      <c r="C799" s="1025"/>
      <c r="D799" s="1302"/>
      <c r="E799" s="1302"/>
      <c r="F799" s="1302"/>
      <c r="G799" s="1024"/>
    </row>
    <row r="800" spans="1:9" ht="14.4">
      <c r="A800" s="176"/>
      <c r="B800" s="176"/>
      <c r="C800" s="1025"/>
      <c r="D800" s="1018"/>
      <c r="E800" s="1018"/>
      <c r="F800" s="1018"/>
      <c r="G800" s="1024"/>
    </row>
    <row r="801" spans="1:9" ht="14.4">
      <c r="A801" s="176"/>
      <c r="B801" s="519" t="s">
        <v>2657</v>
      </c>
      <c r="C801" s="1025"/>
      <c r="D801" s="1302" t="s">
        <v>2022</v>
      </c>
      <c r="E801" s="1302"/>
      <c r="F801" s="1302"/>
      <c r="G801" s="1024"/>
      <c r="I801" s="1064" t="s">
        <v>2233</v>
      </c>
    </row>
    <row r="802" spans="1:9" ht="14.4">
      <c r="A802" s="176"/>
      <c r="B802" s="176"/>
      <c r="C802" s="1025"/>
      <c r="D802" s="1302"/>
      <c r="E802" s="1302"/>
      <c r="F802" s="1302"/>
      <c r="G802" s="1024"/>
    </row>
    <row r="803" spans="1:9" ht="14.4">
      <c r="A803" s="176"/>
      <c r="B803" s="176"/>
      <c r="C803" s="1025"/>
      <c r="D803" s="1302"/>
      <c r="E803" s="1302"/>
      <c r="F803" s="1302"/>
      <c r="G803" s="1024"/>
    </row>
    <row r="804" spans="1:9" ht="14.4">
      <c r="A804" s="176"/>
      <c r="B804" s="176"/>
      <c r="C804" s="1025"/>
      <c r="D804" s="1302"/>
      <c r="E804" s="1302"/>
      <c r="F804" s="1302"/>
      <c r="G804" s="1024"/>
    </row>
    <row r="805" spans="1:9" ht="14.4">
      <c r="A805" s="176"/>
      <c r="B805" s="176"/>
      <c r="C805" s="1025"/>
      <c r="D805" s="1302"/>
      <c r="E805" s="1302"/>
      <c r="F805" s="1302"/>
      <c r="G805" s="1024"/>
    </row>
    <row r="806" spans="1:9" ht="14.4">
      <c r="A806" s="176"/>
      <c r="B806" s="176"/>
      <c r="C806" s="1025"/>
      <c r="D806" s="1302"/>
      <c r="E806" s="1302"/>
      <c r="F806" s="1302"/>
      <c r="G806" s="1024"/>
    </row>
    <row r="807" spans="1:9" ht="14.4">
      <c r="A807" s="176"/>
      <c r="B807" s="176"/>
      <c r="C807" s="1025"/>
      <c r="D807" s="1018"/>
      <c r="E807" s="1018"/>
      <c r="F807" s="1018"/>
      <c r="G807" s="1024"/>
    </row>
    <row r="808" spans="1:9" ht="14.4">
      <c r="A808" s="176"/>
      <c r="B808" s="519" t="s">
        <v>2657</v>
      </c>
      <c r="C808" s="1025"/>
      <c r="D808" s="1299" t="s">
        <v>2023</v>
      </c>
      <c r="E808" s="1299"/>
      <c r="F808" s="1299"/>
      <c r="G808" s="1024"/>
      <c r="I808" s="1064" t="s">
        <v>2233</v>
      </c>
    </row>
    <row r="809" spans="1:9" ht="14.4">
      <c r="A809" s="176"/>
      <c r="B809" s="176"/>
      <c r="C809" s="1025"/>
      <c r="D809" s="1299"/>
      <c r="E809" s="1299"/>
      <c r="F809" s="1299"/>
      <c r="G809" s="1024"/>
    </row>
    <row r="810" spans="1:9">
      <c r="A810" s="13"/>
      <c r="B810" s="13"/>
      <c r="C810" s="1025"/>
      <c r="D810" s="1299"/>
      <c r="E810" s="1299"/>
      <c r="F810" s="1299"/>
      <c r="G810" s="1024"/>
    </row>
    <row r="811" spans="1:9" ht="14.4">
      <c r="A811" s="176"/>
      <c r="B811" s="13"/>
      <c r="C811" s="1025"/>
      <c r="D811" s="1299"/>
      <c r="E811" s="1299"/>
      <c r="F811" s="1299"/>
      <c r="G811" s="1024"/>
    </row>
    <row r="812" spans="1:9" ht="12.75" customHeight="1">
      <c r="A812" s="176"/>
      <c r="B812" s="13"/>
      <c r="C812" s="1025"/>
      <c r="D812" s="1299"/>
      <c r="E812" s="1299"/>
      <c r="F812" s="1299"/>
      <c r="G812" s="1024"/>
    </row>
    <row r="813" spans="1:9" ht="12.75" customHeight="1">
      <c r="A813" s="176"/>
      <c r="B813" s="13"/>
      <c r="C813" s="1025"/>
      <c r="D813" s="1299"/>
      <c r="E813" s="1299"/>
      <c r="F813" s="1299"/>
      <c r="G813" s="1024"/>
    </row>
    <row r="814" spans="1:9" ht="12.75" customHeight="1">
      <c r="A814" s="13"/>
      <c r="B814" s="13"/>
      <c r="C814" s="1025"/>
      <c r="D814" s="1024"/>
      <c r="E814" s="3"/>
      <c r="F814" s="3"/>
      <c r="G814" s="1024"/>
    </row>
    <row r="815" spans="1:9" ht="12.75" customHeight="1">
      <c r="A815" s="1307" t="s">
        <v>2024</v>
      </c>
      <c r="B815" s="1307"/>
      <c r="C815" s="1307"/>
      <c r="D815" s="1307"/>
      <c r="E815" s="1307"/>
      <c r="F815" s="1307"/>
      <c r="G815" s="1307"/>
      <c r="H815" s="1070"/>
      <c r="I815" s="1071"/>
    </row>
    <row r="816" spans="1:9" ht="12.75" customHeight="1">
      <c r="A816" s="172"/>
      <c r="B816" s="172"/>
      <c r="C816" s="1025"/>
      <c r="D816" s="1024"/>
      <c r="E816" s="1024"/>
      <c r="F816" s="1024"/>
      <c r="G816" s="1024"/>
    </row>
    <row r="817" spans="1:9" ht="12.75" customHeight="1">
      <c r="A817" s="176"/>
      <c r="B817" s="176"/>
      <c r="C817" s="385"/>
      <c r="D817" s="1295" t="s">
        <v>2065</v>
      </c>
      <c r="E817" s="1295"/>
      <c r="F817" s="1295"/>
      <c r="G817" s="3"/>
    </row>
    <row r="818" spans="1:9" ht="14.25" customHeight="1">
      <c r="A818" s="176"/>
      <c r="B818" s="176"/>
      <c r="C818" s="385"/>
      <c r="D818" s="1262" t="s">
        <v>2025</v>
      </c>
      <c r="E818" s="1262"/>
      <c r="F818" s="1262"/>
      <c r="G818" s="3"/>
    </row>
    <row r="819" spans="1:9" ht="12.75" customHeight="1">
      <c r="A819" s="176"/>
      <c r="B819" s="176"/>
      <c r="C819" s="385"/>
      <c r="D819" s="474"/>
      <c r="E819" s="474"/>
      <c r="F819" s="474"/>
      <c r="G819" s="3"/>
    </row>
    <row r="820" spans="1:9" ht="12.75" customHeight="1">
      <c r="A820" s="385"/>
      <c r="B820" s="519" t="s">
        <v>1106</v>
      </c>
      <c r="C820" s="1025"/>
      <c r="D820" s="1262" t="s">
        <v>2026</v>
      </c>
      <c r="E820" s="1262"/>
      <c r="F820" s="1262"/>
      <c r="G820" s="3"/>
      <c r="I820" s="435" t="s">
        <v>2201</v>
      </c>
    </row>
    <row r="821" spans="1:9" ht="14.25" customHeight="1">
      <c r="A821" s="13"/>
      <c r="B821" s="13"/>
      <c r="C821" s="1025"/>
      <c r="E821" s="1079" t="s">
        <v>2277</v>
      </c>
      <c r="F821" s="1081"/>
      <c r="G821" s="3"/>
    </row>
    <row r="822" spans="1:9" ht="12.75" customHeight="1">
      <c r="A822" s="13"/>
      <c r="B822" s="13"/>
      <c r="C822" s="1025"/>
      <c r="D822" s="1027"/>
      <c r="E822" s="3"/>
      <c r="F822" s="3"/>
      <c r="G822" s="3"/>
    </row>
    <row r="823" spans="1:9" ht="14.25" hidden="1" customHeight="1">
      <c r="A823" s="13"/>
      <c r="B823" s="519" t="s">
        <v>309</v>
      </c>
      <c r="C823" s="1025"/>
      <c r="D823" s="1330" t="s">
        <v>2478</v>
      </c>
      <c r="E823" s="1330"/>
      <c r="F823" s="1330"/>
      <c r="G823" s="3"/>
    </row>
    <row r="824" spans="1:9" ht="12.75" hidden="1" customHeight="1">
      <c r="A824" s="13"/>
      <c r="B824" s="13"/>
      <c r="C824" s="1025"/>
      <c r="D824" s="1330"/>
      <c r="E824" s="1330"/>
      <c r="F824" s="1330"/>
      <c r="G824" s="3"/>
    </row>
    <row r="825" spans="1:9" ht="12.75" hidden="1" customHeight="1">
      <c r="A825" s="13"/>
      <c r="B825" s="13"/>
      <c r="C825" s="1025"/>
      <c r="D825" s="1330"/>
      <c r="E825" s="1330"/>
      <c r="F825" s="1330"/>
      <c r="G825" s="3"/>
    </row>
    <row r="826" spans="1:9" ht="12.75" hidden="1" customHeight="1">
      <c r="A826" s="13"/>
      <c r="B826" s="13"/>
      <c r="C826" s="1025"/>
      <c r="D826" s="1330"/>
      <c r="E826" s="1330"/>
      <c r="F826" s="1330"/>
      <c r="G826" s="3"/>
    </row>
    <row r="827" spans="1:9" ht="12.75" hidden="1" customHeight="1">
      <c r="A827" s="13"/>
      <c r="B827" s="13"/>
      <c r="C827" s="1025"/>
      <c r="D827" s="1330"/>
      <c r="E827" s="1330"/>
      <c r="F827" s="1330"/>
      <c r="G827" s="3"/>
    </row>
    <row r="828" spans="1:9" ht="12.75" hidden="1" customHeight="1">
      <c r="A828" s="13"/>
      <c r="B828" s="13"/>
      <c r="C828" s="1025"/>
      <c r="D828" s="1330"/>
      <c r="E828" s="1330"/>
      <c r="F828" s="1330"/>
      <c r="G828" s="3"/>
    </row>
    <row r="829" spans="1:9" ht="12.75" hidden="1" customHeight="1">
      <c r="A829" s="13"/>
      <c r="B829" s="13"/>
      <c r="C829" s="1025"/>
      <c r="D829" s="1330"/>
      <c r="E829" s="1330"/>
      <c r="F829" s="1330"/>
      <c r="G829" s="3"/>
    </row>
    <row r="830" spans="1:9" ht="12.75" hidden="1" customHeight="1">
      <c r="A830" s="13"/>
      <c r="B830" s="13"/>
      <c r="C830" s="1025"/>
      <c r="D830" s="1330"/>
      <c r="E830" s="1330"/>
      <c r="F830" s="1330"/>
      <c r="G830" s="3"/>
    </row>
    <row r="831" spans="1:9" ht="12.75" hidden="1" customHeight="1">
      <c r="A831" s="13"/>
      <c r="B831" s="13"/>
      <c r="C831" s="1025"/>
      <c r="D831" s="1330"/>
      <c r="E831" s="1330"/>
      <c r="F831" s="1330"/>
      <c r="G831" s="3"/>
    </row>
    <row r="832" spans="1:9" ht="12.75" hidden="1" customHeight="1">
      <c r="A832" s="13"/>
      <c r="B832" s="13"/>
      <c r="C832" s="1025"/>
      <c r="D832" s="1330"/>
      <c r="E832" s="1330"/>
      <c r="F832" s="1330"/>
      <c r="G832" s="3"/>
    </row>
    <row r="833" spans="1:9" ht="12.75" hidden="1" customHeight="1">
      <c r="A833" s="13"/>
      <c r="B833" s="13"/>
      <c r="C833" s="1025"/>
      <c r="D833" s="1027"/>
      <c r="E833" s="3"/>
      <c r="F833" s="3"/>
      <c r="G833" s="3"/>
    </row>
    <row r="834" spans="1:9" ht="12.75" customHeight="1">
      <c r="A834" s="176"/>
      <c r="B834" s="519" t="s">
        <v>1106</v>
      </c>
      <c r="C834" s="1025"/>
      <c r="D834" s="1262" t="s">
        <v>2027</v>
      </c>
      <c r="E834" s="1262"/>
      <c r="F834" s="1262"/>
      <c r="G834" s="3"/>
      <c r="I834" s="435" t="s">
        <v>2219</v>
      </c>
    </row>
    <row r="835" spans="1:9" ht="12.75" customHeight="1">
      <c r="A835" s="176"/>
      <c r="B835" s="176"/>
      <c r="C835" s="1025"/>
      <c r="D835" s="1262"/>
      <c r="E835" s="1262"/>
      <c r="F835" s="1262"/>
      <c r="G835" s="3"/>
    </row>
    <row r="836" spans="1:9" ht="12.75" customHeight="1">
      <c r="A836" s="176"/>
      <c r="B836" s="176"/>
      <c r="C836" s="1025"/>
      <c r="D836" s="1262"/>
      <c r="E836" s="1262"/>
      <c r="F836" s="1262"/>
      <c r="G836" s="3"/>
    </row>
    <row r="837" spans="1:9" ht="12.75" customHeight="1">
      <c r="A837" s="176"/>
      <c r="B837" s="176"/>
      <c r="C837" s="1025"/>
      <c r="D837" s="118"/>
      <c r="E837" s="3"/>
      <c r="F837" s="3"/>
      <c r="G837" s="3"/>
    </row>
    <row r="838" spans="1:9" ht="12.75" customHeight="1">
      <c r="A838" s="1028"/>
      <c r="B838" s="519" t="s">
        <v>2657</v>
      </c>
      <c r="C838" s="1025"/>
      <c r="D838" s="1295" t="s">
        <v>2028</v>
      </c>
      <c r="E838" s="1295"/>
      <c r="F838" s="1295"/>
      <c r="G838" s="3"/>
    </row>
    <row r="839" spans="1:9" ht="12.75" customHeight="1">
      <c r="A839" s="385"/>
      <c r="B839" s="1028"/>
      <c r="C839" s="1025"/>
      <c r="D839" s="1295"/>
      <c r="E839" s="1295"/>
      <c r="F839" s="1295"/>
      <c r="G839" s="3"/>
    </row>
    <row r="840" spans="1:9" ht="12.75" customHeight="1">
      <c r="A840" s="176"/>
      <c r="B840" s="385"/>
      <c r="C840" s="1025"/>
      <c r="D840" s="1262" t="s">
        <v>2469</v>
      </c>
      <c r="E840" s="1262"/>
      <c r="F840" s="1262"/>
      <c r="G840" s="3"/>
    </row>
    <row r="841" spans="1:9" ht="12.75" customHeight="1">
      <c r="A841" s="176"/>
      <c r="B841" s="176"/>
      <c r="C841" s="1025"/>
      <c r="D841" s="1262"/>
      <c r="E841" s="1262"/>
      <c r="F841" s="1262"/>
      <c r="G841" s="3"/>
    </row>
    <row r="842" spans="1:9" ht="12.75" customHeight="1">
      <c r="A842" s="176"/>
      <c r="B842" s="176"/>
      <c r="C842" s="1025"/>
      <c r="D842" s="1262"/>
      <c r="E842" s="1262"/>
      <c r="F842" s="1262"/>
      <c r="G842" s="3"/>
    </row>
    <row r="843" spans="1:9" ht="12.75" customHeight="1">
      <c r="A843" s="176"/>
      <c r="B843" s="176"/>
      <c r="C843" s="1025"/>
      <c r="D843" s="1262"/>
      <c r="E843" s="1262"/>
      <c r="F843" s="1262"/>
      <c r="G843" s="3"/>
    </row>
    <row r="844" spans="1:9" ht="12.75" customHeight="1">
      <c r="A844" s="176"/>
      <c r="B844" s="176"/>
      <c r="C844" s="1025"/>
      <c r="D844" s="1262"/>
      <c r="E844" s="1262"/>
      <c r="F844" s="1262"/>
      <c r="G844" s="3"/>
    </row>
    <row r="845" spans="1:9" ht="12.75" customHeight="1">
      <c r="A845" s="176"/>
      <c r="B845" s="176"/>
      <c r="C845" s="1025"/>
      <c r="D845" s="1262"/>
      <c r="E845" s="1262"/>
      <c r="F845" s="1262"/>
      <c r="G845" s="3"/>
    </row>
    <row r="846" spans="1:9" ht="12.75" customHeight="1">
      <c r="A846" s="176"/>
      <c r="B846" s="176"/>
      <c r="C846" s="1025"/>
      <c r="D846" s="118"/>
      <c r="E846" s="3"/>
      <c r="F846" s="3"/>
      <c r="G846" s="3"/>
    </row>
    <row r="847" spans="1:9" ht="12.75" customHeight="1">
      <c r="A847" s="176"/>
      <c r="B847" s="519" t="s">
        <v>2657</v>
      </c>
      <c r="C847" s="1025"/>
      <c r="D847" s="1262" t="s">
        <v>2029</v>
      </c>
      <c r="E847" s="1262"/>
      <c r="F847" s="1262"/>
      <c r="G847" s="3"/>
      <c r="I847" s="435" t="s">
        <v>2202</v>
      </c>
    </row>
    <row r="848" spans="1:9" ht="12.75" customHeight="1">
      <c r="A848" s="176"/>
      <c r="B848" s="176"/>
      <c r="C848" s="1025"/>
      <c r="D848" s="1262" t="s">
        <v>2030</v>
      </c>
      <c r="E848" s="1262"/>
      <c r="F848" s="1262"/>
      <c r="G848" s="3"/>
    </row>
    <row r="849" spans="1:9" ht="12.75" customHeight="1">
      <c r="A849" s="176"/>
      <c r="B849" s="176"/>
      <c r="C849" s="1025"/>
      <c r="E849" s="1079" t="s">
        <v>2279</v>
      </c>
      <c r="F849" s="1081"/>
      <c r="G849" s="3"/>
    </row>
    <row r="850" spans="1:9" ht="12.75" customHeight="1">
      <c r="A850" s="176"/>
      <c r="B850" s="176"/>
      <c r="C850" s="1025"/>
      <c r="D850" s="118"/>
      <c r="E850" s="3"/>
      <c r="F850" s="3"/>
      <c r="G850" s="3"/>
    </row>
    <row r="851" spans="1:9" ht="12.75" customHeight="1">
      <c r="A851" s="176"/>
      <c r="B851" s="519" t="s">
        <v>2657</v>
      </c>
      <c r="C851" s="1025"/>
      <c r="D851" s="1262" t="s">
        <v>2031</v>
      </c>
      <c r="E851" s="1262"/>
      <c r="F851" s="1262"/>
      <c r="G851" s="3"/>
      <c r="I851" s="435" t="s">
        <v>2220</v>
      </c>
    </row>
    <row r="852" spans="1:9" ht="12.75" customHeight="1">
      <c r="A852" s="176"/>
      <c r="B852" s="176"/>
      <c r="C852" s="1025"/>
      <c r="D852" s="1262"/>
      <c r="E852" s="1262"/>
      <c r="F852" s="1262"/>
      <c r="G852" s="3"/>
    </row>
    <row r="853" spans="1:9" ht="12.75" customHeight="1">
      <c r="A853" s="176"/>
      <c r="B853" s="176"/>
      <c r="C853" s="1025"/>
      <c r="D853" s="1262"/>
      <c r="E853" s="1262"/>
      <c r="F853" s="1262"/>
      <c r="G853" s="3"/>
    </row>
    <row r="854" spans="1:9" ht="12.75" customHeight="1">
      <c r="A854" s="176"/>
      <c r="B854" s="176"/>
      <c r="C854" s="1025"/>
      <c r="D854" s="1262"/>
      <c r="E854" s="1262"/>
      <c r="F854" s="1262"/>
      <c r="G854" s="3"/>
    </row>
    <row r="855" spans="1:9" ht="12.75" customHeight="1">
      <c r="A855" s="172"/>
      <c r="B855" s="172"/>
      <c r="C855" s="172"/>
      <c r="D855" s="118"/>
      <c r="E855" s="3"/>
      <c r="F855" s="3"/>
      <c r="G855" s="3"/>
    </row>
    <row r="856" spans="1:9" ht="12.75" customHeight="1">
      <c r="A856" s="1019" t="s">
        <v>2032</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5"/>
      <c r="B858" s="385"/>
      <c r="C858" s="175"/>
      <c r="D858" s="1278" t="s">
        <v>2066</v>
      </c>
      <c r="E858" s="1278"/>
      <c r="F858" s="1278"/>
      <c r="G858" s="1024"/>
    </row>
    <row r="859" spans="1:9" ht="12.75" customHeight="1">
      <c r="A859" s="385"/>
      <c r="B859" s="385"/>
      <c r="C859" s="175"/>
      <c r="D859" s="1329" t="s">
        <v>2033</v>
      </c>
      <c r="E859" s="1329"/>
      <c r="F859" s="1329"/>
      <c r="G859" s="1024"/>
    </row>
    <row r="860" spans="1:9" ht="12.75" customHeight="1">
      <c r="A860" s="385"/>
      <c r="B860" s="385"/>
      <c r="C860" s="175"/>
      <c r="D860" s="1031"/>
      <c r="E860" s="1031"/>
      <c r="F860" s="1031"/>
      <c r="G860" s="1024"/>
    </row>
    <row r="861" spans="1:9" ht="12.75" customHeight="1">
      <c r="A861" s="176"/>
      <c r="B861" s="519" t="s">
        <v>1106</v>
      </c>
      <c r="C861" s="385"/>
      <c r="D861" s="1273" t="s">
        <v>2034</v>
      </c>
      <c r="E861" s="1273"/>
      <c r="F861" s="1273"/>
      <c r="G861" s="1024"/>
      <c r="I861" s="435" t="s">
        <v>2202</v>
      </c>
    </row>
    <row r="862" spans="1:9" ht="12.75" customHeight="1">
      <c r="A862" s="385"/>
      <c r="B862" s="385"/>
      <c r="C862" s="385"/>
      <c r="D862" s="2" t="s">
        <v>2009</v>
      </c>
      <c r="E862" s="1079" t="s">
        <v>2279</v>
      </c>
      <c r="F862" s="1082"/>
      <c r="G862" s="1024"/>
    </row>
    <row r="863" spans="1:9" ht="12.75" customHeight="1">
      <c r="A863" s="385"/>
      <c r="B863" s="385"/>
      <c r="C863" s="385"/>
      <c r="D863" s="118"/>
      <c r="E863" s="1024"/>
      <c r="F863" s="1024"/>
      <c r="G863" s="1024"/>
    </row>
    <row r="864" spans="1:9" ht="12.75" customHeight="1">
      <c r="A864" s="176"/>
      <c r="B864" s="519" t="s">
        <v>1106</v>
      </c>
      <c r="C864" s="385"/>
      <c r="D864" s="1262" t="s">
        <v>2035</v>
      </c>
      <c r="E864" s="1280"/>
      <c r="F864" s="1280"/>
      <c r="G864" s="3"/>
      <c r="I864" s="435" t="s">
        <v>2220</v>
      </c>
    </row>
    <row r="865" spans="1:9" ht="12.75" customHeight="1">
      <c r="A865" s="385"/>
      <c r="B865" s="385"/>
      <c r="C865" s="385"/>
      <c r="D865" s="1280"/>
      <c r="E865" s="1280"/>
      <c r="F865" s="1280"/>
      <c r="G865" s="3"/>
    </row>
    <row r="866" spans="1:9" ht="12.75" customHeight="1">
      <c r="A866" s="385"/>
      <c r="B866" s="385"/>
      <c r="C866" s="385"/>
      <c r="D866" s="118"/>
      <c r="E866" s="3"/>
      <c r="F866" s="3"/>
      <c r="G866" s="3"/>
    </row>
    <row r="867" spans="1:9" ht="12.75" customHeight="1">
      <c r="A867" s="385"/>
      <c r="B867" s="519" t="s">
        <v>2657</v>
      </c>
      <c r="C867" s="385"/>
      <c r="D867" s="1327" t="s">
        <v>2036</v>
      </c>
      <c r="E867" s="1327"/>
      <c r="F867" s="1327"/>
      <c r="G867" s="1024"/>
    </row>
    <row r="868" spans="1:9" ht="12.75" customHeight="1">
      <c r="A868" s="385"/>
      <c r="B868" s="1032"/>
      <c r="C868" s="385"/>
      <c r="D868" s="1327"/>
      <c r="E868" s="1327"/>
      <c r="F868" s="1327"/>
      <c r="G868" s="1024"/>
    </row>
    <row r="869" spans="1:9" ht="12.75" customHeight="1">
      <c r="A869" s="176"/>
      <c r="B869"/>
      <c r="C869" s="385"/>
      <c r="D869" s="1262" t="s">
        <v>2469</v>
      </c>
      <c r="E869" s="1262"/>
      <c r="F869" s="1262"/>
      <c r="G869" s="1024"/>
    </row>
    <row r="870" spans="1:9" ht="12.75" customHeight="1">
      <c r="A870" s="176"/>
      <c r="B870" s="176"/>
      <c r="C870" s="385"/>
      <c r="D870" s="1262"/>
      <c r="E870" s="1262"/>
      <c r="F870" s="1262"/>
      <c r="G870" s="1024"/>
    </row>
    <row r="871" spans="1:9" ht="12.75" customHeight="1">
      <c r="A871" s="176"/>
      <c r="B871" s="176"/>
      <c r="C871" s="385"/>
      <c r="D871" s="1262"/>
      <c r="E871" s="1262"/>
      <c r="F871" s="1262"/>
      <c r="G871" s="1024"/>
    </row>
    <row r="872" spans="1:9" ht="12.75" customHeight="1">
      <c r="A872" s="176"/>
      <c r="B872" s="176"/>
      <c r="C872" s="385"/>
      <c r="D872" s="1262"/>
      <c r="E872" s="1262"/>
      <c r="F872" s="1262"/>
      <c r="G872" s="1024"/>
    </row>
    <row r="873" spans="1:9" ht="12.75" customHeight="1">
      <c r="A873" s="176"/>
      <c r="B873" s="176"/>
      <c r="C873" s="385"/>
      <c r="D873" s="1262"/>
      <c r="E873" s="1262"/>
      <c r="F873" s="1262"/>
      <c r="G873" s="1024"/>
    </row>
    <row r="874" spans="1:9" ht="12.75" customHeight="1">
      <c r="A874" s="176"/>
      <c r="B874" s="176"/>
      <c r="C874" s="385"/>
      <c r="D874" s="1262"/>
      <c r="E874" s="1262"/>
      <c r="F874" s="1262"/>
      <c r="G874" s="1024"/>
    </row>
    <row r="875" spans="1:9" ht="12.75" customHeight="1">
      <c r="A875" s="176"/>
      <c r="B875" s="176"/>
      <c r="C875" s="385"/>
      <c r="D875" s="118"/>
      <c r="E875" s="1024"/>
      <c r="F875" s="1024"/>
      <c r="G875" s="1024"/>
    </row>
    <row r="876" spans="1:9" ht="12.75" customHeight="1">
      <c r="A876" s="176"/>
      <c r="B876" s="519" t="s">
        <v>2657</v>
      </c>
      <c r="C876" s="385"/>
      <c r="D876" s="1305" t="s">
        <v>2029</v>
      </c>
      <c r="E876" s="1305"/>
      <c r="F876" s="1305"/>
      <c r="G876" s="1024"/>
      <c r="I876" s="435" t="s">
        <v>2202</v>
      </c>
    </row>
    <row r="877" spans="1:9" ht="12.75" customHeight="1">
      <c r="A877" s="176"/>
      <c r="B877" s="176"/>
      <c r="C877" s="385"/>
      <c r="D877" s="1305" t="s">
        <v>2030</v>
      </c>
      <c r="E877" s="1305"/>
      <c r="F877" s="1305"/>
      <c r="G877" s="1024"/>
    </row>
    <row r="878" spans="1:9" ht="12.75" customHeight="1">
      <c r="A878" s="176"/>
      <c r="B878" s="176"/>
      <c r="C878" s="385"/>
      <c r="D878" s="2" t="s">
        <v>1428</v>
      </c>
      <c r="E878" s="1079" t="s">
        <v>2279</v>
      </c>
      <c r="F878" s="1083"/>
      <c r="G878" s="1024"/>
    </row>
    <row r="879" spans="1:9" ht="12.75" customHeight="1">
      <c r="A879" s="176"/>
      <c r="B879" s="176"/>
      <c r="C879" s="385"/>
      <c r="D879" s="118"/>
      <c r="E879" s="1024"/>
      <c r="F879" s="1024"/>
      <c r="G879" s="1024"/>
    </row>
    <row r="880" spans="1:9" ht="12.75" customHeight="1">
      <c r="A880" s="176"/>
      <c r="B880" s="519" t="s">
        <v>2657</v>
      </c>
      <c r="C880" s="385"/>
      <c r="D880" s="1262" t="s">
        <v>2031</v>
      </c>
      <c r="E880" s="1262"/>
      <c r="F880" s="1262"/>
      <c r="G880" s="1024"/>
      <c r="I880" s="435" t="s">
        <v>2220</v>
      </c>
    </row>
    <row r="881" spans="1:9" ht="12.75" customHeight="1">
      <c r="A881" s="176"/>
      <c r="B881" s="176"/>
      <c r="C881" s="385"/>
      <c r="D881" s="1262"/>
      <c r="E881" s="1262"/>
      <c r="F881" s="1262"/>
      <c r="G881" s="1024"/>
    </row>
    <row r="882" spans="1:9" ht="12.75" customHeight="1">
      <c r="A882" s="176"/>
      <c r="B882" s="176"/>
      <c r="C882" s="385"/>
      <c r="D882" s="1262"/>
      <c r="E882" s="1262"/>
      <c r="F882" s="1262"/>
      <c r="G882" s="1024"/>
    </row>
    <row r="883" spans="1:9" ht="12.75" customHeight="1">
      <c r="A883" s="176"/>
      <c r="B883" s="176"/>
      <c r="C883" s="385"/>
      <c r="D883" s="1262"/>
      <c r="E883" s="1262"/>
      <c r="F883" s="1262"/>
      <c r="G883" s="1024"/>
    </row>
    <row r="884" spans="1:9" ht="12.75" customHeight="1">
      <c r="A884" s="118"/>
      <c r="B884" s="118"/>
      <c r="C884" s="1025"/>
      <c r="D884" s="1024"/>
      <c r="E884" s="1024"/>
      <c r="F884" s="1024"/>
      <c r="G884" s="1024"/>
    </row>
    <row r="885" spans="1:9" ht="12.75" customHeight="1">
      <c r="A885" s="1307" t="s">
        <v>2067</v>
      </c>
      <c r="B885" s="1307"/>
      <c r="C885" s="1307"/>
      <c r="D885" s="1307"/>
      <c r="E885" s="1307"/>
      <c r="F885" s="1307"/>
      <c r="G885" s="1307"/>
      <c r="H885" s="1070"/>
      <c r="I885" s="1071"/>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7"/>
      <c r="E888" s="1017"/>
      <c r="F888" s="1017"/>
      <c r="G888" s="57"/>
    </row>
    <row r="889" spans="1:9" ht="12.75" customHeight="1">
      <c r="A889" s="57"/>
      <c r="B889" s="519" t="s">
        <v>1106</v>
      </c>
      <c r="C889" s="57"/>
      <c r="D889" s="1020" t="s">
        <v>2074</v>
      </c>
      <c r="E889" s="1017"/>
      <c r="F889" s="1017"/>
      <c r="G889" s="57"/>
      <c r="I889" s="435" t="s">
        <v>2234</v>
      </c>
    </row>
    <row r="890" spans="1:9" ht="12.75" customHeight="1">
      <c r="A890" s="57"/>
      <c r="B890" s="57"/>
      <c r="C890" s="57"/>
      <c r="D890" s="1017"/>
      <c r="E890" s="1017"/>
      <c r="F890" s="1017"/>
      <c r="G890" s="57"/>
    </row>
    <row r="891" spans="1:9" ht="12.75" customHeight="1">
      <c r="A891" s="385"/>
      <c r="B891" s="385"/>
      <c r="C891" s="1025"/>
      <c r="D891" s="1301" t="s">
        <v>2068</v>
      </c>
      <c r="E891" s="1301"/>
      <c r="F891" s="1301"/>
      <c r="G891" s="1024"/>
    </row>
    <row r="892" spans="1:9" ht="12.75" customHeight="1">
      <c r="A892" s="172"/>
      <c r="B892" s="172"/>
      <c r="C892" s="172"/>
      <c r="D892" s="1273" t="s">
        <v>2037</v>
      </c>
      <c r="E892" s="1273"/>
      <c r="F892" s="1273"/>
      <c r="G892" s="1024"/>
    </row>
    <row r="893" spans="1:9" ht="12.75" customHeight="1">
      <c r="A893" s="1025"/>
      <c r="B893" s="1025"/>
      <c r="C893" s="1025"/>
      <c r="D893" s="2"/>
      <c r="E893" s="1024"/>
      <c r="F893" s="1024"/>
      <c r="G893" s="1024"/>
    </row>
    <row r="894" spans="1:9" ht="12.75" customHeight="1">
      <c r="A894" s="176"/>
      <c r="B894" s="519" t="s">
        <v>1106</v>
      </c>
      <c r="C894" s="385"/>
      <c r="D894" s="1262" t="s">
        <v>2041</v>
      </c>
      <c r="E894" s="1262"/>
      <c r="F894" s="1262"/>
      <c r="G894" s="3"/>
      <c r="I894" s="435" t="s">
        <v>2186</v>
      </c>
    </row>
    <row r="895" spans="1:9" ht="12.75" customHeight="1">
      <c r="A895" s="385"/>
      <c r="B895" s="385"/>
      <c r="C895" s="385"/>
      <c r="D895" s="1262"/>
      <c r="E895" s="1262"/>
      <c r="F895" s="1262"/>
      <c r="G895" s="3"/>
    </row>
    <row r="896" spans="1:9" ht="12.75" customHeight="1">
      <c r="A896" s="172"/>
      <c r="B896" s="172"/>
      <c r="C896" s="172"/>
      <c r="D896" s="1262" t="s">
        <v>2040</v>
      </c>
      <c r="E896" s="1262"/>
      <c r="F896" s="1262"/>
      <c r="G896" s="1024"/>
    </row>
    <row r="897" spans="1:9" ht="12.75" customHeight="1">
      <c r="A897" s="172"/>
      <c r="B897" s="172"/>
      <c r="C897" s="172"/>
      <c r="D897" s="1262"/>
      <c r="E897" s="1262"/>
      <c r="F897" s="1262"/>
      <c r="G897" s="1024"/>
    </row>
    <row r="898" spans="1:9" ht="12.75" customHeight="1">
      <c r="A898" s="172"/>
      <c r="B898" s="172"/>
      <c r="C898" s="172"/>
      <c r="D898" s="3"/>
      <c r="E898" s="3"/>
      <c r="F898" s="1024"/>
      <c r="G898" s="1024"/>
    </row>
    <row r="899" spans="1:9" ht="12.75" customHeight="1">
      <c r="A899" s="176"/>
      <c r="B899" s="519" t="s">
        <v>1106</v>
      </c>
      <c r="C899" s="175"/>
      <c r="D899" s="1272" t="s">
        <v>2038</v>
      </c>
      <c r="E899" s="1272"/>
      <c r="F899" s="1272"/>
      <c r="G899" s="1024"/>
      <c r="I899" s="435" t="s">
        <v>2185</v>
      </c>
    </row>
    <row r="900" spans="1:9" ht="12.75" customHeight="1">
      <c r="A900" s="176"/>
      <c r="B900" s="176"/>
      <c r="C900" s="175"/>
      <c r="D900" s="1272"/>
      <c r="E900" s="1272"/>
      <c r="F900" s="1272"/>
      <c r="G900" s="1024"/>
    </row>
    <row r="901" spans="1:9" ht="12.75" customHeight="1">
      <c r="A901" s="176"/>
      <c r="B901" s="176"/>
      <c r="C901" s="175"/>
      <c r="D901" s="1272"/>
      <c r="E901" s="1272"/>
      <c r="F901" s="1272"/>
      <c r="G901" s="1024"/>
    </row>
    <row r="902" spans="1:9" ht="12.75" customHeight="1">
      <c r="A902" s="176"/>
      <c r="B902" s="176"/>
      <c r="C902" s="175"/>
      <c r="D902" s="1272"/>
      <c r="E902" s="1272"/>
      <c r="F902" s="1272"/>
      <c r="G902" s="1024"/>
    </row>
    <row r="903" spans="1:9" ht="12.75" customHeight="1">
      <c r="A903" s="176"/>
      <c r="B903" s="176"/>
      <c r="C903" s="175"/>
      <c r="D903" s="1272"/>
      <c r="E903" s="1272"/>
      <c r="F903" s="1272"/>
      <c r="G903" s="1024"/>
    </row>
    <row r="904" spans="1:9" ht="12.75" customHeight="1">
      <c r="A904" s="175"/>
      <c r="B904" s="175"/>
      <c r="C904" s="175"/>
      <c r="D904" s="1272"/>
      <c r="E904" s="1272"/>
      <c r="F904" s="1272"/>
      <c r="G904" s="1024"/>
    </row>
    <row r="905" spans="1:9" ht="12.75" customHeight="1">
      <c r="A905" s="175"/>
      <c r="B905" s="175"/>
      <c r="C905" s="175"/>
      <c r="D905" s="1272"/>
      <c r="E905" s="1272"/>
      <c r="F905" s="1272"/>
      <c r="G905" s="1024"/>
    </row>
    <row r="906" spans="1:9" ht="12.75" customHeight="1">
      <c r="A906" s="175"/>
      <c r="B906" s="175"/>
      <c r="C906" s="175"/>
      <c r="D906" s="1272"/>
      <c r="E906" s="1272"/>
      <c r="F906" s="1272"/>
      <c r="G906" s="1024"/>
    </row>
    <row r="907" spans="1:9" ht="12.75" customHeight="1">
      <c r="A907" s="175"/>
      <c r="B907" s="175"/>
      <c r="C907" s="175"/>
      <c r="D907" s="363"/>
      <c r="E907" s="363"/>
      <c r="F907" s="363"/>
      <c r="G907" s="1024"/>
    </row>
    <row r="908" spans="1:9" ht="12.75" customHeight="1">
      <c r="A908" s="1025"/>
      <c r="B908" s="519" t="s">
        <v>2657</v>
      </c>
      <c r="C908" s="1025"/>
      <c r="D908" s="1262" t="s">
        <v>2042</v>
      </c>
      <c r="E908" s="1262"/>
      <c r="F908" s="1262"/>
      <c r="G908" s="1024"/>
    </row>
    <row r="909" spans="1:9" ht="12.75" customHeight="1">
      <c r="A909" s="1025"/>
      <c r="B909" s="1025"/>
      <c r="C909" s="1025"/>
      <c r="D909" s="1262"/>
      <c r="E909" s="1262"/>
      <c r="F909" s="1262"/>
      <c r="G909" s="1024"/>
    </row>
    <row r="910" spans="1:9" ht="12.75" customHeight="1">
      <c r="A910" s="1025"/>
      <c r="B910" s="1025"/>
      <c r="C910" s="1025"/>
      <c r="D910" s="1024"/>
      <c r="E910" s="1024"/>
      <c r="F910" s="1024"/>
      <c r="G910" s="1024"/>
    </row>
    <row r="911" spans="1:9" ht="12.75" customHeight="1">
      <c r="A911" s="1025"/>
      <c r="B911" s="519" t="s">
        <v>2657</v>
      </c>
      <c r="C911" s="1025"/>
      <c r="D911" s="1299" t="s">
        <v>2043</v>
      </c>
      <c r="E911" s="1299"/>
      <c r="F911" s="1299"/>
      <c r="G911" s="1024"/>
    </row>
    <row r="912" spans="1:9" ht="12.75" customHeight="1">
      <c r="A912" s="1025"/>
      <c r="B912" s="1025"/>
      <c r="C912" s="1025"/>
      <c r="D912" s="1299"/>
      <c r="E912" s="1299"/>
      <c r="F912" s="1299"/>
      <c r="G912" s="1024"/>
    </row>
    <row r="913" spans="1:9" ht="12.75" customHeight="1">
      <c r="A913" s="1025"/>
      <c r="B913" s="1025"/>
      <c r="C913" s="1025"/>
      <c r="D913" s="1299"/>
      <c r="E913" s="1299"/>
      <c r="F913" s="1299"/>
      <c r="G913" s="1024"/>
    </row>
    <row r="914" spans="1:9" ht="12.75" customHeight="1">
      <c r="A914" s="1025"/>
      <c r="B914" s="1025"/>
      <c r="C914" s="1025"/>
      <c r="D914" s="1299"/>
      <c r="E914" s="1299"/>
      <c r="F914" s="1299"/>
      <c r="G914" s="1024"/>
    </row>
    <row r="915" spans="1:9" ht="12.75" customHeight="1">
      <c r="A915" s="1025"/>
      <c r="B915" s="1025"/>
      <c r="C915" s="1025"/>
      <c r="D915" s="118"/>
      <c r="E915" s="1024"/>
      <c r="F915" s="1024"/>
      <c r="G915" s="1024"/>
    </row>
    <row r="916" spans="1:9" ht="12.75" customHeight="1">
      <c r="A916" s="1025"/>
      <c r="B916" s="519" t="s">
        <v>2657</v>
      </c>
      <c r="C916" s="1025"/>
      <c r="D916" s="1273" t="s">
        <v>2470</v>
      </c>
      <c r="E916" s="1273"/>
      <c r="F916" s="1273"/>
      <c r="G916" s="1024"/>
    </row>
    <row r="917" spans="1:9" ht="12.75" customHeight="1">
      <c r="A917" s="1025"/>
      <c r="B917" s="1025"/>
      <c r="C917" s="1025"/>
      <c r="D917" s="118"/>
      <c r="E917" s="1024"/>
      <c r="F917" s="1024"/>
      <c r="G917" s="1024"/>
    </row>
    <row r="918" spans="1:9" ht="12.75" customHeight="1">
      <c r="A918" s="1025"/>
      <c r="B918" s="519" t="s">
        <v>2657</v>
      </c>
      <c r="C918" s="1025"/>
      <c r="D918" s="1273" t="s">
        <v>2471</v>
      </c>
      <c r="E918" s="1273"/>
      <c r="F918" s="1273"/>
      <c r="G918" s="1024"/>
    </row>
    <row r="919" spans="1:9" ht="12.75" customHeight="1">
      <c r="A919" s="175"/>
      <c r="B919" s="175"/>
      <c r="C919" s="175"/>
      <c r="D919" s="2"/>
      <c r="E919" s="3"/>
      <c r="F919" s="1024"/>
      <c r="G919" s="1024"/>
    </row>
    <row r="920" spans="1:9" ht="12.75" customHeight="1">
      <c r="A920" s="1033"/>
      <c r="B920" s="519" t="s">
        <v>2657</v>
      </c>
      <c r="C920" s="1034"/>
      <c r="D920" s="1272" t="s">
        <v>2039</v>
      </c>
      <c r="E920" s="1272"/>
      <c r="F920" s="1272"/>
      <c r="G920" s="1035"/>
      <c r="I920" s="435" t="s">
        <v>2235</v>
      </c>
    </row>
    <row r="921" spans="1:9" ht="12.75" customHeight="1">
      <c r="A921" s="1033"/>
      <c r="B921" s="1033"/>
      <c r="C921" s="1034"/>
      <c r="D921" s="1272"/>
      <c r="E921" s="1272"/>
      <c r="F921" s="1272"/>
      <c r="G921" s="1035"/>
    </row>
    <row r="922" spans="1:9" ht="12.75" customHeight="1">
      <c r="A922" s="1033"/>
      <c r="B922" s="1033"/>
      <c r="C922" s="1034"/>
      <c r="D922" s="1272"/>
      <c r="E922" s="1272"/>
      <c r="F922" s="1272"/>
      <c r="G922" s="1035"/>
    </row>
    <row r="923" spans="1:9" ht="12.75" customHeight="1">
      <c r="A923" s="1033"/>
      <c r="B923" s="1033"/>
      <c r="C923" s="1034"/>
      <c r="D923" s="1272"/>
      <c r="E923" s="1272"/>
      <c r="F923" s="1272"/>
      <c r="G923" s="1035"/>
    </row>
    <row r="924" spans="1:9" ht="12.75" customHeight="1">
      <c r="A924" s="1033"/>
      <c r="B924" s="1033"/>
      <c r="C924" s="1034"/>
      <c r="D924" s="1272"/>
      <c r="E924" s="1272"/>
      <c r="F924" s="1272"/>
      <c r="G924" s="1035"/>
    </row>
    <row r="925" spans="1:9" ht="12.75" customHeight="1">
      <c r="A925" s="1033"/>
      <c r="B925" s="1033"/>
      <c r="C925" s="1034"/>
      <c r="D925" s="1272"/>
      <c r="E925" s="1272"/>
      <c r="F925" s="1272"/>
      <c r="G925" s="1035"/>
    </row>
    <row r="926" spans="1:9" ht="12.75" customHeight="1">
      <c r="A926" s="1033"/>
      <c r="B926" s="1033"/>
      <c r="C926" s="1034"/>
      <c r="D926" s="1272"/>
      <c r="E926" s="1272"/>
      <c r="F926" s="1272"/>
      <c r="G926" s="1035"/>
    </row>
    <row r="927" spans="1:9" ht="12.75" customHeight="1">
      <c r="A927" s="1033"/>
      <c r="B927" s="1033"/>
      <c r="C927" s="1034"/>
      <c r="D927" s="1272"/>
      <c r="E927" s="1272"/>
      <c r="F927" s="1272"/>
      <c r="G927" s="1035"/>
    </row>
    <row r="928" spans="1:9" ht="12.75" customHeight="1">
      <c r="A928" s="1033"/>
      <c r="B928" s="1033"/>
      <c r="C928" s="1034"/>
      <c r="D928" s="1272"/>
      <c r="E928" s="1272"/>
      <c r="F928" s="1272"/>
      <c r="G928" s="1035"/>
    </row>
    <row r="929" spans="1:9" ht="12.75" customHeight="1">
      <c r="A929" s="175"/>
      <c r="B929" s="175"/>
      <c r="C929" s="175"/>
      <c r="D929" s="2"/>
      <c r="E929" s="3"/>
      <c r="F929" s="1024"/>
      <c r="G929" s="1024"/>
    </row>
    <row r="930" spans="1:9" ht="12.75" customHeight="1">
      <c r="A930" s="176"/>
      <c r="B930" s="519" t="s">
        <v>1106</v>
      </c>
      <c r="C930" s="175"/>
      <c r="D930" s="1328" t="s">
        <v>2237</v>
      </c>
      <c r="E930" s="1328"/>
      <c r="F930" s="1328"/>
      <c r="G930" s="1024"/>
      <c r="I930" s="435" t="s">
        <v>2235</v>
      </c>
    </row>
    <row r="931" spans="1:9" ht="12.75" customHeight="1">
      <c r="A931" s="176"/>
      <c r="B931" s="176"/>
      <c r="C931" s="175"/>
      <c r="D931" s="1328"/>
      <c r="E931" s="1328"/>
      <c r="F931" s="1328"/>
      <c r="G931" s="1024"/>
    </row>
    <row r="932" spans="1:9" ht="12.75" customHeight="1">
      <c r="A932" s="176"/>
      <c r="B932" s="176"/>
      <c r="C932" s="175"/>
      <c r="D932" s="1328"/>
      <c r="E932" s="1328"/>
      <c r="F932" s="1328"/>
      <c r="G932" s="1024"/>
    </row>
    <row r="933" spans="1:9" ht="12.75" customHeight="1">
      <c r="A933" s="176"/>
      <c r="B933" s="176"/>
      <c r="C933" s="175"/>
      <c r="D933" s="1328"/>
      <c r="E933" s="1328"/>
      <c r="F933" s="1328"/>
      <c r="G933" s="1024"/>
    </row>
    <row r="934" spans="1:9" ht="12.75" customHeight="1">
      <c r="A934" s="176"/>
      <c r="B934" s="176"/>
      <c r="C934" s="175"/>
      <c r="D934" s="1328"/>
      <c r="E934" s="1328"/>
      <c r="F934" s="1328"/>
      <c r="G934" s="1024"/>
    </row>
    <row r="935" spans="1:9" ht="12.75" customHeight="1">
      <c r="A935" s="176"/>
      <c r="B935" s="176"/>
      <c r="C935" s="175"/>
      <c r="D935" s="1328"/>
      <c r="E935" s="1328"/>
      <c r="F935" s="1328"/>
      <c r="G935" s="1024"/>
    </row>
    <row r="936" spans="1:9" ht="12.75" customHeight="1">
      <c r="A936" s="176"/>
      <c r="B936" s="176"/>
      <c r="C936" s="175"/>
      <c r="D936" s="1328"/>
      <c r="E936" s="1328"/>
      <c r="F936" s="1328"/>
      <c r="G936" s="1024"/>
    </row>
    <row r="937" spans="1:9" ht="12.75" customHeight="1">
      <c r="A937" s="176"/>
      <c r="B937" s="176"/>
      <c r="C937" s="175"/>
      <c r="D937" s="1066"/>
      <c r="E937" s="1066"/>
      <c r="F937" s="1066"/>
      <c r="G937" s="1024"/>
    </row>
    <row r="938" spans="1:9" ht="12.75" customHeight="1">
      <c r="A938" s="176"/>
      <c r="B938" s="519" t="s">
        <v>1106</v>
      </c>
      <c r="C938" s="175"/>
      <c r="D938" s="1271" t="s">
        <v>2565</v>
      </c>
      <c r="E938" s="1271"/>
      <c r="F938" s="1271"/>
      <c r="G938" s="1024"/>
    </row>
    <row r="939" spans="1:9" ht="12.75" customHeight="1">
      <c r="A939" s="176"/>
      <c r="B939" s="176"/>
      <c r="C939" s="175"/>
      <c r="D939" s="1271"/>
      <c r="E939" s="1271"/>
      <c r="F939" s="1271"/>
      <c r="G939" s="1024"/>
    </row>
    <row r="940" spans="1:9" ht="12.75" customHeight="1">
      <c r="A940" s="176"/>
      <c r="B940" s="176"/>
      <c r="C940" s="175"/>
      <c r="D940" s="1271"/>
      <c r="E940" s="1271"/>
      <c r="F940" s="1271"/>
      <c r="G940" s="1024"/>
    </row>
    <row r="941" spans="1:9" ht="12.75" customHeight="1">
      <c r="A941" s="176"/>
      <c r="B941" s="176"/>
      <c r="C941" s="175"/>
      <c r="D941" s="1271"/>
      <c r="E941" s="1271"/>
      <c r="F941" s="1271"/>
      <c r="G941" s="1024"/>
    </row>
    <row r="942" spans="1:9" ht="12.75" customHeight="1">
      <c r="A942" s="176"/>
      <c r="B942" s="176"/>
      <c r="C942" s="175"/>
      <c r="D942" s="1271"/>
      <c r="E942" s="1271"/>
      <c r="F942" s="1271"/>
      <c r="G942" s="1024"/>
    </row>
    <row r="943" spans="1:9" ht="12.75" customHeight="1">
      <c r="A943" s="176"/>
      <c r="B943" s="176"/>
      <c r="C943" s="175"/>
      <c r="D943" s="1271"/>
      <c r="E943" s="1271"/>
      <c r="F943" s="1271"/>
      <c r="G943" s="1024"/>
    </row>
    <row r="944" spans="1:9" ht="12.75" customHeight="1">
      <c r="A944" s="176"/>
      <c r="B944" s="176"/>
      <c r="C944" s="175"/>
      <c r="D944" s="1066"/>
      <c r="E944" s="1066"/>
      <c r="F944" s="1066"/>
      <c r="G944" s="1024"/>
    </row>
    <row r="945" spans="1:9" ht="12.75" customHeight="1">
      <c r="A945" s="1025"/>
      <c r="B945" s="519" t="s">
        <v>2657</v>
      </c>
      <c r="C945" s="1025"/>
      <c r="D945" s="1299" t="s">
        <v>2044</v>
      </c>
      <c r="E945" s="1299"/>
      <c r="F945" s="1299"/>
      <c r="G945" s="1024"/>
    </row>
    <row r="946" spans="1:9" ht="12.75" customHeight="1">
      <c r="A946" s="1025"/>
      <c r="B946" s="1025"/>
      <c r="C946" s="1025"/>
      <c r="D946" s="1299"/>
      <c r="E946" s="1299"/>
      <c r="F946" s="1299"/>
      <c r="G946" s="1024"/>
    </row>
    <row r="947" spans="1:9" ht="12.75" customHeight="1">
      <c r="A947" s="1025"/>
      <c r="B947" s="1025"/>
      <c r="C947" s="1025"/>
      <c r="D947" s="1299"/>
      <c r="E947" s="1299"/>
      <c r="F947" s="1299"/>
      <c r="G947" s="1024"/>
    </row>
    <row r="948" spans="1:9" ht="12.75" customHeight="1">
      <c r="A948" s="176"/>
      <c r="B948" s="176"/>
      <c r="C948" s="175"/>
      <c r="D948" s="1066"/>
      <c r="E948" s="1066"/>
      <c r="F948" s="1066"/>
      <c r="G948" s="1024"/>
    </row>
    <row r="949" spans="1:9" ht="12.75" customHeight="1">
      <c r="A949" s="176"/>
      <c r="B949" s="176"/>
      <c r="C949" s="175"/>
      <c r="D949" s="879"/>
      <c r="E949" s="3"/>
      <c r="F949" s="1024"/>
      <c r="G949" s="1024"/>
    </row>
    <row r="950" spans="1:9" ht="12.75" customHeight="1">
      <c r="A950" s="176"/>
      <c r="B950" s="519" t="s">
        <v>2657</v>
      </c>
      <c r="C950" s="175"/>
      <c r="D950" s="1272" t="s">
        <v>2236</v>
      </c>
      <c r="E950" s="1272"/>
      <c r="F950" s="1272"/>
      <c r="G950" s="1024"/>
      <c r="I950" s="435" t="s">
        <v>2235</v>
      </c>
    </row>
    <row r="951" spans="1:9" ht="12.75" customHeight="1">
      <c r="A951" s="176"/>
      <c r="B951" s="176"/>
      <c r="C951" s="175"/>
      <c r="D951" s="1272"/>
      <c r="E951" s="1272"/>
      <c r="F951" s="1272"/>
      <c r="G951" s="1024"/>
    </row>
    <row r="952" spans="1:9" ht="12.75" customHeight="1">
      <c r="A952" s="176"/>
      <c r="B952" s="176"/>
      <c r="C952" s="175"/>
      <c r="D952" s="1272"/>
      <c r="E952" s="1272"/>
      <c r="F952" s="1272"/>
      <c r="G952" s="1024"/>
    </row>
    <row r="953" spans="1:9" ht="12.75" customHeight="1">
      <c r="A953" s="176"/>
      <c r="B953" s="176"/>
      <c r="C953" s="175"/>
      <c r="D953" s="1272"/>
      <c r="E953" s="1272"/>
      <c r="F953" s="1272"/>
      <c r="G953" s="1024"/>
    </row>
    <row r="954" spans="1:9" ht="12.75" customHeight="1">
      <c r="A954" s="1025"/>
      <c r="B954" s="1025"/>
      <c r="C954" s="1025"/>
      <c r="D954" s="1016"/>
      <c r="E954" s="1016"/>
      <c r="F954" s="1016"/>
      <c r="G954" s="1016"/>
    </row>
    <row r="955" spans="1:9" ht="12.75" customHeight="1">
      <c r="A955" s="385"/>
      <c r="B955" s="385"/>
      <c r="C955" s="385"/>
      <c r="D955" s="1278" t="s">
        <v>2045</v>
      </c>
      <c r="E955" s="1278"/>
      <c r="F955" s="1278"/>
      <c r="G955" s="3"/>
    </row>
    <row r="956" spans="1:9" ht="12.75" customHeight="1">
      <c r="A956" s="176"/>
      <c r="B956" s="519" t="s">
        <v>2657</v>
      </c>
      <c r="C956" s="385"/>
      <c r="D956" s="1273" t="s">
        <v>2069</v>
      </c>
      <c r="E956" s="1273"/>
      <c r="F956" s="1273"/>
      <c r="G956" s="3"/>
      <c r="I956" s="435" t="s">
        <v>2235</v>
      </c>
    </row>
    <row r="957" spans="1:9" ht="12.75" customHeight="1">
      <c r="A957" s="385"/>
      <c r="B957" s="385"/>
      <c r="C957" s="385"/>
      <c r="D957" s="3"/>
      <c r="E957" s="3"/>
      <c r="F957" s="3"/>
      <c r="G957" s="3"/>
    </row>
    <row r="958" spans="1:9" ht="12.75" customHeight="1">
      <c r="A958" s="385"/>
      <c r="B958" s="385"/>
      <c r="C958" s="385"/>
      <c r="D958" s="1278" t="s">
        <v>2046</v>
      </c>
      <c r="E958" s="1278"/>
      <c r="F958" s="1278"/>
      <c r="G958"/>
    </row>
    <row r="959" spans="1:9" ht="12.75" customHeight="1">
      <c r="A959" s="176"/>
      <c r="B959" s="519" t="s">
        <v>2657</v>
      </c>
      <c r="C959" s="385"/>
      <c r="D959" s="1262" t="s">
        <v>2472</v>
      </c>
      <c r="E959" s="1262"/>
      <c r="F959" s="1262"/>
      <c r="G959"/>
      <c r="I959" s="435" t="s">
        <v>2235</v>
      </c>
    </row>
    <row r="960" spans="1:9" ht="12.75" customHeight="1">
      <c r="A960" s="176"/>
      <c r="B960" s="176"/>
      <c r="C960" s="385"/>
      <c r="D960" s="1262"/>
      <c r="E960" s="1262"/>
      <c r="F960" s="1262"/>
      <c r="G960"/>
    </row>
    <row r="961" spans="1:9" ht="12.75" customHeight="1">
      <c r="A961" s="176"/>
      <c r="B961" s="176"/>
      <c r="C961" s="385"/>
      <c r="D961" s="1262"/>
      <c r="E961" s="1262"/>
      <c r="F961" s="1262"/>
      <c r="G961"/>
    </row>
    <row r="962" spans="1:9" ht="12.75" customHeight="1">
      <c r="A962" s="176"/>
      <c r="B962" s="176"/>
      <c r="C962" s="385"/>
      <c r="D962" s="1262"/>
      <c r="E962" s="1262"/>
      <c r="F962" s="1262"/>
      <c r="G962"/>
    </row>
    <row r="963" spans="1:9" ht="12.75" customHeight="1">
      <c r="A963" s="176"/>
      <c r="B963" s="176"/>
      <c r="C963" s="385"/>
      <c r="D963" s="1262"/>
      <c r="E963" s="1262"/>
      <c r="F963" s="1262"/>
      <c r="G963"/>
    </row>
    <row r="964" spans="1:9" ht="12.75" customHeight="1">
      <c r="A964" s="176"/>
      <c r="B964" s="176"/>
      <c r="C964" s="385"/>
      <c r="D964" s="1262"/>
      <c r="E964" s="1262"/>
      <c r="F964" s="1262"/>
      <c r="G964"/>
    </row>
    <row r="965" spans="1:9" ht="12.75" customHeight="1">
      <c r="A965" s="176"/>
      <c r="B965" s="176"/>
      <c r="C965" s="385"/>
      <c r="D965" s="1262"/>
      <c r="E965" s="1262"/>
      <c r="F965" s="1262"/>
      <c r="G965"/>
    </row>
    <row r="966" spans="1:9" ht="12.75" customHeight="1">
      <c r="A966" s="176"/>
      <c r="B966" s="176"/>
      <c r="C966" s="385"/>
      <c r="D966" s="1262"/>
      <c r="E966" s="1262"/>
      <c r="F966" s="1262"/>
      <c r="G966"/>
    </row>
    <row r="967" spans="1:9" ht="12.75" customHeight="1">
      <c r="A967" s="176"/>
      <c r="B967" s="176"/>
      <c r="C967" s="385"/>
      <c r="D967" s="1262"/>
      <c r="E967" s="1262"/>
      <c r="F967" s="1262"/>
      <c r="G967"/>
    </row>
    <row r="968" spans="1:9" ht="12.75" customHeight="1">
      <c r="A968" s="176"/>
      <c r="B968" s="176"/>
      <c r="C968" s="385"/>
      <c r="D968" s="1262"/>
      <c r="E968" s="1262"/>
      <c r="F968" s="1262"/>
      <c r="G968"/>
    </row>
    <row r="969" spans="1:9" ht="12.75" customHeight="1">
      <c r="A969" s="176"/>
      <c r="B969" s="176"/>
      <c r="C969" s="385"/>
      <c r="D969" s="1262"/>
      <c r="E969" s="1262"/>
      <c r="F969" s="1262"/>
      <c r="G969"/>
    </row>
    <row r="970" spans="1:9" ht="12.75" customHeight="1">
      <c r="A970" s="176"/>
      <c r="B970" s="176"/>
      <c r="C970" s="385"/>
      <c r="D970" s="1262"/>
      <c r="E970" s="1262"/>
      <c r="F970" s="1262"/>
      <c r="G970"/>
    </row>
    <row r="971" spans="1:9" ht="12.75" customHeight="1">
      <c r="A971" s="176"/>
      <c r="B971" s="176"/>
      <c r="C971" s="385"/>
      <c r="D971" s="1262"/>
      <c r="E971" s="1262"/>
      <c r="F971" s="1262"/>
      <c r="G971"/>
    </row>
    <row r="972" spans="1:9" ht="12.75" customHeight="1">
      <c r="A972" s="176"/>
      <c r="B972" s="176"/>
      <c r="C972" s="385"/>
      <c r="D972" s="1262"/>
      <c r="E972" s="1262"/>
      <c r="F972" s="1262"/>
      <c r="G972"/>
    </row>
    <row r="973" spans="1:9" ht="12.75" customHeight="1">
      <c r="A973" s="176"/>
      <c r="B973" s="176"/>
      <c r="C973" s="385"/>
      <c r="D973" s="1262"/>
      <c r="E973" s="1262"/>
      <c r="F973" s="1262"/>
      <c r="G973" s="3"/>
    </row>
    <row r="974" spans="1:9" ht="12.75" customHeight="1">
      <c r="A974" s="385"/>
      <c r="B974" s="385"/>
      <c r="C974" s="385"/>
      <c r="D974" s="3"/>
      <c r="E974" s="3"/>
      <c r="F974" s="3"/>
      <c r="G974" s="3"/>
    </row>
    <row r="975" spans="1:9" ht="12.75" customHeight="1">
      <c r="A975" s="1307" t="s">
        <v>2047</v>
      </c>
      <c r="B975" s="1307"/>
      <c r="C975" s="1307"/>
      <c r="D975" s="1307"/>
      <c r="E975" s="1307"/>
      <c r="F975" s="1307"/>
      <c r="G975" s="1307"/>
      <c r="H975" s="1070"/>
      <c r="I975" s="1071"/>
    </row>
    <row r="976" spans="1:9" ht="12.75" customHeight="1">
      <c r="A976" s="118"/>
      <c r="B976" s="118"/>
      <c r="C976" s="385"/>
      <c r="D976" s="3"/>
      <c r="E976" s="3"/>
      <c r="F976" s="3"/>
      <c r="G976" s="3"/>
    </row>
    <row r="977" spans="1:9" ht="12.75" customHeight="1">
      <c r="A977" s="385"/>
      <c r="B977" s="385"/>
      <c r="C977" s="1025"/>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4"/>
      <c r="G979"/>
    </row>
    <row r="980" spans="1:9" ht="12.75" customHeight="1">
      <c r="A980" s="385"/>
      <c r="B980" s="519" t="s">
        <v>1106</v>
      </c>
      <c r="C980" s="385"/>
      <c r="D980" s="1326" t="s">
        <v>2297</v>
      </c>
      <c r="E980" s="1326"/>
      <c r="F980" s="1326"/>
      <c r="G980"/>
      <c r="I980" s="435" t="s">
        <v>2215</v>
      </c>
    </row>
    <row r="981" spans="1:9" ht="12.75" customHeight="1">
      <c r="A981" s="385"/>
      <c r="B981" s="385"/>
      <c r="C981" s="385"/>
      <c r="D981" s="1326"/>
      <c r="E981" s="1326"/>
      <c r="F981" s="1326"/>
      <c r="G981"/>
    </row>
    <row r="982" spans="1:9" ht="12.75" customHeight="1">
      <c r="A982" s="385"/>
      <c r="B982" s="385"/>
      <c r="C982" s="385"/>
      <c r="D982" s="1081"/>
      <c r="E982" s="1079" t="s">
        <v>2298</v>
      </c>
      <c r="F982" s="1081"/>
      <c r="G982"/>
    </row>
    <row r="983" spans="1:9" ht="12.75" customHeight="1">
      <c r="A983" s="385"/>
      <c r="B983" s="385"/>
      <c r="C983" s="385"/>
      <c r="D983" s="1266" t="s">
        <v>2296</v>
      </c>
      <c r="E983" s="1266"/>
      <c r="F983" s="1266"/>
      <c r="G983"/>
    </row>
    <row r="984" spans="1:9" ht="12.75" customHeight="1">
      <c r="A984" s="385"/>
      <c r="B984" s="385"/>
      <c r="C984" s="385"/>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3"/>
      <c r="E987" s="363"/>
      <c r="F987" s="363"/>
      <c r="G987"/>
    </row>
    <row r="988" spans="1:9" ht="12.75" customHeight="1">
      <c r="A988" s="175"/>
      <c r="B988" s="519" t="s">
        <v>2657</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4"/>
      <c r="E992" s="474"/>
      <c r="F992" s="474"/>
      <c r="G992"/>
    </row>
    <row r="993" spans="1:7" ht="12.75" customHeight="1">
      <c r="A993" s="175"/>
      <c r="B993" s="519" t="s">
        <v>2657</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4"/>
      <c r="E995" s="474"/>
      <c r="F995" s="474"/>
      <c r="G995"/>
    </row>
    <row r="996" spans="1:7" ht="12.75" customHeight="1">
      <c r="A996" s="176"/>
      <c r="B996" s="519" t="s">
        <v>1106</v>
      </c>
      <c r="C996" s="385"/>
      <c r="D996" s="1273" t="s">
        <v>2051</v>
      </c>
      <c r="E996" s="1273"/>
      <c r="F996" s="1273"/>
      <c r="G996"/>
    </row>
    <row r="997" spans="1:7" ht="12.75" customHeight="1">
      <c r="A997" s="385"/>
      <c r="B997" s="385"/>
      <c r="C997" s="385"/>
      <c r="D997" s="3"/>
      <c r="E997" s="3"/>
      <c r="F997" s="3"/>
      <c r="G997"/>
    </row>
    <row r="998" spans="1:7" ht="12.75" customHeight="1">
      <c r="A998" s="176"/>
      <c r="B998" s="519" t="s">
        <v>2657</v>
      </c>
      <c r="C998" s="385"/>
      <c r="D998" s="1273" t="s">
        <v>2052</v>
      </c>
      <c r="E998" s="1273"/>
      <c r="F998" s="1273"/>
      <c r="G998"/>
    </row>
    <row r="999" spans="1:7" ht="12.75" customHeight="1">
      <c r="A999" s="385"/>
      <c r="B999" s="385"/>
      <c r="C999" s="385"/>
      <c r="D999" s="118"/>
      <c r="E999" s="3"/>
      <c r="F999" s="3"/>
      <c r="G999"/>
    </row>
    <row r="1000" spans="1:7" ht="12.75" customHeight="1">
      <c r="A1000" s="176"/>
      <c r="B1000" s="519" t="s">
        <v>1106</v>
      </c>
      <c r="C1000" s="385"/>
      <c r="D1000" s="1273" t="s">
        <v>2053</v>
      </c>
      <c r="E1000" s="1273"/>
      <c r="F1000" s="1273"/>
      <c r="G1000"/>
    </row>
    <row r="1001" spans="1:7" ht="12.75" customHeight="1">
      <c r="A1001" s="385"/>
      <c r="B1001" s="385"/>
      <c r="C1001" s="385"/>
      <c r="D1001" s="118"/>
      <c r="E1001" s="3"/>
      <c r="F1001" s="3"/>
      <c r="G1001"/>
    </row>
    <row r="1002" spans="1:7" ht="12.75" customHeight="1">
      <c r="A1002" s="176"/>
      <c r="B1002" s="519" t="s">
        <v>2657</v>
      </c>
      <c r="C1002" s="385"/>
      <c r="D1002" s="1262" t="s">
        <v>2054</v>
      </c>
      <c r="E1002" s="1262"/>
      <c r="F1002" s="1262"/>
      <c r="G1002"/>
    </row>
    <row r="1003" spans="1:7" ht="12.75" customHeight="1">
      <c r="A1003" s="176"/>
      <c r="B1003" s="176"/>
      <c r="C1003" s="385"/>
      <c r="D1003" s="1262"/>
      <c r="E1003" s="1262"/>
      <c r="F1003" s="1262"/>
      <c r="G1003"/>
    </row>
    <row r="1004" spans="1:7" ht="12.75" customHeight="1">
      <c r="A1004" s="176"/>
      <c r="B1004" s="176"/>
      <c r="C1004" s="385"/>
      <c r="D1004" s="118"/>
      <c r="E1004" s="3"/>
      <c r="F1004" s="3"/>
      <c r="G1004" s="3"/>
    </row>
    <row r="1005" spans="1:7" ht="12.75" customHeight="1">
      <c r="A1005" s="271"/>
      <c r="B1005" s="519" t="s">
        <v>2657</v>
      </c>
      <c r="C1005" s="1036"/>
      <c r="D1005" s="1302" t="s">
        <v>2055</v>
      </c>
      <c r="E1005" s="1302"/>
      <c r="F1005" s="1302"/>
      <c r="G1005" s="1037"/>
    </row>
    <row r="1006" spans="1:7" ht="12.75" customHeight="1">
      <c r="A1006" s="1036"/>
      <c r="B1006" s="1036"/>
      <c r="C1006" s="1036"/>
      <c r="D1006" s="1302"/>
      <c r="E1006" s="1302"/>
      <c r="F1006" s="1302"/>
      <c r="G1006" s="1037"/>
    </row>
    <row r="1007" spans="1:7" ht="12.75" customHeight="1">
      <c r="A1007" s="1036"/>
      <c r="B1007" s="1036"/>
      <c r="C1007" s="1036"/>
      <c r="D1007" s="1020"/>
      <c r="E1007" s="1037"/>
      <c r="F1007" s="1037"/>
      <c r="G1007" s="1037"/>
    </row>
    <row r="1008" spans="1:7" ht="12.75" customHeight="1">
      <c r="A1008" s="271"/>
      <c r="B1008" s="519" t="s">
        <v>2657</v>
      </c>
      <c r="C1008" s="1036"/>
      <c r="D1008" s="1320" t="s">
        <v>2056</v>
      </c>
      <c r="E1008" s="1320"/>
      <c r="F1008" s="1320"/>
      <c r="G1008" s="1037"/>
    </row>
    <row r="1009" spans="1:9" ht="12.75" customHeight="1">
      <c r="A1009" s="1036"/>
      <c r="B1009" s="1036"/>
      <c r="C1009" s="1036"/>
      <c r="D1009" s="1020"/>
      <c r="E1009" s="1037"/>
      <c r="F1009" s="1037"/>
      <c r="G1009" s="1037"/>
    </row>
    <row r="1010" spans="1:9" ht="12.75" customHeight="1">
      <c r="A1010" s="176"/>
      <c r="B1010" s="519" t="s">
        <v>2657</v>
      </c>
      <c r="C1010" s="385"/>
      <c r="D1010" s="1273" t="s">
        <v>2057</v>
      </c>
      <c r="E1010" s="1273"/>
      <c r="F1010" s="1273"/>
      <c r="G1010" s="3"/>
    </row>
    <row r="1011" spans="1:9" ht="12.75" customHeight="1">
      <c r="A1011" s="176"/>
      <c r="B1011" s="176"/>
      <c r="C1011" s="385"/>
      <c r="D1011" s="118"/>
      <c r="E1011" s="3"/>
      <c r="F1011" s="3"/>
      <c r="G1011" s="3"/>
    </row>
    <row r="1012" spans="1:9" ht="12.75" customHeight="1">
      <c r="A1012" s="176"/>
      <c r="B1012" s="519" t="s">
        <v>2657</v>
      </c>
      <c r="C1012" s="385"/>
      <c r="D1012" s="1262" t="s">
        <v>2058</v>
      </c>
      <c r="E1012" s="1262"/>
      <c r="F1012" s="1262"/>
      <c r="G1012" s="3"/>
    </row>
    <row r="1013" spans="1:9" ht="12.75" customHeight="1">
      <c r="A1013" s="176"/>
      <c r="B1013" s="176"/>
      <c r="C1013" s="385"/>
      <c r="D1013" s="1262"/>
      <c r="E1013" s="1262"/>
      <c r="F1013" s="1262"/>
      <c r="G1013" s="3"/>
    </row>
    <row r="1014" spans="1:9" ht="12.75" customHeight="1">
      <c r="A1014" s="385"/>
      <c r="B1014" s="385"/>
      <c r="C1014" s="385"/>
      <c r="D1014" s="3"/>
      <c r="E1014" s="3"/>
      <c r="F1014" s="3"/>
      <c r="G1014" s="3"/>
    </row>
    <row r="1015" spans="1:9" ht="12.75" customHeight="1">
      <c r="A1015" s="1307" t="s">
        <v>2059</v>
      </c>
      <c r="B1015" s="1307"/>
      <c r="C1015" s="1307"/>
      <c r="D1015" s="1307"/>
      <c r="E1015" s="1307"/>
      <c r="F1015" s="1307"/>
      <c r="G1015" s="1307"/>
      <c r="H1015" s="1070"/>
      <c r="I1015" s="1071"/>
    </row>
    <row r="1016" spans="1:9" ht="12.75" customHeight="1">
      <c r="A1016" s="385"/>
      <c r="B1016" s="385"/>
      <c r="C1016" s="385"/>
      <c r="D1016" s="3"/>
      <c r="E1016" s="3"/>
      <c r="F1016" s="3"/>
      <c r="G1016" s="3"/>
    </row>
    <row r="1017" spans="1:9" ht="12.75" customHeight="1">
      <c r="A1017" s="385"/>
      <c r="B1017" s="385"/>
      <c r="C1017" s="385"/>
      <c r="D1017" s="1301" t="s">
        <v>2060</v>
      </c>
      <c r="E1017" s="1301"/>
      <c r="F1017" s="1301"/>
      <c r="G1017" s="3"/>
    </row>
    <row r="1018" spans="1:9" ht="12.75" customHeight="1">
      <c r="A1018" s="385"/>
      <c r="B1018" s="385"/>
      <c r="C1018" s="385"/>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5" t="s">
        <v>2187</v>
      </c>
    </row>
    <row r="1021" spans="1:9" ht="12.75" customHeight="1">
      <c r="A1021" s="385"/>
      <c r="B1021" s="519" t="s">
        <v>1106</v>
      </c>
      <c r="C1021" s="385"/>
      <c r="D1021" s="1320" t="s">
        <v>1429</v>
      </c>
      <c r="E1021" s="1320"/>
      <c r="F1021" s="1320"/>
      <c r="G1021" s="3"/>
    </row>
    <row r="1022" spans="1:9" ht="12.75" customHeight="1">
      <c r="A1022" s="385"/>
      <c r="B1022" s="176"/>
      <c r="C1022" s="385"/>
      <c r="D1022" s="1320" t="s">
        <v>2062</v>
      </c>
      <c r="E1022" s="1320"/>
      <c r="F1022" s="1320"/>
      <c r="G1022" s="3"/>
    </row>
    <row r="1023" spans="1:9" ht="12.75" customHeight="1">
      <c r="A1023" s="385"/>
      <c r="B1023" s="385"/>
      <c r="C1023" s="385"/>
      <c r="D1023" s="1320"/>
      <c r="E1023" s="1320"/>
      <c r="F1023" s="1320"/>
      <c r="G1023" s="3"/>
    </row>
    <row r="1024" spans="1:9" ht="12.75" customHeight="1">
      <c r="A1024" s="1307" t="s">
        <v>2071</v>
      </c>
      <c r="B1024" s="1307"/>
      <c r="C1024" s="1307"/>
      <c r="D1024" s="1307"/>
      <c r="E1024" s="1307"/>
      <c r="F1024" s="1307"/>
      <c r="G1024" s="1307"/>
      <c r="H1024" s="1070"/>
      <c r="I1024" s="1071"/>
    </row>
    <row r="1025" spans="1:9" ht="12.75" customHeight="1">
      <c r="A1025" s="118"/>
      <c r="B1025" s="118"/>
      <c r="C1025" s="385"/>
      <c r="D1025" s="3"/>
      <c r="E1025" s="3"/>
      <c r="F1025" s="3"/>
      <c r="G1025" s="3"/>
    </row>
    <row r="1026" spans="1:9" ht="12.75" customHeight="1">
      <c r="A1026" s="118"/>
      <c r="B1026" s="433"/>
      <c r="D1026" s="1309" t="s">
        <v>1430</v>
      </c>
      <c r="E1026" s="1309"/>
      <c r="F1026" s="1309"/>
      <c r="G1026" s="3"/>
    </row>
    <row r="1027" spans="1:9" ht="12.75" customHeight="1">
      <c r="A1027" s="118"/>
      <c r="B1027" s="519" t="s">
        <v>1106</v>
      </c>
      <c r="D1027" s="1311" t="s">
        <v>1429</v>
      </c>
      <c r="E1027" s="1311"/>
      <c r="F1027" s="1311"/>
      <c r="G1027" s="3"/>
    </row>
    <row r="1028" spans="1:9" ht="12.75" customHeight="1">
      <c r="A1028" s="118"/>
      <c r="B1028" s="433"/>
      <c r="D1028" s="1311" t="s">
        <v>2072</v>
      </c>
      <c r="E1028" s="1311"/>
      <c r="F1028" s="1311"/>
      <c r="G1028" s="3"/>
    </row>
    <row r="1029" spans="1:9" ht="12.75" customHeight="1">
      <c r="A1029" s="118"/>
      <c r="B1029" s="433"/>
      <c r="D1029" s="478"/>
      <c r="E1029" s="478"/>
      <c r="F1029" s="478"/>
      <c r="G1029" s="3"/>
    </row>
    <row r="1030" spans="1:9" ht="12.75" customHeight="1">
      <c r="A1030" s="118"/>
      <c r="B1030" s="118"/>
      <c r="C1030" s="385"/>
      <c r="D1030" s="1321" t="s">
        <v>1132</v>
      </c>
      <c r="E1030" s="1321"/>
      <c r="F1030" s="1321"/>
      <c r="G1030" s="3"/>
      <c r="I1030" s="435" t="s">
        <v>2216</v>
      </c>
    </row>
    <row r="1031" spans="1:9" ht="12.75" customHeight="1">
      <c r="A1031" s="345"/>
      <c r="B1031" s="345"/>
      <c r="C1031" s="345"/>
      <c r="D1031" s="1305" t="s">
        <v>1149</v>
      </c>
      <c r="E1031" s="1305"/>
      <c r="F1031" s="1305"/>
      <c r="G1031" s="98"/>
    </row>
    <row r="1032" spans="1:9" ht="12.75" customHeight="1">
      <c r="A1032" s="176"/>
      <c r="B1032" s="519" t="s">
        <v>2657</v>
      </c>
      <c r="C1032" s="385"/>
      <c r="D1032" s="1305" t="s">
        <v>1026</v>
      </c>
      <c r="E1032" s="1305"/>
      <c r="F1032" s="1305"/>
      <c r="G1032" s="3"/>
    </row>
    <row r="1033" spans="1:9" ht="12.75" customHeight="1">
      <c r="A1033" s="385"/>
      <c r="B1033" s="385"/>
      <c r="C1033" s="385"/>
      <c r="D1033" s="1079" t="s">
        <v>2299</v>
      </c>
      <c r="E1033" s="96"/>
      <c r="F1033" s="96"/>
      <c r="G1033" s="3"/>
    </row>
    <row r="1034" spans="1:9">
      <c r="A1034" s="433"/>
      <c r="B1034" s="433"/>
      <c r="C1034" s="433"/>
    </row>
    <row r="1035" spans="1:9">
      <c r="A1035" s="1307" t="s">
        <v>2092</v>
      </c>
      <c r="B1035" s="1307"/>
      <c r="C1035" s="1307"/>
      <c r="D1035" s="1307"/>
      <c r="E1035" s="1307"/>
      <c r="F1035" s="1307"/>
      <c r="G1035" s="1307"/>
      <c r="H1035" s="1070"/>
      <c r="I1035" s="1071"/>
    </row>
    <row r="1036" spans="1:9">
      <c r="A1036" s="433"/>
      <c r="B1036" s="433"/>
      <c r="C1036" s="433"/>
    </row>
    <row r="1037" spans="1:9">
      <c r="A1037" s="433"/>
      <c r="B1037" s="433"/>
      <c r="C1037" s="433"/>
      <c r="D1037" s="435" t="s">
        <v>2078</v>
      </c>
    </row>
    <row r="1038" spans="1:9">
      <c r="A1038" s="433"/>
      <c r="B1038" s="433"/>
      <c r="C1038" s="433"/>
      <c r="D1038" s="433" t="s">
        <v>2077</v>
      </c>
    </row>
    <row r="1039" spans="1:9">
      <c r="A1039" s="433"/>
      <c r="B1039" s="433"/>
      <c r="C1039" s="433"/>
      <c r="D1039" s="435"/>
    </row>
    <row r="1040" spans="1:9">
      <c r="A1040" s="433"/>
      <c r="B1040" s="519" t="s">
        <v>2657</v>
      </c>
      <c r="C1040" s="433"/>
      <c r="D1040" s="1323" t="s">
        <v>2076</v>
      </c>
      <c r="E1040" s="1323"/>
      <c r="F1040" s="1323"/>
      <c r="I1040" s="435" t="s">
        <v>2188</v>
      </c>
    </row>
    <row r="1041" spans="1:9">
      <c r="A1041" s="433"/>
      <c r="B1041" s="433"/>
      <c r="C1041" s="433"/>
      <c r="D1041" s="1323"/>
      <c r="E1041" s="1323"/>
      <c r="F1041" s="1323"/>
    </row>
    <row r="1042" spans="1:9">
      <c r="A1042" s="433"/>
      <c r="B1042" s="433"/>
      <c r="C1042" s="433"/>
      <c r="D1042" s="1323"/>
      <c r="E1042" s="1323"/>
      <c r="F1042" s="1323"/>
    </row>
    <row r="1043" spans="1:9">
      <c r="A1043" s="433"/>
      <c r="B1043" s="433"/>
      <c r="C1043" s="433"/>
      <c r="D1043" s="1323"/>
      <c r="E1043" s="1323"/>
      <c r="F1043" s="1323"/>
    </row>
    <row r="1044" spans="1:9">
      <c r="A1044" s="433"/>
      <c r="B1044" s="433"/>
      <c r="C1044" s="433"/>
    </row>
    <row r="1045" spans="1:9">
      <c r="A1045" s="433"/>
      <c r="B1045" s="433"/>
      <c r="C1045" s="433"/>
      <c r="D1045" s="435" t="s">
        <v>1485</v>
      </c>
    </row>
    <row r="1046" spans="1:9">
      <c r="A1046" s="433"/>
      <c r="B1046" s="433"/>
      <c r="C1046" s="433"/>
      <c r="D1046" s="433" t="s">
        <v>2079</v>
      </c>
    </row>
    <row r="1047" spans="1:9">
      <c r="A1047" s="433"/>
      <c r="B1047" s="433"/>
      <c r="C1047" s="433"/>
    </row>
    <row r="1048" spans="1:9">
      <c r="A1048" s="433"/>
      <c r="B1048" s="519" t="s">
        <v>1106</v>
      </c>
      <c r="C1048" s="433"/>
      <c r="D1048" s="433" t="s">
        <v>2074</v>
      </c>
      <c r="I1048" s="435" t="s">
        <v>2189</v>
      </c>
    </row>
    <row r="1049" spans="1:9">
      <c r="A1049" s="433"/>
      <c r="B1049" s="433"/>
      <c r="C1049" s="433"/>
    </row>
    <row r="1050" spans="1:9">
      <c r="A1050" s="433"/>
      <c r="B1050" s="519" t="s">
        <v>2657</v>
      </c>
      <c r="C1050" s="433"/>
      <c r="D1050" s="1323" t="s">
        <v>2080</v>
      </c>
      <c r="E1050" s="1323"/>
      <c r="F1050" s="1323"/>
      <c r="I1050" s="435" t="s">
        <v>2190</v>
      </c>
    </row>
    <row r="1051" spans="1:9">
      <c r="A1051" s="433"/>
      <c r="B1051" s="433"/>
      <c r="C1051" s="433"/>
      <c r="D1051" s="1323"/>
      <c r="E1051" s="1323"/>
      <c r="F1051" s="1323"/>
    </row>
    <row r="1052" spans="1:9">
      <c r="A1052" s="433"/>
      <c r="B1052" s="433"/>
      <c r="C1052" s="433"/>
      <c r="D1052" s="1323"/>
      <c r="E1052" s="1323"/>
      <c r="F1052" s="1323"/>
    </row>
    <row r="1053" spans="1:9">
      <c r="A1053" s="433"/>
      <c r="B1053" s="433"/>
      <c r="C1053" s="433"/>
      <c r="D1053" s="1323"/>
      <c r="E1053" s="1323"/>
      <c r="F1053" s="1323"/>
    </row>
    <row r="1054" spans="1:9">
      <c r="A1054" s="433"/>
      <c r="B1054" s="433"/>
      <c r="C1054" s="433"/>
      <c r="D1054" s="1323"/>
      <c r="E1054" s="1323"/>
      <c r="F1054" s="1323"/>
    </row>
    <row r="1055" spans="1:9">
      <c r="A1055" s="433"/>
      <c r="B1055" s="433"/>
      <c r="C1055" s="433"/>
    </row>
    <row r="1056" spans="1:9">
      <c r="A1056" s="1307" t="s">
        <v>2081</v>
      </c>
      <c r="B1056" s="1307"/>
      <c r="C1056" s="1307"/>
      <c r="D1056" s="1307"/>
      <c r="E1056" s="1307"/>
      <c r="F1056" s="1307"/>
      <c r="G1056" s="1307"/>
      <c r="H1056" s="1070"/>
      <c r="I1056" s="1071"/>
    </row>
    <row r="1057" spans="1:9">
      <c r="A1057" s="433"/>
      <c r="B1057" s="433"/>
      <c r="C1057" s="433"/>
    </row>
    <row r="1058" spans="1:9">
      <c r="A1058" s="433"/>
      <c r="B1058" s="433"/>
      <c r="C1058" s="433"/>
    </row>
    <row r="1059" spans="1:9">
      <c r="A1059" s="433"/>
      <c r="B1059" s="519" t="s">
        <v>1106</v>
      </c>
      <c r="C1059" s="433"/>
      <c r="D1059" s="561" t="s">
        <v>2084</v>
      </c>
      <c r="I1059" s="435" t="s">
        <v>2191</v>
      </c>
    </row>
    <row r="1060" spans="1:9">
      <c r="A1060" s="433"/>
      <c r="B1060" s="433"/>
      <c r="C1060" s="433"/>
      <c r="D1060" s="561" t="s">
        <v>2086</v>
      </c>
    </row>
    <row r="1061" spans="1:9">
      <c r="A1061" s="433"/>
      <c r="B1061" s="433"/>
      <c r="C1061" s="433"/>
      <c r="D1061" s="561"/>
    </row>
    <row r="1062" spans="1:9">
      <c r="A1062" s="433"/>
      <c r="B1062" s="519" t="s">
        <v>2657</v>
      </c>
      <c r="C1062" s="433"/>
      <c r="D1062" s="561" t="s">
        <v>2087</v>
      </c>
      <c r="I1062" s="435" t="s">
        <v>2192</v>
      </c>
    </row>
    <row r="1063" spans="1:9">
      <c r="A1063" s="433"/>
      <c r="B1063" s="433"/>
      <c r="C1063" s="433"/>
      <c r="D1063" s="561" t="s">
        <v>2085</v>
      </c>
    </row>
    <row r="1064" spans="1:9">
      <c r="A1064" s="433"/>
      <c r="B1064" s="433"/>
      <c r="C1064" s="433"/>
      <c r="D1064" s="561"/>
    </row>
    <row r="1065" spans="1:9">
      <c r="A1065" s="433"/>
      <c r="B1065" s="519" t="s">
        <v>2657</v>
      </c>
      <c r="C1065" s="433"/>
      <c r="D1065" s="119" t="s">
        <v>2090</v>
      </c>
      <c r="I1065" s="435" t="s">
        <v>2193</v>
      </c>
    </row>
    <row r="1066" spans="1:9">
      <c r="A1066" s="433"/>
      <c r="B1066" s="433"/>
      <c r="C1066" s="433"/>
      <c r="D1066" s="1262" t="s">
        <v>2091</v>
      </c>
      <c r="E1066" s="1262"/>
      <c r="F1066" s="1262"/>
    </row>
    <row r="1067" spans="1:9">
      <c r="A1067" s="433"/>
      <c r="B1067" s="433"/>
      <c r="C1067" s="433"/>
      <c r="D1067" s="1262"/>
      <c r="E1067" s="1262"/>
      <c r="F1067" s="1262"/>
    </row>
    <row r="1068" spans="1:9">
      <c r="A1068" s="433"/>
      <c r="B1068" s="433"/>
      <c r="C1068" s="433"/>
      <c r="D1068" s="1262"/>
      <c r="E1068" s="1262"/>
      <c r="F1068" s="1262"/>
    </row>
    <row r="1069" spans="1:9">
      <c r="A1069" s="433"/>
      <c r="B1069" s="433"/>
      <c r="C1069" s="433"/>
      <c r="D1069" s="1262"/>
      <c r="E1069" s="1262"/>
      <c r="F1069" s="1262"/>
    </row>
    <row r="1070" spans="1:9">
      <c r="A1070" s="433"/>
      <c r="B1070" s="433"/>
      <c r="C1070" s="433"/>
      <c r="D1070" s="119" t="s">
        <v>2089</v>
      </c>
    </row>
    <row r="1071" spans="1:9">
      <c r="A1071" s="433"/>
      <c r="B1071" s="433"/>
      <c r="C1071" s="433"/>
      <c r="D1071" s="119"/>
    </row>
    <row r="1072" spans="1:9">
      <c r="A1072" s="433"/>
      <c r="B1072" s="433"/>
      <c r="C1072" s="433"/>
      <c r="D1072" s="561" t="s">
        <v>2082</v>
      </c>
      <c r="I1072" s="435" t="s">
        <v>2194</v>
      </c>
    </row>
    <row r="1073" spans="1:9">
      <c r="A1073" s="433"/>
      <c r="B1073" s="519" t="s">
        <v>2657</v>
      </c>
      <c r="C1073" s="433"/>
      <c r="D1073" s="1322" t="s">
        <v>2083</v>
      </c>
      <c r="E1073" s="1322"/>
      <c r="F1073" s="1322"/>
    </row>
    <row r="1074" spans="1:9">
      <c r="A1074" s="433"/>
      <c r="B1074" s="433"/>
      <c r="C1074" s="433"/>
      <c r="D1074" s="1322"/>
      <c r="E1074" s="1322"/>
      <c r="F1074" s="1322"/>
    </row>
    <row r="1075" spans="1:9">
      <c r="A1075" s="433"/>
      <c r="B1075" s="433"/>
      <c r="C1075" s="433"/>
      <c r="D1075" s="1322"/>
      <c r="E1075" s="1322"/>
      <c r="F1075" s="1322"/>
    </row>
    <row r="1076" spans="1:9">
      <c r="A1076" s="433"/>
      <c r="B1076" s="433"/>
      <c r="C1076" s="433"/>
      <c r="D1076" s="1322"/>
      <c r="E1076" s="1322"/>
      <c r="F1076" s="1322"/>
    </row>
    <row r="1077" spans="1:9">
      <c r="A1077" s="433"/>
      <c r="B1077" s="433"/>
      <c r="C1077" s="433"/>
      <c r="D1077" s="1322"/>
      <c r="E1077" s="1322"/>
      <c r="F1077" s="1322"/>
    </row>
    <row r="1078" spans="1:9">
      <c r="A1078" s="433"/>
      <c r="B1078" s="433"/>
      <c r="C1078" s="433"/>
      <c r="D1078" s="561" t="s">
        <v>2088</v>
      </c>
    </row>
    <row r="1079" spans="1:9">
      <c r="A1079" s="433"/>
      <c r="B1079" s="433"/>
      <c r="C1079" s="433"/>
    </row>
    <row r="1080" spans="1:9">
      <c r="A1080" s="1307" t="s">
        <v>2093</v>
      </c>
      <c r="B1080" s="1307"/>
      <c r="C1080" s="1307"/>
      <c r="D1080" s="1307"/>
      <c r="E1080" s="1307"/>
      <c r="F1080" s="1307"/>
      <c r="G1080" s="1307"/>
      <c r="H1080" s="1070"/>
      <c r="I1080" s="1071"/>
    </row>
    <row r="1081" spans="1:9">
      <c r="A1081" s="433"/>
      <c r="B1081" s="433"/>
      <c r="C1081" s="433"/>
    </row>
    <row r="1082" spans="1:9">
      <c r="A1082" s="433"/>
      <c r="B1082" s="433"/>
      <c r="C1082" s="433"/>
    </row>
    <row r="1083" spans="1:9" ht="12.75" customHeight="1">
      <c r="A1083" s="433"/>
      <c r="B1083" s="519" t="s">
        <v>2657</v>
      </c>
      <c r="C1083" s="433"/>
      <c r="D1083" s="1324" t="s">
        <v>2311</v>
      </c>
      <c r="E1083" s="1324"/>
      <c r="F1083" s="1324"/>
      <c r="I1083" s="435" t="s">
        <v>2195</v>
      </c>
    </row>
    <row r="1084" spans="1:9">
      <c r="A1084" s="433"/>
      <c r="B1084" s="433"/>
      <c r="C1084" s="433"/>
      <c r="D1084" s="1324"/>
      <c r="E1084" s="1324"/>
      <c r="F1084" s="1324"/>
    </row>
    <row r="1085" spans="1:9">
      <c r="A1085" s="433"/>
      <c r="B1085" s="433"/>
      <c r="C1085" s="433"/>
      <c r="D1085" s="1325" t="s">
        <v>2623</v>
      </c>
      <c r="E1085" s="1262"/>
      <c r="F1085" s="1262"/>
    </row>
    <row r="1086" spans="1:9">
      <c r="A1086" s="433"/>
      <c r="B1086" s="433"/>
      <c r="C1086" s="433"/>
      <c r="D1086" s="561"/>
    </row>
    <row r="1087" spans="1:9">
      <c r="A1087" s="433"/>
      <c r="B1087" s="519" t="s">
        <v>2657</v>
      </c>
      <c r="C1087" s="433"/>
      <c r="D1087" s="1322" t="s">
        <v>2094</v>
      </c>
      <c r="E1087" s="1322"/>
      <c r="F1087" s="1322"/>
      <c r="I1087" s="435" t="s">
        <v>2196</v>
      </c>
    </row>
    <row r="1088" spans="1:9">
      <c r="A1088" s="433"/>
      <c r="B1088" s="433"/>
      <c r="C1088" s="433"/>
      <c r="D1088" s="1322"/>
      <c r="E1088" s="1322"/>
      <c r="F1088" s="1322"/>
    </row>
    <row r="1089" spans="1:9">
      <c r="A1089" s="433"/>
      <c r="B1089" s="433"/>
      <c r="C1089" s="433"/>
      <c r="D1089" s="561"/>
    </row>
    <row r="1090" spans="1:9">
      <c r="A1090" s="433"/>
      <c r="B1090" s="519" t="s">
        <v>2657</v>
      </c>
      <c r="C1090" s="433"/>
      <c r="D1090" s="1322" t="s">
        <v>2240</v>
      </c>
      <c r="E1090" s="1322"/>
      <c r="F1090" s="1322"/>
      <c r="I1090" s="435" t="s">
        <v>2238</v>
      </c>
    </row>
    <row r="1091" spans="1:9">
      <c r="A1091" s="433"/>
      <c r="B1091" s="433"/>
      <c r="C1091" s="433"/>
      <c r="D1091" s="1322"/>
      <c r="E1091" s="1322"/>
      <c r="F1091" s="1322"/>
    </row>
    <row r="1092" spans="1:9">
      <c r="A1092" s="433"/>
      <c r="B1092" s="433"/>
      <c r="C1092" s="433"/>
      <c r="D1092" s="1322"/>
      <c r="E1092" s="1322"/>
      <c r="F1092" s="1322"/>
    </row>
    <row r="1093" spans="1:9">
      <c r="A1093" s="433"/>
      <c r="B1093" s="433"/>
      <c r="C1093" s="433"/>
      <c r="D1093" s="1322"/>
      <c r="E1093" s="1322"/>
      <c r="F1093" s="1322"/>
    </row>
    <row r="1094" spans="1:9">
      <c r="A1094" s="433"/>
      <c r="B1094" s="433"/>
      <c r="C1094" s="433"/>
      <c r="D1094" s="1322"/>
      <c r="E1094" s="1322"/>
      <c r="F1094" s="1322"/>
    </row>
    <row r="1095" spans="1:9">
      <c r="A1095" s="433"/>
      <c r="B1095" s="433"/>
      <c r="C1095" s="433"/>
      <c r="D1095" s="1322"/>
      <c r="E1095" s="1322"/>
      <c r="F1095" s="1322"/>
    </row>
    <row r="1096" spans="1:9">
      <c r="A1096" s="433"/>
      <c r="B1096" s="433"/>
      <c r="C1096" s="433"/>
      <c r="D1096" s="561" t="s">
        <v>2239</v>
      </c>
      <c r="I1096" s="433"/>
    </row>
    <row r="1097" spans="1:9">
      <c r="A1097" s="433"/>
      <c r="B1097" s="519" t="s">
        <v>2657</v>
      </c>
      <c r="C1097" s="433"/>
      <c r="D1097" s="1322" t="s">
        <v>2095</v>
      </c>
      <c r="E1097" s="1322"/>
      <c r="F1097" s="1322"/>
      <c r="I1097" s="435" t="s">
        <v>2197</v>
      </c>
    </row>
    <row r="1098" spans="1:9">
      <c r="A1098" s="433"/>
      <c r="B1098" s="433"/>
      <c r="C1098" s="433"/>
      <c r="D1098" s="1322"/>
      <c r="E1098" s="1322"/>
      <c r="F1098" s="1322"/>
    </row>
    <row r="1099" spans="1:9">
      <c r="A1099" s="433"/>
      <c r="B1099" s="433"/>
      <c r="C1099" s="433"/>
      <c r="D1099" s="1322"/>
      <c r="E1099" s="1322"/>
      <c r="F1099" s="1322"/>
    </row>
    <row r="1100" spans="1:9">
      <c r="A1100" s="433"/>
      <c r="B1100" s="433"/>
      <c r="C1100" s="433"/>
      <c r="D1100" s="561"/>
    </row>
    <row r="1101" spans="1:9">
      <c r="A1101" s="433"/>
      <c r="B1101" s="519" t="s">
        <v>2657</v>
      </c>
      <c r="C1101" s="433"/>
      <c r="D1101" s="1266" t="s">
        <v>2241</v>
      </c>
      <c r="E1101" s="1266"/>
      <c r="F1101" s="1266"/>
      <c r="I1101" s="435" t="s">
        <v>2198</v>
      </c>
    </row>
    <row r="1102" spans="1:9">
      <c r="A1102" s="433"/>
      <c r="B1102" s="433"/>
      <c r="C1102" s="433"/>
      <c r="D1102" s="1266"/>
      <c r="E1102" s="1266"/>
      <c r="F1102" s="1266"/>
    </row>
    <row r="1103" spans="1:9">
      <c r="A1103" s="433"/>
      <c r="B1103" s="433"/>
      <c r="C1103" s="433"/>
      <c r="D1103" s="1266"/>
      <c r="E1103" s="1266"/>
      <c r="F1103" s="1266"/>
    </row>
    <row r="1104" spans="1:9">
      <c r="A1104" s="433"/>
      <c r="B1104" s="433"/>
      <c r="C1104" s="433"/>
      <c r="D1104" s="1016"/>
      <c r="E1104" s="1016"/>
      <c r="F1104" s="1016"/>
    </row>
    <row r="1105" spans="1:9" ht="15.75" customHeight="1">
      <c r="A1105" s="433"/>
      <c r="B1105" s="519" t="s">
        <v>1106</v>
      </c>
      <c r="C1105" s="433"/>
      <c r="D1105" s="1262" t="s">
        <v>2243</v>
      </c>
      <c r="E1105" s="1262"/>
      <c r="F1105" s="1262"/>
      <c r="I1105" s="435" t="s">
        <v>2242</v>
      </c>
    </row>
    <row r="1106" spans="1:9">
      <c r="A1106" s="433"/>
      <c r="B1106" s="433"/>
      <c r="C1106" s="433"/>
      <c r="D1106" s="1262"/>
      <c r="E1106" s="1262"/>
      <c r="F1106" s="1262"/>
    </row>
    <row r="1107" spans="1:9">
      <c r="A1107" s="433"/>
      <c r="B1107" s="433"/>
      <c r="C1107" s="433"/>
      <c r="D1107" s="1262"/>
      <c r="E1107" s="1262"/>
      <c r="F1107" s="1262"/>
    </row>
    <row r="1108" spans="1:9">
      <c r="A1108" s="433"/>
      <c r="B1108" s="433"/>
      <c r="C1108" s="433"/>
      <c r="D1108" s="1262"/>
      <c r="E1108" s="1262"/>
      <c r="F1108" s="1262"/>
    </row>
    <row r="1109" spans="1:9">
      <c r="A1109" s="433"/>
      <c r="B1109" s="433"/>
      <c r="C1109" s="433"/>
      <c r="D1109" s="1016"/>
      <c r="E1109" s="1016"/>
      <c r="F1109" s="1016"/>
    </row>
    <row r="1110" spans="1:9" ht="39.6">
      <c r="A1110" s="433"/>
      <c r="B1110" s="433"/>
      <c r="C1110" s="433"/>
      <c r="I1110" s="447" t="s">
        <v>2473</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80" zoomScale="110" zoomScaleNormal="110" zoomScaleSheetLayoutView="80" workbookViewId="0">
      <selection activeCell="P424" sqref="P424:Q424"/>
    </sheetView>
  </sheetViews>
  <sheetFormatPr defaultColWidth="0" defaultRowHeight="12.9" customHeight="1" zeroHeight="1"/>
  <cols>
    <col min="1" max="36" width="2.44140625" customWidth="1"/>
    <col min="37" max="37" width="2.88671875" customWidth="1"/>
    <col min="38" max="45" width="2.44140625" customWidth="1"/>
    <col min="46" max="46" width="3.6640625" customWidth="1"/>
    <col min="16384" max="16384" width="3.6640625" hidden="1"/>
  </cols>
  <sheetData>
    <row r="1" spans="1:51" ht="12.9" customHeight="1">
      <c r="J1" s="100"/>
      <c r="AS1" s="1074">
        <v>4</v>
      </c>
    </row>
    <row r="2" spans="1:51" ht="12.9" customHeight="1"/>
    <row r="3" spans="1:51" ht="12.9" customHeight="1"/>
    <row r="4" spans="1:51" ht="12.9" customHeight="1"/>
    <row r="5" spans="1:51" ht="12.9" customHeight="1"/>
    <row r="6" spans="1:51" ht="12.9" customHeight="1"/>
    <row r="7" spans="1:51" ht="12.9" customHeight="1"/>
    <row r="8" spans="1:51" ht="26.2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4"/>
      <c r="AN8" s="934"/>
      <c r="AO8" s="934"/>
      <c r="AP8" s="934"/>
      <c r="AQ8" s="934"/>
      <c r="AR8" s="934"/>
      <c r="AS8" s="934"/>
      <c r="AT8" s="934"/>
      <c r="AU8" s="934"/>
      <c r="AV8" s="934"/>
      <c r="AW8" s="934"/>
      <c r="AX8" s="934"/>
      <c r="AY8" s="934"/>
    </row>
    <row r="9" spans="1:51" ht="12.9" customHeight="1">
      <c r="A9" s="1298" t="s">
        <v>2479</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2613</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81" t="s">
        <v>2621</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6"/>
      <c r="AN12" s="6"/>
      <c r="AO12" s="6"/>
      <c r="AP12" s="6"/>
      <c r="AQ12" s="6"/>
      <c r="AR12" s="6"/>
      <c r="AS12" s="6"/>
      <c r="AT12" s="6"/>
      <c r="AU12" s="6"/>
      <c r="AV12" s="6"/>
      <c r="AW12" s="6"/>
      <c r="AX12" s="6"/>
      <c r="AY12" s="6"/>
    </row>
    <row r="13" spans="1:51" ht="12.9" customHeight="1">
      <c r="A13" s="1260" t="s">
        <v>2480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5"/>
      <c r="AN13" s="935"/>
      <c r="AO13" s="935"/>
      <c r="AP13" s="935"/>
      <c r="AQ13" s="935"/>
      <c r="AR13" s="935"/>
      <c r="AS13" s="935"/>
      <c r="AT13" s="935"/>
      <c r="AU13" s="935"/>
      <c r="AV13" s="935"/>
      <c r="AW13" s="935"/>
      <c r="AX13" s="935"/>
      <c r="AY13" s="935"/>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5"/>
      <c r="AN14" s="935"/>
      <c r="AO14" s="935"/>
      <c r="AP14" s="935"/>
      <c r="AQ14" s="935"/>
      <c r="AR14" s="935"/>
      <c r="AS14" s="935"/>
      <c r="AT14" s="935"/>
      <c r="AU14" s="935"/>
      <c r="AV14" s="935"/>
      <c r="AW14" s="935"/>
      <c r="AX14" s="935"/>
      <c r="AY14" s="935"/>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2481</v>
      </c>
      <c r="C16" s="4"/>
      <c r="D16" s="4"/>
      <c r="E16" s="4"/>
      <c r="F16" s="4"/>
      <c r="G16" s="4"/>
      <c r="H16" s="1766" t="s">
        <v>2681</v>
      </c>
      <c r="I16" s="1759"/>
      <c r="J16" s="1759"/>
      <c r="K16" s="1759"/>
      <c r="L16" s="1759"/>
      <c r="M16" s="1759"/>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row>
    <row r="17" spans="1:52" ht="12.9" customHeight="1"/>
    <row r="18" spans="1:52" ht="12.9" customHeight="1">
      <c r="A18" s="57" t="s">
        <v>102</v>
      </c>
      <c r="C18" s="4"/>
      <c r="D18" s="4"/>
      <c r="E18" s="4"/>
      <c r="F18" s="4"/>
      <c r="G18" s="4"/>
      <c r="H18" s="1408" t="s">
        <v>2624</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2.9" customHeight="1"/>
    <row r="20" spans="1:52" ht="12.9" customHeight="1">
      <c r="A20" s="1777" t="s">
        <v>901</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936"/>
      <c r="AN20" s="936"/>
      <c r="AO20" s="936"/>
      <c r="AP20" s="936"/>
      <c r="AQ20" s="936"/>
      <c r="AR20" s="936"/>
      <c r="AS20" s="936"/>
      <c r="AT20" s="936"/>
      <c r="AU20" s="936"/>
      <c r="AV20" s="936"/>
      <c r="AW20" s="936"/>
      <c r="AX20" s="936"/>
      <c r="AY20" s="936"/>
    </row>
    <row r="21" spans="1:52" ht="12.9" customHeight="1">
      <c r="A21" s="1767" t="s">
        <v>1066</v>
      </c>
      <c r="B21" s="1767"/>
      <c r="C21" s="1767"/>
      <c r="D21" s="1767"/>
      <c r="E21" s="1767"/>
      <c r="F21" s="1767"/>
      <c r="G21" s="1767"/>
      <c r="H21" s="1767"/>
      <c r="I21" s="1767"/>
      <c r="J21" s="1767"/>
      <c r="K21" s="1767"/>
      <c r="L21" s="1767"/>
      <c r="M21" s="1767"/>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937"/>
      <c r="AN21" s="937"/>
      <c r="AO21" s="937"/>
      <c r="AP21" s="937"/>
      <c r="AQ21" s="937"/>
      <c r="AR21" s="937"/>
      <c r="AS21" s="937"/>
      <c r="AT21" s="937"/>
      <c r="AU21" s="937"/>
      <c r="AV21" s="937"/>
      <c r="AW21" s="937"/>
      <c r="AX21" s="937"/>
      <c r="AY21" s="937"/>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65">
        <f>'Basis &amp; Credits'!AB56</f>
        <v>7340887</v>
      </c>
      <c r="N26" s="1765"/>
      <c r="O26" s="1765"/>
      <c r="P26" s="1765"/>
      <c r="Q26" s="1765"/>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4">
        <f>'Basis &amp; Credits'!AB77</f>
        <v>19673532</v>
      </c>
      <c r="N27" s="1394"/>
      <c r="O27" s="1394"/>
      <c r="P27" s="1394"/>
      <c r="Q27" s="1394"/>
      <c r="R27" s="3" t="s">
        <v>1425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1436</v>
      </c>
      <c r="C33" s="553"/>
      <c r="D33" s="553"/>
      <c r="E33" s="553"/>
      <c r="F33" s="553"/>
      <c r="G33" s="553"/>
      <c r="H33" s="553"/>
      <c r="I33" s="553"/>
      <c r="J33" s="553"/>
      <c r="K33" s="553"/>
      <c r="L33" s="553"/>
      <c r="M33" s="553"/>
      <c r="N33" s="553"/>
      <c r="O33" s="1353" t="s">
        <v>554</v>
      </c>
      <c r="P33" s="1353"/>
      <c r="Q33" s="553" t="s">
        <v>1437</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1439</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1438</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1440</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1441</v>
      </c>
      <c r="AZ37" s="20"/>
    </row>
    <row r="38" spans="1:52" ht="12.9" customHeight="1">
      <c r="A38" s="3" t="s">
        <v>1442</v>
      </c>
      <c r="AZ38" s="20"/>
    </row>
    <row r="39" spans="1:52" ht="12.9" customHeight="1">
      <c r="AZ39" s="20"/>
    </row>
    <row r="40" spans="1:52" ht="12.9" customHeight="1">
      <c r="A40" s="553"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3"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3"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3"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3"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3"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3"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1"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3"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3"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3"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3"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1"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1"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1"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1"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1"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0"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0"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0"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0"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75"/>
      <c r="H122" s="1775"/>
      <c r="I122" s="3" t="s">
        <v>183</v>
      </c>
      <c r="L122" s="1775" t="s">
        <v>2662</v>
      </c>
      <c r="M122" s="1775"/>
      <c r="N122" s="1775"/>
      <c r="O122" s="1774" t="s">
        <v>2661</v>
      </c>
      <c r="P122" s="1774"/>
      <c r="Q122" s="1774"/>
      <c r="R122" s="1774"/>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27" t="s">
        <v>2663</v>
      </c>
      <c r="D124" s="1827"/>
      <c r="E124" s="1827"/>
      <c r="F124" s="1827"/>
      <c r="G124" s="1827"/>
      <c r="H124" s="1827"/>
      <c r="I124" s="1827"/>
      <c r="J124" s="1827"/>
      <c r="K124" s="182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775"/>
      <c r="Z126" s="1775"/>
      <c r="AA126" s="1775"/>
      <c r="AB126" s="1775"/>
      <c r="AC126" s="1775"/>
      <c r="AD126" s="1775"/>
      <c r="AE126" s="1775"/>
      <c r="AF126" s="1775"/>
      <c r="AG126" s="1775"/>
      <c r="AH126" s="1775"/>
      <c r="AI126" s="1775"/>
      <c r="AJ126" s="1775"/>
      <c r="AK126" s="1775"/>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5"/>
      <c r="X128" s="3"/>
      <c r="AL128" s="385"/>
      <c r="AM128" s="385"/>
      <c r="AN128" s="385"/>
      <c r="AO128" s="385"/>
      <c r="AP128" s="385"/>
      <c r="AQ128" s="385"/>
      <c r="AR128" s="385"/>
      <c r="AS128" s="385"/>
      <c r="AT128" s="385"/>
      <c r="AU128" s="385"/>
      <c r="AV128" s="385"/>
      <c r="AW128" s="385"/>
      <c r="AX128" s="385"/>
      <c r="AY128" s="385"/>
    </row>
    <row r="129" spans="1:51" ht="12.9" customHeight="1">
      <c r="A129" s="385"/>
      <c r="B129" s="4"/>
      <c r="R129" s="6"/>
      <c r="S129" s="6"/>
      <c r="T129" s="6"/>
      <c r="U129" s="6"/>
      <c r="V129" s="6"/>
      <c r="W129" s="6"/>
      <c r="X129" s="3"/>
      <c r="Y129" s="1775" t="s">
        <v>2775</v>
      </c>
      <c r="Z129" s="1775"/>
      <c r="AA129" s="1775"/>
      <c r="AB129" s="1775"/>
      <c r="AC129" s="1775"/>
      <c r="AD129" s="1775"/>
      <c r="AE129" s="1775"/>
      <c r="AF129" s="1775"/>
      <c r="AG129" s="1775"/>
      <c r="AH129" s="1775"/>
      <c r="AI129" s="1775"/>
      <c r="AJ129" s="1775"/>
      <c r="AK129" s="1775"/>
      <c r="AL129" s="385"/>
      <c r="AM129" s="385"/>
      <c r="AN129" s="385"/>
      <c r="AO129" s="385"/>
      <c r="AP129" s="385"/>
      <c r="AQ129" s="385"/>
      <c r="AR129" s="385"/>
      <c r="AS129" s="385"/>
      <c r="AT129" s="385"/>
      <c r="AU129" s="385"/>
      <c r="AV129" s="385"/>
      <c r="AW129" s="385"/>
      <c r="AX129" s="385"/>
      <c r="AY129" s="385"/>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75" t="s">
        <v>2660</v>
      </c>
      <c r="Z132" s="1775"/>
      <c r="AA132" s="1775"/>
      <c r="AB132" s="1775"/>
      <c r="AC132" s="1775"/>
      <c r="AD132" s="1775"/>
      <c r="AE132" s="1775"/>
      <c r="AF132" s="1775"/>
      <c r="AG132" s="1775"/>
      <c r="AH132" s="1775"/>
      <c r="AI132" s="1775"/>
      <c r="AJ132" s="1775"/>
      <c r="AK132" s="1775"/>
      <c r="AL132" s="3"/>
      <c r="AM132" s="3"/>
      <c r="AN132" s="3"/>
      <c r="AO132" s="3"/>
      <c r="AP132" s="3"/>
      <c r="AQ132" s="3"/>
      <c r="AR132" s="3"/>
      <c r="AS132" s="3"/>
      <c r="AT132" s="3"/>
      <c r="AU132" s="3"/>
      <c r="AV132" s="3"/>
      <c r="AW132" s="3"/>
      <c r="AX132" s="3"/>
      <c r="AY132" s="3"/>
    </row>
    <row r="133" spans="1:51" ht="12.9"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08" t="s">
        <v>2625</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2.9" customHeight="1">
      <c r="D154" s="324" t="s">
        <v>443</v>
      </c>
      <c r="O154" s="1629" t="s">
        <v>2672</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 customHeight="1">
      <c r="D155" s="8" t="s">
        <v>444</v>
      </c>
      <c r="F155" s="8"/>
      <c r="G155" s="8"/>
      <c r="H155" s="8"/>
      <c r="I155" s="8"/>
      <c r="J155" s="8"/>
      <c r="K155" s="8"/>
      <c r="L155" s="8"/>
      <c r="M155" s="8"/>
      <c r="N155" s="8"/>
      <c r="O155" s="1769" t="s">
        <v>2668</v>
      </c>
      <c r="P155" s="1770"/>
      <c r="Q155" s="1770"/>
      <c r="R155" s="1770"/>
      <c r="S155" s="1770"/>
      <c r="T155" s="1770"/>
      <c r="U155" s="1770"/>
      <c r="V155" s="1770"/>
      <c r="W155" s="1770"/>
      <c r="X155" s="1770"/>
      <c r="Y155" s="1770"/>
      <c r="Z155" s="1770"/>
      <c r="AA155" s="1770"/>
      <c r="AB155" s="1770"/>
      <c r="AC155" s="1770"/>
      <c r="AD155" s="1770"/>
      <c r="AE155" s="1770"/>
      <c r="AF155" s="1770"/>
      <c r="AG155" s="1770"/>
      <c r="AH155" s="1770"/>
    </row>
    <row r="156" spans="1:72" ht="12.9" customHeight="1">
      <c r="D156" t="s">
        <v>315</v>
      </c>
      <c r="O156" s="1352" t="s">
        <v>2664</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 customHeight="1">
      <c r="D157" t="s">
        <v>316</v>
      </c>
      <c r="O157" s="1408" t="s">
        <v>2666</v>
      </c>
      <c r="P157" s="1649"/>
      <c r="Q157" s="1649"/>
      <c r="R157" s="1649"/>
      <c r="S157" s="1649"/>
      <c r="T157" s="1649"/>
      <c r="U157" s="1649"/>
      <c r="V157" s="1649"/>
      <c r="W157" s="1649"/>
      <c r="X157" s="1649"/>
      <c r="Y157" s="8"/>
      <c r="Z157" s="8"/>
      <c r="AA157" s="8"/>
      <c r="AB157" s="8"/>
      <c r="AC157" s="8"/>
      <c r="AD157" s="8"/>
      <c r="AE157" s="8"/>
      <c r="AF157" s="8"/>
      <c r="BN157" s="23" t="s">
        <v>645</v>
      </c>
      <c r="BT157" t="s">
        <v>485</v>
      </c>
    </row>
    <row r="158" spans="1:72" ht="12.9" customHeight="1">
      <c r="D158" t="s">
        <v>317</v>
      </c>
      <c r="O158" s="1771" t="s">
        <v>2665</v>
      </c>
      <c r="P158" s="1771"/>
      <c r="Q158" s="1771"/>
      <c r="R158" s="1771"/>
      <c r="S158" s="9"/>
      <c r="T158" s="9"/>
      <c r="U158" s="9"/>
      <c r="V158" s="9"/>
      <c r="W158" s="9"/>
      <c r="X158" s="9"/>
      <c r="Y158" s="9"/>
      <c r="Z158" s="9"/>
      <c r="AA158" s="9"/>
      <c r="AB158" s="9"/>
      <c r="AC158" s="9"/>
      <c r="AD158" s="9"/>
      <c r="AE158" s="9"/>
      <c r="AF158" s="9"/>
      <c r="BN158" s="23" t="s">
        <v>646</v>
      </c>
      <c r="BT158" t="s">
        <v>486</v>
      </c>
    </row>
    <row r="159" spans="1:72" ht="12.9" customHeight="1">
      <c r="D159" t="s">
        <v>318</v>
      </c>
      <c r="O159" s="1773" t="s">
        <v>2669</v>
      </c>
      <c r="P159" s="1773"/>
      <c r="Q159" s="1773"/>
      <c r="R159" s="1773"/>
      <c r="S159" s="1773"/>
      <c r="T159" s="1773"/>
      <c r="V159" s="97" t="s">
        <v>273</v>
      </c>
      <c r="W159" s="1772"/>
      <c r="X159" s="1772"/>
      <c r="Y159" s="10"/>
      <c r="Z159" s="10"/>
      <c r="AA159" s="10"/>
      <c r="AB159" s="10"/>
      <c r="AC159" s="10"/>
      <c r="AD159" s="10"/>
      <c r="AE159" s="10"/>
      <c r="AF159" s="10"/>
      <c r="BN159" s="23" t="s">
        <v>341</v>
      </c>
      <c r="BT159" t="s">
        <v>487</v>
      </c>
    </row>
    <row r="160" spans="1:72" ht="12.9" customHeight="1">
      <c r="D160" t="s">
        <v>319</v>
      </c>
      <c r="O160" s="1650" t="s">
        <v>2670</v>
      </c>
      <c r="P160" s="1773"/>
      <c r="Q160" s="1773"/>
      <c r="R160" s="1773"/>
      <c r="S160" s="1773"/>
      <c r="T160" s="1773"/>
      <c r="U160" s="10"/>
      <c r="V160" s="10"/>
      <c r="W160" s="10"/>
      <c r="X160" s="10"/>
      <c r="Y160" s="10"/>
      <c r="Z160" s="10"/>
      <c r="AA160" s="10"/>
      <c r="AB160" s="10"/>
      <c r="AC160" s="10"/>
      <c r="AD160" s="10"/>
      <c r="AE160" s="10"/>
      <c r="AF160" s="10"/>
      <c r="BN160" s="23" t="s">
        <v>669</v>
      </c>
      <c r="BT160" t="s">
        <v>488</v>
      </c>
    </row>
    <row r="161" spans="1:72" ht="12.9" customHeight="1">
      <c r="D161" t="s">
        <v>320</v>
      </c>
      <c r="O161" s="1753" t="s">
        <v>2671</v>
      </c>
      <c r="P161" s="1753"/>
      <c r="Q161" s="1753"/>
      <c r="R161" s="1753"/>
      <c r="S161" s="1753"/>
      <c r="T161" s="1753"/>
      <c r="U161" s="1753"/>
      <c r="V161" s="1753"/>
      <c r="W161" s="1753"/>
      <c r="X161" s="1753"/>
      <c r="Y161" s="1753"/>
      <c r="Z161" s="1753"/>
      <c r="AA161" s="1753"/>
      <c r="AB161" s="1753"/>
      <c r="AC161" s="1753"/>
      <c r="AD161" s="1753"/>
      <c r="AE161" s="1753"/>
      <c r="AF161" s="1753"/>
      <c r="AG161" s="1753"/>
      <c r="AH161" s="1753"/>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28" t="s">
        <v>1387</v>
      </c>
      <c r="E164" s="1828"/>
      <c r="F164" s="1828"/>
      <c r="G164" s="1828"/>
      <c r="H164" s="1828"/>
      <c r="I164" s="1828"/>
      <c r="J164" s="1828"/>
      <c r="K164" s="1828"/>
      <c r="L164" s="1828"/>
      <c r="M164" s="1828"/>
      <c r="N164" s="1828"/>
      <c r="O164" s="1828"/>
      <c r="P164" s="1828"/>
      <c r="Q164" s="1828"/>
      <c r="R164" s="1828"/>
      <c r="S164" s="1828"/>
      <c r="T164" s="1828"/>
      <c r="U164" s="1828"/>
      <c r="V164" s="1828"/>
      <c r="W164" s="1828"/>
      <c r="X164" s="1828"/>
      <c r="Y164" s="1828"/>
      <c r="Z164" s="1828"/>
      <c r="AA164" s="1828"/>
      <c r="AB164" s="1828"/>
      <c r="AC164" s="1828"/>
      <c r="AD164" s="1828"/>
      <c r="AE164" s="1828"/>
      <c r="AF164" s="1828"/>
      <c r="AG164" s="1828"/>
      <c r="AH164" s="1828"/>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643" t="s">
        <v>548</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682</v>
      </c>
      <c r="BT169" t="s">
        <v>497</v>
      </c>
    </row>
    <row r="170" spans="1:72" ht="12.9"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213</v>
      </c>
      <c r="BT171" t="s">
        <v>499</v>
      </c>
    </row>
    <row r="172" spans="1:72" ht="12.9" customHeight="1">
      <c r="A172" s="2" t="s">
        <v>321</v>
      </c>
      <c r="C172" s="2" t="s">
        <v>322</v>
      </c>
      <c r="BN172" s="23" t="s">
        <v>215</v>
      </c>
      <c r="BT172" t="s">
        <v>500</v>
      </c>
    </row>
    <row r="173" spans="1:72" ht="12.9" customHeight="1">
      <c r="C173" s="24"/>
      <c r="D173" t="s">
        <v>323</v>
      </c>
      <c r="J173" s="1768" t="s">
        <v>373</v>
      </c>
      <c r="K173" s="1768"/>
      <c r="L173" s="1768"/>
      <c r="M173" s="1768"/>
      <c r="N173" s="1768"/>
      <c r="O173" s="1768"/>
      <c r="P173" s="1768"/>
      <c r="Q173" s="1768"/>
      <c r="R173" s="1768"/>
      <c r="S173" s="1768"/>
      <c r="U173" s="25"/>
      <c r="X173" s="25"/>
      <c r="BN173" s="23" t="s">
        <v>216</v>
      </c>
      <c r="BT173" t="s">
        <v>501</v>
      </c>
    </row>
    <row r="174" spans="1:72" ht="12.9" customHeight="1">
      <c r="C174" s="24"/>
      <c r="D174" s="3" t="s">
        <v>1345</v>
      </c>
      <c r="J174" s="1352" t="s">
        <v>2529</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502</v>
      </c>
    </row>
    <row r="175" spans="1:72" ht="12.9" customHeight="1">
      <c r="C175" s="8"/>
      <c r="D175" s="3" t="s">
        <v>324</v>
      </c>
      <c r="O175" s="27"/>
      <c r="U175" s="1353" t="s">
        <v>678</v>
      </c>
      <c r="V175" s="1353"/>
      <c r="BN175" s="23" t="s">
        <v>219</v>
      </c>
      <c r="BT175" t="s">
        <v>503</v>
      </c>
    </row>
    <row r="176" spans="1:72" ht="12.9" customHeight="1">
      <c r="C176" s="8"/>
      <c r="D176" s="26"/>
      <c r="E176" t="s">
        <v>306</v>
      </c>
      <c r="O176" s="27"/>
      <c r="P176" t="s">
        <v>2501</v>
      </c>
      <c r="T176" s="27" t="s">
        <v>307</v>
      </c>
      <c r="U176" s="1384"/>
      <c r="V176" s="1384"/>
      <c r="W176" s="1" t="s">
        <v>308</v>
      </c>
      <c r="X176" s="1754"/>
      <c r="Y176" s="1754"/>
      <c r="BN176" s="23" t="s">
        <v>221</v>
      </c>
      <c r="BT176" t="s">
        <v>504</v>
      </c>
    </row>
    <row r="177" spans="1:72" ht="12.9" customHeight="1">
      <c r="C177" s="24"/>
      <c r="D177" t="s">
        <v>251</v>
      </c>
      <c r="R177" s="1353" t="s">
        <v>678</v>
      </c>
      <c r="S177" s="1353"/>
      <c r="BN177" s="23" t="s">
        <v>222</v>
      </c>
      <c r="BT177" t="s">
        <v>505</v>
      </c>
    </row>
    <row r="178" spans="1:72" ht="12.9" customHeight="1">
      <c r="C178" s="24"/>
      <c r="D178" s="3" t="s">
        <v>1346</v>
      </c>
      <c r="AA178" t="s">
        <v>2501</v>
      </c>
      <c r="AE178" s="27" t="s">
        <v>307</v>
      </c>
      <c r="AF178" s="1601"/>
      <c r="AG178" s="1601"/>
      <c r="AH178" s="1" t="s">
        <v>308</v>
      </c>
      <c r="AI178" s="1655"/>
      <c r="AJ178" s="1655"/>
      <c r="AK178" s="1655"/>
      <c r="BN178" s="23" t="s">
        <v>223</v>
      </c>
      <c r="BT178" t="s">
        <v>53</v>
      </c>
    </row>
    <row r="179" spans="1:72" ht="12.9" customHeight="1">
      <c r="C179" s="24"/>
      <c r="BN179" s="23" t="s">
        <v>224</v>
      </c>
      <c r="BT179" t="s">
        <v>54</v>
      </c>
    </row>
    <row r="180" spans="1:72" ht="12.9" customHeight="1">
      <c r="C180" s="24"/>
      <c r="D180" t="s">
        <v>2502</v>
      </c>
      <c r="X180" s="1353"/>
      <c r="Y180" s="1353"/>
      <c r="BN180" s="23" t="s">
        <v>226</v>
      </c>
      <c r="BT180" t="s">
        <v>55</v>
      </c>
    </row>
    <row r="181" spans="1:72" ht="12.9" customHeight="1">
      <c r="C181" s="8"/>
      <c r="E181" s="4" t="s">
        <v>1016</v>
      </c>
      <c r="BN181" s="23" t="s">
        <v>227</v>
      </c>
      <c r="BT181" t="s">
        <v>56</v>
      </c>
    </row>
    <row r="182" spans="1:72" ht="12.9" customHeight="1">
      <c r="C182" s="564"/>
      <c r="BN182" s="23" t="s">
        <v>228</v>
      </c>
      <c r="BT182" t="s">
        <v>60</v>
      </c>
    </row>
    <row r="183" spans="1:72" ht="12.9" customHeight="1">
      <c r="A183" s="2" t="s">
        <v>585</v>
      </c>
      <c r="C183" s="2" t="s">
        <v>586</v>
      </c>
      <c r="BN183" s="23" t="s">
        <v>230</v>
      </c>
      <c r="BT183" t="s">
        <v>61</v>
      </c>
    </row>
    <row r="184" spans="1:72" ht="12.9" customHeight="1">
      <c r="C184" s="21"/>
      <c r="D184" t="s">
        <v>587</v>
      </c>
      <c r="I184" s="1351" t="str">
        <f>H18</f>
        <v>1178 Sonora Court</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232</v>
      </c>
      <c r="BT184" t="s">
        <v>62</v>
      </c>
    </row>
    <row r="185" spans="1:72" ht="12.9" customHeight="1">
      <c r="C185" s="21"/>
      <c r="D185" t="s">
        <v>588</v>
      </c>
      <c r="I185" s="1360" t="s">
        <v>2624</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233</v>
      </c>
      <c r="BT185" t="s">
        <v>63</v>
      </c>
    </row>
    <row r="186" spans="1:72" ht="12.9" customHeight="1">
      <c r="C186" s="21"/>
      <c r="E186" t="s">
        <v>169</v>
      </c>
      <c r="BN186" s="23" t="s">
        <v>234</v>
      </c>
      <c r="BT186" t="s">
        <v>64</v>
      </c>
    </row>
    <row r="187" spans="1:72" ht="12.9"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235</v>
      </c>
      <c r="BT187" t="s">
        <v>65</v>
      </c>
    </row>
    <row r="188" spans="1:72" ht="12.9"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2.9" customHeight="1">
      <c r="C189" s="21"/>
      <c r="D189" t="s">
        <v>589</v>
      </c>
      <c r="I189" s="1352" t="s">
        <v>2666</v>
      </c>
      <c r="J189" s="1352"/>
      <c r="K189" s="1352"/>
      <c r="L189" s="1352"/>
      <c r="M189" s="1352"/>
      <c r="N189" s="1352"/>
      <c r="O189" s="1352"/>
      <c r="P189" s="1352"/>
      <c r="Q189" t="s">
        <v>591</v>
      </c>
      <c r="T189" s="1352" t="s">
        <v>194</v>
      </c>
      <c r="U189" s="1352"/>
      <c r="V189" s="1352"/>
      <c r="W189" s="1352"/>
      <c r="X189" s="1352"/>
      <c r="Y189" s="1352"/>
      <c r="Z189" s="1352"/>
      <c r="AA189" s="1352"/>
      <c r="AB189" s="1352"/>
      <c r="AC189" s="1352"/>
      <c r="AD189" s="1352"/>
      <c r="AE189" s="1352"/>
      <c r="BC189" t="s">
        <v>309</v>
      </c>
      <c r="BH189" s="3" t="s">
        <v>600</v>
      </c>
      <c r="BN189" s="23" t="s">
        <v>238</v>
      </c>
      <c r="BT189" t="s">
        <v>67</v>
      </c>
    </row>
    <row r="190" spans="1:72" ht="12.9" customHeight="1">
      <c r="C190" s="21"/>
      <c r="D190" t="s">
        <v>592</v>
      </c>
      <c r="I190" s="1360">
        <v>94086</v>
      </c>
      <c r="J190" s="1360"/>
      <c r="K190" s="1360"/>
      <c r="L190" s="1360"/>
      <c r="M190" s="1360"/>
      <c r="N190" s="1360"/>
      <c r="O190" t="s">
        <v>594</v>
      </c>
      <c r="T190" s="1778">
        <v>5087.04</v>
      </c>
      <c r="U190" s="1778"/>
      <c r="V190" s="1778"/>
      <c r="W190" s="1778"/>
      <c r="X190" s="1778"/>
      <c r="Y190" s="1778"/>
      <c r="Z190" s="1778"/>
      <c r="AA190" s="1778"/>
      <c r="AB190" s="1778"/>
      <c r="AC190" s="1778"/>
      <c r="AD190" s="1778"/>
      <c r="AE190" s="1778"/>
      <c r="BC190" t="s">
        <v>1102</v>
      </c>
      <c r="BH190" t="s">
        <v>1102</v>
      </c>
      <c r="BN190" s="23" t="s">
        <v>644</v>
      </c>
      <c r="BT190" t="s">
        <v>68</v>
      </c>
    </row>
    <row r="191" spans="1:72" ht="12.9" customHeight="1">
      <c r="C191" s="21"/>
      <c r="D191" t="s">
        <v>471</v>
      </c>
      <c r="N191" s="1780" t="s">
        <v>2676</v>
      </c>
      <c r="O191" s="1780"/>
      <c r="P191" s="1780"/>
      <c r="Q191" s="1780"/>
      <c r="R191" s="1780"/>
      <c r="S191" s="1780"/>
      <c r="T191" s="1780"/>
      <c r="U191" s="1780"/>
      <c r="V191" s="1780"/>
      <c r="W191" s="1780"/>
      <c r="X191" s="1780"/>
      <c r="Y191" s="1780"/>
      <c r="Z191" s="1780"/>
      <c r="AA191" s="1780"/>
      <c r="AB191" s="1780"/>
      <c r="AC191" s="1780"/>
      <c r="AD191" s="1780"/>
      <c r="AE191" s="1780"/>
      <c r="BC191" t="s">
        <v>1101</v>
      </c>
      <c r="BH191" t="s">
        <v>1101</v>
      </c>
      <c r="BN191" s="23" t="s">
        <v>698</v>
      </c>
      <c r="BT191" t="s">
        <v>739</v>
      </c>
    </row>
    <row r="192" spans="1:72" ht="12.9"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1104</v>
      </c>
      <c r="BH192" s="3" t="s">
        <v>1807</v>
      </c>
      <c r="BN192" s="23" t="s">
        <v>699</v>
      </c>
      <c r="BT192" t="s">
        <v>740</v>
      </c>
    </row>
    <row r="193" spans="1:74" ht="12.9" customHeight="1">
      <c r="C193" s="21"/>
      <c r="D193" t="s">
        <v>2503</v>
      </c>
      <c r="M193" s="40"/>
      <c r="N193" s="929"/>
      <c r="O193" s="929"/>
      <c r="P193" s="929"/>
      <c r="Q193" s="929"/>
      <c r="R193" s="929"/>
      <c r="S193" s="929"/>
      <c r="T193" s="1760" t="s">
        <v>2358</v>
      </c>
      <c r="U193" s="1760"/>
      <c r="V193" s="1760"/>
      <c r="W193" s="1760"/>
      <c r="X193" s="1760"/>
      <c r="Y193" s="1760"/>
      <c r="Z193" s="1760"/>
      <c r="AA193" s="1760"/>
      <c r="AB193" s="1760"/>
      <c r="AC193" s="1760"/>
      <c r="AD193" s="1760"/>
      <c r="AE193" s="1760"/>
      <c r="AF193" s="1760"/>
      <c r="AG193" s="1760"/>
      <c r="AH193" s="1760"/>
      <c r="AI193" s="1760"/>
      <c r="BC193" t="s">
        <v>1103</v>
      </c>
      <c r="BH193" s="3" t="s">
        <v>1808</v>
      </c>
      <c r="BN193" s="23" t="s">
        <v>700</v>
      </c>
      <c r="BT193" t="s">
        <v>741</v>
      </c>
    </row>
    <row r="194" spans="1:74" ht="12.9" customHeight="1">
      <c r="C194" s="21"/>
      <c r="D194" t="s">
        <v>333</v>
      </c>
      <c r="T194" s="1353" t="s">
        <v>554</v>
      </c>
      <c r="U194" s="1353"/>
      <c r="W194" t="s">
        <v>694</v>
      </c>
      <c r="AH194" s="1353">
        <v>17</v>
      </c>
      <c r="AI194" s="1353"/>
      <c r="BC194" t="s">
        <v>1536</v>
      </c>
      <c r="BN194" s="23" t="s">
        <v>701</v>
      </c>
      <c r="BT194" t="s">
        <v>742</v>
      </c>
    </row>
    <row r="195" spans="1:74" ht="12.9" customHeight="1">
      <c r="C195" s="21"/>
      <c r="D195" t="s">
        <v>388</v>
      </c>
      <c r="T195" s="1521" t="s">
        <v>678</v>
      </c>
      <c r="U195" s="1521"/>
      <c r="W195" t="s">
        <v>695</v>
      </c>
      <c r="AH195" s="1353">
        <v>26</v>
      </c>
      <c r="AI195" s="1353"/>
      <c r="BC195" t="s">
        <v>2119</v>
      </c>
      <c r="BN195" s="23" t="s">
        <v>244</v>
      </c>
      <c r="BT195" t="s">
        <v>743</v>
      </c>
    </row>
    <row r="196" spans="1:74" ht="12.9" customHeight="1">
      <c r="C196" s="21"/>
      <c r="D196" s="3" t="s">
        <v>170</v>
      </c>
      <c r="T196" s="1521" t="s">
        <v>678</v>
      </c>
      <c r="U196" s="1521"/>
      <c r="W196" t="s">
        <v>696</v>
      </c>
      <c r="AH196" s="1353">
        <v>10</v>
      </c>
      <c r="AI196" s="1353"/>
      <c r="BN196" s="23" t="s">
        <v>245</v>
      </c>
      <c r="BT196" t="s">
        <v>69</v>
      </c>
    </row>
    <row r="197" spans="1:74" ht="12.9" customHeight="1">
      <c r="C197" s="21"/>
      <c r="D197" s="3" t="s">
        <v>1832</v>
      </c>
      <c r="T197" s="1521">
        <v>0</v>
      </c>
      <c r="U197" s="1521"/>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5" t="s">
        <v>2504</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9"/>
      <c r="BN200" s="23" t="s">
        <v>709</v>
      </c>
      <c r="BO200"/>
      <c r="BP200"/>
      <c r="BQ200"/>
      <c r="BR200"/>
      <c r="BS200"/>
      <c r="BT200" s="32" t="s">
        <v>195</v>
      </c>
      <c r="BU200"/>
    </row>
    <row r="201" spans="1:74" s="14" customFormat="1" ht="12.9"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196</v>
      </c>
      <c r="BU201"/>
    </row>
    <row r="202" spans="1:74" ht="12.9" customHeight="1">
      <c r="A202" s="2" t="s">
        <v>595</v>
      </c>
      <c r="C202" s="2" t="s">
        <v>137</v>
      </c>
      <c r="BC202" t="s">
        <v>1128</v>
      </c>
      <c r="BD202" s="469"/>
      <c r="BN202" s="23" t="s">
        <v>711</v>
      </c>
      <c r="BO202" s="14"/>
      <c r="BP202" s="32"/>
      <c r="BQ202" s="32"/>
      <c r="BR202" s="32"/>
      <c r="BS202" s="32"/>
      <c r="BT202" s="32" t="s">
        <v>197</v>
      </c>
    </row>
    <row r="203" spans="1:74" ht="12.9" customHeight="1">
      <c r="D203" s="1351" t="s">
        <v>387</v>
      </c>
      <c r="E203" s="1351"/>
      <c r="F203" s="1351"/>
      <c r="G203" s="1351"/>
      <c r="H203" s="1351"/>
      <c r="I203" s="1351"/>
      <c r="J203" s="1351"/>
      <c r="K203" s="1351"/>
      <c r="L203" s="1351"/>
      <c r="M203" s="1351"/>
      <c r="P203" s="1776">
        <f>M26</f>
        <v>7340887</v>
      </c>
      <c r="Q203" s="1764"/>
      <c r="R203" s="1764"/>
      <c r="S203" s="1764"/>
      <c r="T203" s="1764"/>
      <c r="U203" s="1764"/>
      <c r="Z203" s="1762" t="s">
        <v>2667</v>
      </c>
      <c r="AA203" s="1762"/>
      <c r="AB203" s="1762"/>
      <c r="AC203" s="1762"/>
      <c r="AD203" s="1762"/>
      <c r="AE203" s="1762"/>
      <c r="AF203" s="1762"/>
      <c r="BC203" t="s">
        <v>1129</v>
      </c>
      <c r="BN203" s="23" t="s">
        <v>712</v>
      </c>
      <c r="BO203" s="14"/>
      <c r="BP203" s="32"/>
      <c r="BQ203" s="32"/>
      <c r="BR203" s="32"/>
      <c r="BS203" s="32"/>
      <c r="BT203" s="32" t="s">
        <v>198</v>
      </c>
    </row>
    <row r="204" spans="1:74" ht="12.9" customHeight="1">
      <c r="C204" s="21"/>
      <c r="D204" s="1761" t="s">
        <v>1403</v>
      </c>
      <c r="E204" s="1351"/>
      <c r="F204" s="1351"/>
      <c r="G204" s="1351"/>
      <c r="H204" s="1351"/>
      <c r="I204" s="1351"/>
      <c r="J204" s="1351"/>
      <c r="K204" s="1351"/>
      <c r="L204" s="1351"/>
      <c r="M204" s="1351"/>
      <c r="P204" s="1764">
        <f>M27</f>
        <v>19673532</v>
      </c>
      <c r="Q204" s="1764"/>
      <c r="R204" s="1764"/>
      <c r="S204" s="1764"/>
      <c r="T204" s="1764"/>
      <c r="U204" s="1764"/>
      <c r="V204" s="28"/>
      <c r="W204" s="3" t="s">
        <v>1980</v>
      </c>
      <c r="Z204" s="1762"/>
      <c r="AA204" s="1762"/>
      <c r="AB204" s="1762"/>
      <c r="AC204" s="1762"/>
      <c r="AD204" s="1762"/>
      <c r="AE204" s="1762"/>
      <c r="AF204" s="1762"/>
      <c r="AG204" t="s">
        <v>1404</v>
      </c>
      <c r="AP204" s="1353" t="s">
        <v>678</v>
      </c>
      <c r="AQ204" s="1353"/>
      <c r="BC204" t="s">
        <v>619</v>
      </c>
      <c r="BN204" s="23" t="s">
        <v>713</v>
      </c>
      <c r="BT204" s="32" t="s">
        <v>199</v>
      </c>
      <c r="BU204" s="14"/>
    </row>
    <row r="205" spans="1:74" ht="12.9" customHeight="1">
      <c r="D205" s="29"/>
      <c r="E205" s="29"/>
      <c r="F205" s="29"/>
      <c r="G205" s="29"/>
      <c r="H205" s="29"/>
      <c r="I205" s="29"/>
      <c r="J205" s="29"/>
      <c r="K205" s="29"/>
      <c r="L205" s="29"/>
      <c r="M205" s="29"/>
      <c r="N205" s="29"/>
      <c r="O205" s="29"/>
      <c r="P205" s="29"/>
      <c r="Z205" s="1763"/>
      <c r="AA205" s="1763"/>
      <c r="AB205" s="1763"/>
      <c r="AC205" s="1763"/>
      <c r="AD205" s="1763"/>
      <c r="AE205" s="1763"/>
      <c r="AF205" s="1763"/>
      <c r="BC205" t="s">
        <v>1087</v>
      </c>
      <c r="BN205" s="23" t="s">
        <v>110</v>
      </c>
      <c r="BT205" s="32" t="s">
        <v>175</v>
      </c>
      <c r="BU205" s="14"/>
    </row>
    <row r="206" spans="1:74" ht="12.9" customHeight="1">
      <c r="A206" s="2" t="s">
        <v>598</v>
      </c>
      <c r="C206" s="2" t="s">
        <v>560</v>
      </c>
      <c r="BC206" s="470" t="s">
        <v>1130</v>
      </c>
      <c r="BN206" s="23" t="s">
        <v>111</v>
      </c>
      <c r="BT206" s="32" t="s">
        <v>200</v>
      </c>
      <c r="BU206" s="14"/>
    </row>
    <row r="207" spans="1:74" ht="12.9" customHeight="1">
      <c r="C207" s="21"/>
      <c r="D207" s="1649" t="s">
        <v>2631</v>
      </c>
      <c r="E207" s="1649"/>
      <c r="F207" s="1649"/>
      <c r="G207" s="1649"/>
      <c r="H207" s="1649"/>
      <c r="I207" s="1649"/>
      <c r="J207" s="1649"/>
      <c r="K207" s="1649"/>
      <c r="L207" s="1649"/>
      <c r="M207" s="1649"/>
      <c r="BC207" s="3" t="s">
        <v>1360</v>
      </c>
      <c r="BN207" s="23" t="s">
        <v>45</v>
      </c>
      <c r="BT207" s="32" t="s">
        <v>201</v>
      </c>
    </row>
    <row r="208" spans="1:74" ht="12.9" customHeight="1">
      <c r="BC208" t="s">
        <v>1131</v>
      </c>
      <c r="BN208" s="23" t="s">
        <v>46</v>
      </c>
      <c r="BT208" s="32" t="s">
        <v>202</v>
      </c>
    </row>
    <row r="209" spans="1:72" ht="12.9" customHeight="1">
      <c r="A209" s="2" t="s">
        <v>599</v>
      </c>
      <c r="C209" s="2" t="s">
        <v>390</v>
      </c>
      <c r="BC209" t="s">
        <v>668</v>
      </c>
      <c r="BN209" s="23" t="s">
        <v>47</v>
      </c>
      <c r="BT209" s="32" t="s">
        <v>203</v>
      </c>
    </row>
    <row r="210" spans="1:72" ht="12.9" customHeight="1">
      <c r="C210" s="21"/>
      <c r="D210" s="1649" t="s">
        <v>1102</v>
      </c>
      <c r="E210" s="1649"/>
      <c r="F210" s="1649"/>
      <c r="G210" s="1649"/>
      <c r="H210" s="1649"/>
      <c r="I210" s="1649"/>
      <c r="J210" s="1649"/>
      <c r="K210" s="1649"/>
      <c r="L210" s="1649"/>
      <c r="M210" s="1649"/>
      <c r="BN210" s="23" t="s">
        <v>48</v>
      </c>
      <c r="BT210" s="32" t="s">
        <v>204</v>
      </c>
    </row>
    <row r="211" spans="1:72" ht="12.9" customHeight="1">
      <c r="C211" s="21"/>
      <c r="D211" t="s">
        <v>1393</v>
      </c>
      <c r="Y211" s="1353"/>
      <c r="Z211" s="1353"/>
      <c r="AB211" s="1757">
        <f>IFERROR(Y211/AG439,"")</f>
        <v>0</v>
      </c>
      <c r="AC211" s="1758"/>
      <c r="BN211" s="23" t="s">
        <v>130</v>
      </c>
      <c r="BT211" s="32" t="s">
        <v>131</v>
      </c>
    </row>
    <row r="212" spans="1:72" ht="12.9" customHeight="1">
      <c r="D212" s="1197" t="s">
        <v>1806</v>
      </c>
      <c r="BC212" t="s">
        <v>309</v>
      </c>
      <c r="BN212" s="23" t="s">
        <v>49</v>
      </c>
      <c r="BT212" s="32" t="s">
        <v>205</v>
      </c>
    </row>
    <row r="213" spans="1:72" ht="12.9" customHeight="1">
      <c r="D213" s="1820" t="s">
        <v>600</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535</v>
      </c>
      <c r="BN213" s="23" t="s">
        <v>50</v>
      </c>
      <c r="BT213" s="32" t="s">
        <v>206</v>
      </c>
    </row>
    <row r="214" spans="1:72" ht="12.9" customHeight="1">
      <c r="D214" s="3" t="s">
        <v>1833</v>
      </c>
      <c r="Z214" s="40"/>
      <c r="AB214" s="1819"/>
      <c r="AC214" s="1819"/>
      <c r="AD214" s="1819"/>
      <c r="AE214" s="1819"/>
      <c r="AF214" s="1819"/>
      <c r="AG214" s="1819"/>
      <c r="AH214" s="1819"/>
      <c r="AI214" s="1819"/>
      <c r="AJ214" s="1819"/>
      <c r="AK214" s="1819"/>
      <c r="AL214" s="1819"/>
      <c r="AM214" s="21"/>
      <c r="AN214" s="21"/>
      <c r="AO214" s="21"/>
      <c r="AP214" s="21"/>
      <c r="AQ214" s="21"/>
      <c r="AR214" s="21"/>
      <c r="AS214" s="21"/>
      <c r="AT214" s="21"/>
      <c r="AU214" s="21"/>
      <c r="AV214" s="21"/>
      <c r="AW214" s="21"/>
      <c r="AX214" s="21"/>
      <c r="AY214" s="21"/>
      <c r="BC214" t="s">
        <v>539</v>
      </c>
      <c r="BN214" s="23" t="s">
        <v>328</v>
      </c>
      <c r="BT214" s="32" t="s">
        <v>207</v>
      </c>
    </row>
    <row r="215" spans="1:72" ht="12.9" customHeight="1">
      <c r="D215" s="3" t="s">
        <v>1831</v>
      </c>
      <c r="Z215" s="40"/>
      <c r="AB215" s="1819"/>
      <c r="AC215" s="1819"/>
      <c r="AD215" s="1819"/>
      <c r="AE215" s="1819"/>
      <c r="AF215" s="1819"/>
      <c r="AG215" s="1819"/>
      <c r="AH215" s="1819"/>
      <c r="AI215" s="1819"/>
      <c r="AJ215" s="1819"/>
      <c r="AK215" s="1819"/>
      <c r="AL215" s="1819"/>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1368</v>
      </c>
      <c r="D217" s="28"/>
      <c r="BC217" t="s">
        <v>537</v>
      </c>
    </row>
    <row r="218" spans="1:72" ht="12.9" customHeight="1">
      <c r="A218" s="2"/>
      <c r="C218" s="2"/>
      <c r="D218" s="4" t="s">
        <v>1041</v>
      </c>
      <c r="BC218" t="s">
        <v>538</v>
      </c>
    </row>
    <row r="219" spans="1:72" ht="12.9" customHeight="1">
      <c r="A219" s="2"/>
      <c r="C219" s="2"/>
      <c r="D219" s="1649" t="s">
        <v>1087</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379</v>
      </c>
    </row>
    <row r="220" spans="1:72" ht="12.9" customHeight="1">
      <c r="A220" s="2"/>
      <c r="B220" s="14"/>
      <c r="C220" s="2"/>
      <c r="BA220" s="3"/>
      <c r="BC220" t="s">
        <v>302</v>
      </c>
    </row>
    <row r="221" spans="1:72" ht="12.9" customHeight="1">
      <c r="A221" s="1643" t="s">
        <v>549</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2.9"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554</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779" t="str">
        <f>H16</f>
        <v>MP Sonora Court LLC</v>
      </c>
      <c r="N231" s="1779"/>
      <c r="O231" s="1779"/>
      <c r="P231" s="1779"/>
      <c r="Q231" s="1779"/>
      <c r="R231" s="1779"/>
      <c r="S231" s="1779"/>
      <c r="T231" s="1779"/>
      <c r="U231" s="1779"/>
      <c r="V231" s="1779"/>
      <c r="W231" s="1779"/>
      <c r="X231" s="1779"/>
      <c r="Y231" s="1779"/>
      <c r="Z231" s="1779"/>
      <c r="AA231" s="1779"/>
      <c r="AB231" s="1779"/>
      <c r="AC231" s="1779"/>
      <c r="AD231" s="1779"/>
      <c r="AE231" s="1779"/>
      <c r="AF231" s="1779"/>
      <c r="AG231" s="1779"/>
      <c r="AH231" s="1779"/>
      <c r="AI231" s="1779"/>
      <c r="AJ231" s="1779"/>
      <c r="AK231" s="1779"/>
      <c r="BA231" s="3"/>
      <c r="BB231" s="218"/>
      <c r="BG231" s="218"/>
      <c r="BQ231" s="34"/>
    </row>
    <row r="232" spans="1:69" ht="12.9" customHeight="1">
      <c r="D232" s="4" t="s">
        <v>86</v>
      </c>
      <c r="E232" s="4"/>
      <c r="F232" s="4"/>
      <c r="G232" s="4"/>
      <c r="H232" s="4"/>
      <c r="I232" s="4"/>
      <c r="J232" s="4"/>
      <c r="K232" s="4"/>
      <c r="M232" s="1408" t="s">
        <v>2673</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547</v>
      </c>
      <c r="BG232" s="259">
        <f>IF(AND(AND($M$248="nonprofit",$M$256="nonprofit",$M$264="for profit")),2,0)</f>
        <v>0</v>
      </c>
      <c r="BQ232" s="34"/>
    </row>
    <row r="233" spans="1:69" ht="12.9" customHeight="1">
      <c r="D233" s="4" t="s">
        <v>589</v>
      </c>
      <c r="E233" s="4"/>
      <c r="M233" s="1408" t="s">
        <v>2663</v>
      </c>
      <c r="N233" s="1649"/>
      <c r="O233" s="1649"/>
      <c r="P233" s="1649"/>
      <c r="Q233" s="1649"/>
      <c r="R233" s="1649"/>
      <c r="S233" s="1649"/>
      <c r="T233" s="1649"/>
      <c r="V233" s="33" t="s">
        <v>87</v>
      </c>
      <c r="W233" s="1629" t="s">
        <v>2674</v>
      </c>
      <c r="X233" s="1350"/>
      <c r="Y233" s="4" t="s">
        <v>592</v>
      </c>
      <c r="AC233" s="1649">
        <v>94404</v>
      </c>
      <c r="AD233" s="1649"/>
      <c r="AE233" s="1649"/>
      <c r="BB233" s="219" t="s">
        <v>547</v>
      </c>
      <c r="BG233" s="259">
        <f>IF(AND(AND($M$248="nonprofit",$M$256="for profit",$M$264="nonprofit")),2,0)</f>
        <v>0</v>
      </c>
    </row>
    <row r="234" spans="1:69" ht="12.9" customHeight="1">
      <c r="D234" s="4" t="s">
        <v>88</v>
      </c>
      <c r="E234" s="4"/>
      <c r="F234" s="4"/>
      <c r="G234" s="4"/>
      <c r="H234" s="4"/>
      <c r="I234" s="4"/>
      <c r="J234" s="4"/>
      <c r="K234" s="19"/>
      <c r="M234" s="1408" t="s">
        <v>2659</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354" t="s">
        <v>2678</v>
      </c>
      <c r="N235" s="1355"/>
      <c r="O235" s="1355"/>
      <c r="P235" s="1355"/>
      <c r="Q235" s="1355"/>
      <c r="R235" s="1355"/>
      <c r="S235" s="4" t="s">
        <v>208</v>
      </c>
      <c r="T235" s="4"/>
      <c r="U235" s="1350"/>
      <c r="V235" s="1350"/>
      <c r="W235" s="1350"/>
      <c r="X235" s="4" t="s">
        <v>90</v>
      </c>
      <c r="Z235" s="1354" t="s">
        <v>2679</v>
      </c>
      <c r="AA235" s="1355"/>
      <c r="AB235" s="1355"/>
      <c r="AC235" s="1355"/>
      <c r="AD235" s="1355"/>
      <c r="AE235" s="1355"/>
      <c r="BB235" s="219"/>
      <c r="BG235" s="218"/>
    </row>
    <row r="236" spans="1:69" ht="12.9" customHeight="1">
      <c r="D236" s="4" t="s">
        <v>91</v>
      </c>
      <c r="E236" s="4"/>
      <c r="F236" s="4"/>
      <c r="M236" s="1753" t="s">
        <v>2683</v>
      </c>
      <c r="N236" s="1753"/>
      <c r="O236" s="1753"/>
      <c r="P236" s="1753"/>
      <c r="Q236" s="1753"/>
      <c r="R236" s="1753"/>
      <c r="S236" s="1753"/>
      <c r="T236" s="1753"/>
      <c r="U236" s="1753"/>
      <c r="V236" s="1753"/>
      <c r="W236" s="1753"/>
      <c r="X236" s="1753"/>
      <c r="Y236" s="1753"/>
      <c r="Z236" s="1753"/>
      <c r="AA236" s="1753"/>
      <c r="AB236" s="1753"/>
      <c r="AC236" s="1753"/>
      <c r="AD236" s="1753"/>
      <c r="AE236" s="1753"/>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60" t="s">
        <v>379</v>
      </c>
      <c r="N237" s="1360"/>
      <c r="O237" s="1360"/>
      <c r="P237" s="1360"/>
      <c r="Q237" s="1360"/>
      <c r="R237" s="1360"/>
      <c r="S237" s="1360"/>
      <c r="T237" s="1360"/>
      <c r="U237" s="218" t="s">
        <v>939</v>
      </c>
      <c r="V237" s="218"/>
      <c r="W237" s="218"/>
      <c r="X237" s="218"/>
      <c r="Y237" s="218"/>
      <c r="Z237" s="218"/>
      <c r="AA237" s="1755" t="s">
        <v>2680</v>
      </c>
      <c r="AB237" s="1756"/>
      <c r="AC237" s="1756"/>
      <c r="AD237" s="1756"/>
      <c r="AE237" s="1756"/>
      <c r="AF237" s="1756"/>
      <c r="AG237" s="1756"/>
      <c r="AH237" s="1756"/>
      <c r="AI237" s="1756"/>
      <c r="AJ237" s="1756"/>
      <c r="AK237" s="175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 customHeight="1">
      <c r="D239" s="4"/>
      <c r="BB239" s="218" t="s">
        <v>906</v>
      </c>
      <c r="BG239" s="259">
        <f>IF(AND(AND($M$248="for profit",$M$256="for profit",$M$264="(select one)")),3,0)</f>
        <v>0</v>
      </c>
    </row>
    <row r="240" spans="1:69" ht="12.9" customHeight="1">
      <c r="A240" s="2" t="s">
        <v>598</v>
      </c>
      <c r="C240" s="2" t="s">
        <v>1326</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766" t="s">
        <v>2681</v>
      </c>
      <c r="N242" s="1759"/>
      <c r="O242" s="1759"/>
      <c r="P242" s="1759"/>
      <c r="Q242" s="1759"/>
      <c r="R242" s="1759"/>
      <c r="S242" s="1759"/>
      <c r="T242" s="1759"/>
      <c r="U242" s="1759"/>
      <c r="V242" s="1759"/>
      <c r="W242" s="1759"/>
      <c r="X242" s="1759"/>
      <c r="Y242" s="1759"/>
      <c r="Z242" s="1759"/>
      <c r="AA242" s="1759"/>
      <c r="AB242" s="1759"/>
      <c r="AC242" s="1759"/>
      <c r="AD242" s="1759"/>
      <c r="AE242" s="1759"/>
      <c r="AF242" s="1759" t="s">
        <v>2682</v>
      </c>
      <c r="AG242" s="1759"/>
      <c r="AH242" s="1759"/>
      <c r="AI242" s="1759"/>
      <c r="AJ242" s="1759"/>
      <c r="AK242" s="1759"/>
      <c r="BO242" s="34"/>
      <c r="BP242" s="4"/>
      <c r="BQ242" s="4"/>
      <c r="BR242" s="4"/>
      <c r="BS242" s="4"/>
    </row>
    <row r="243" spans="1:71" ht="12.9" customHeight="1">
      <c r="A243" s="19"/>
      <c r="B243" s="4"/>
      <c r="C243" s="4"/>
      <c r="D243" s="4" t="s">
        <v>86</v>
      </c>
      <c r="E243" s="4"/>
      <c r="F243" s="4"/>
      <c r="G243" s="4"/>
      <c r="H243" s="4"/>
      <c r="I243" s="4"/>
      <c r="J243" s="4"/>
      <c r="K243" s="4"/>
      <c r="L243" s="4"/>
      <c r="M243" s="1408" t="s">
        <v>2673</v>
      </c>
      <c r="N243" s="1649"/>
      <c r="O243" s="1649"/>
      <c r="P243" s="1649"/>
      <c r="Q243" s="1649"/>
      <c r="R243" s="1649"/>
      <c r="S243" s="1649"/>
      <c r="T243" s="1649"/>
      <c r="U243" s="1649"/>
      <c r="V243" s="1649"/>
      <c r="W243" s="1649"/>
      <c r="X243" s="1649"/>
      <c r="Y243" s="1649"/>
      <c r="Z243" s="1649"/>
      <c r="AA243" s="1649"/>
      <c r="AB243" s="1649"/>
      <c r="AC243" s="1649"/>
      <c r="AD243" s="1649"/>
      <c r="AE243" s="1649"/>
      <c r="AF243" s="3" t="s">
        <v>1322</v>
      </c>
      <c r="AL243" s="4"/>
      <c r="AM243" s="4"/>
      <c r="AN243" s="4"/>
      <c r="AO243" s="4"/>
      <c r="AP243" s="4"/>
      <c r="AQ243" s="4"/>
      <c r="AR243" s="4"/>
      <c r="AS243" s="4"/>
      <c r="AT243" s="4"/>
      <c r="AU243" s="4"/>
      <c r="AV243" s="4"/>
      <c r="AW243" s="4"/>
      <c r="AX243" s="4"/>
      <c r="AY243" s="4"/>
      <c r="BG243">
        <f>SUM(BG226:BG241)</f>
        <v>1</v>
      </c>
    </row>
    <row r="244" spans="1:71" ht="12.9" customHeight="1">
      <c r="A244" s="19"/>
      <c r="B244" s="4"/>
      <c r="C244" s="4"/>
      <c r="D244" s="4" t="s">
        <v>589</v>
      </c>
      <c r="E244" s="4"/>
      <c r="M244" s="1408" t="s">
        <v>2663</v>
      </c>
      <c r="N244" s="1649"/>
      <c r="O244" s="1649"/>
      <c r="P244" s="1649"/>
      <c r="Q244" s="1649"/>
      <c r="R244" s="1649"/>
      <c r="S244" s="1649"/>
      <c r="T244" s="1649"/>
      <c r="V244" s="33" t="s">
        <v>87</v>
      </c>
      <c r="W244" s="1629" t="s">
        <v>2674</v>
      </c>
      <c r="X244" s="1350"/>
      <c r="Y244" s="4" t="s">
        <v>592</v>
      </c>
      <c r="AC244" s="1649">
        <v>94404</v>
      </c>
      <c r="AD244" s="1649"/>
      <c r="AE244" s="1649"/>
      <c r="AF244" s="3" t="s">
        <v>1323</v>
      </c>
      <c r="BB244" t="s">
        <v>309</v>
      </c>
      <c r="BG244">
        <v>1</v>
      </c>
      <c r="BH244" t="s">
        <v>543</v>
      </c>
    </row>
    <row r="245" spans="1:71" ht="12.9" customHeight="1">
      <c r="A245" s="19"/>
      <c r="B245" s="4"/>
      <c r="C245" s="4"/>
      <c r="D245" s="4" t="s">
        <v>88</v>
      </c>
      <c r="E245" s="4"/>
      <c r="F245" s="4"/>
      <c r="G245" s="4"/>
      <c r="H245" s="4"/>
      <c r="I245" s="4"/>
      <c r="J245" s="4"/>
      <c r="K245" s="4"/>
      <c r="L245" s="19"/>
      <c r="M245" s="1408" t="s">
        <v>2659</v>
      </c>
      <c r="N245" s="1649"/>
      <c r="O245" s="1649"/>
      <c r="P245" s="1649"/>
      <c r="Q245" s="1649"/>
      <c r="R245" s="1649"/>
      <c r="S245" s="1649"/>
      <c r="T245" s="1649"/>
      <c r="U245" s="1649"/>
      <c r="V245" s="1649"/>
      <c r="W245" s="1649"/>
      <c r="X245" s="1649"/>
      <c r="Y245" s="1649"/>
      <c r="Z245" s="1649"/>
      <c r="AA245" s="1649"/>
      <c r="AB245" s="1649"/>
      <c r="AC245" s="1649"/>
      <c r="AD245" s="1649"/>
      <c r="AE245" s="1649"/>
      <c r="AH245" s="1751">
        <v>0.01</v>
      </c>
      <c r="AI245" s="1751"/>
      <c r="AJ245" s="1751"/>
      <c r="AK245" s="1751"/>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 customHeight="1">
      <c r="A246" s="19"/>
      <c r="B246" s="4"/>
      <c r="C246" s="4"/>
      <c r="D246" s="4" t="s">
        <v>89</v>
      </c>
      <c r="E246" s="4"/>
      <c r="F246" s="4"/>
      <c r="M246" s="1354" t="s">
        <v>2678</v>
      </c>
      <c r="N246" s="1355"/>
      <c r="O246" s="1355"/>
      <c r="P246" s="1355"/>
      <c r="Q246" s="1355"/>
      <c r="R246" s="1355"/>
      <c r="S246" s="4" t="s">
        <v>208</v>
      </c>
      <c r="T246" s="4"/>
      <c r="U246" s="1350"/>
      <c r="V246" s="1350"/>
      <c r="W246" s="1350"/>
      <c r="X246" s="4" t="s">
        <v>90</v>
      </c>
      <c r="Z246" s="1354" t="s">
        <v>2679</v>
      </c>
      <c r="AA246" s="1355"/>
      <c r="AB246" s="1355"/>
      <c r="AC246" s="1355"/>
      <c r="AD246" s="1355"/>
      <c r="AE246" s="1355"/>
      <c r="BB246" s="4" t="s">
        <v>174</v>
      </c>
      <c r="BG246">
        <v>3</v>
      </c>
      <c r="BH246" t="s">
        <v>545</v>
      </c>
      <c r="BN246" s="34"/>
    </row>
    <row r="247" spans="1:71" ht="12.9" customHeight="1">
      <c r="A247" s="19"/>
      <c r="B247" s="4"/>
      <c r="C247" s="4"/>
      <c r="D247" s="4" t="s">
        <v>91</v>
      </c>
      <c r="E247" s="4"/>
      <c r="F247" s="4"/>
      <c r="M247" s="1753" t="s">
        <v>2683</v>
      </c>
      <c r="N247" s="1753"/>
      <c r="O247" s="1753"/>
      <c r="P247" s="1753"/>
      <c r="Q247" s="1753"/>
      <c r="R247" s="1753"/>
      <c r="S247" s="1753"/>
      <c r="T247" s="1753"/>
      <c r="U247" s="1753"/>
      <c r="V247" s="1753"/>
      <c r="W247" s="1753"/>
      <c r="X247" s="1753"/>
      <c r="Y247" s="1753"/>
      <c r="Z247" s="1753"/>
      <c r="AA247" s="1753"/>
      <c r="AB247" s="1753"/>
      <c r="AC247" s="1753"/>
      <c r="AD247" s="1753"/>
      <c r="AE247" s="1753"/>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60" t="s">
        <v>543</v>
      </c>
      <c r="N248" s="1360"/>
      <c r="O248" s="1360"/>
      <c r="P248" s="1360"/>
      <c r="Q248" s="1360"/>
      <c r="R248" s="1360"/>
      <c r="S248" s="1360"/>
      <c r="T248" s="1360"/>
      <c r="U248" s="218" t="s">
        <v>939</v>
      </c>
      <c r="V248" s="218"/>
      <c r="W248" s="218"/>
      <c r="X248" s="218"/>
      <c r="Y248" s="218"/>
      <c r="Z248" s="218"/>
      <c r="AA248" s="1755" t="s">
        <v>2680</v>
      </c>
      <c r="AB248" s="1756"/>
      <c r="AC248" s="1756"/>
      <c r="AD248" s="1756"/>
      <c r="AE248" s="1756"/>
      <c r="AF248" s="1756"/>
      <c r="AG248" s="1756"/>
      <c r="AH248" s="1756"/>
      <c r="AI248" s="1756"/>
      <c r="AJ248" s="1756"/>
      <c r="AK248" s="1756"/>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766" t="s">
        <v>600</v>
      </c>
      <c r="N250" s="1759"/>
      <c r="O250" s="1759"/>
      <c r="P250" s="1759"/>
      <c r="Q250" s="1759"/>
      <c r="R250" s="1759"/>
      <c r="S250" s="1759"/>
      <c r="T250" s="1759"/>
      <c r="U250" s="1759"/>
      <c r="V250" s="1759"/>
      <c r="W250" s="1759"/>
      <c r="X250" s="1759"/>
      <c r="Y250" s="1759"/>
      <c r="Z250" s="1759"/>
      <c r="AA250" s="1759"/>
      <c r="AB250" s="1759"/>
      <c r="AC250" s="1759"/>
      <c r="AD250" s="1759"/>
      <c r="AE250" s="1759"/>
      <c r="AF250" s="1759" t="s">
        <v>309</v>
      </c>
      <c r="AG250" s="1759"/>
      <c r="AH250" s="1759"/>
      <c r="AI250" s="1759"/>
      <c r="AJ250" s="1759"/>
      <c r="AK250" s="1759"/>
      <c r="BN250" s="34"/>
    </row>
    <row r="251" spans="1:71" ht="12.9" customHeight="1">
      <c r="A251" s="19"/>
      <c r="B251" s="4"/>
      <c r="C251" s="4"/>
      <c r="D251" s="4" t="s">
        <v>86</v>
      </c>
      <c r="E251" s="4"/>
      <c r="F251" s="4"/>
      <c r="G251" s="4"/>
      <c r="H251" s="4"/>
      <c r="I251" s="4"/>
      <c r="J251" s="4"/>
      <c r="K251" s="4"/>
      <c r="L251" s="4"/>
      <c r="M251" s="1649"/>
      <c r="N251" s="1649"/>
      <c r="O251" s="1649"/>
      <c r="P251" s="1649"/>
      <c r="Q251" s="1649"/>
      <c r="R251" s="1649"/>
      <c r="S251" s="1649"/>
      <c r="T251" s="1649"/>
      <c r="U251" s="1649"/>
      <c r="V251" s="1649"/>
      <c r="W251" s="1649"/>
      <c r="X251" s="1649"/>
      <c r="Y251" s="1649"/>
      <c r="Z251" s="1649"/>
      <c r="AA251" s="1649"/>
      <c r="AB251" s="1649"/>
      <c r="AC251" s="1649"/>
      <c r="AD251" s="1649"/>
      <c r="AE251" s="1649"/>
      <c r="AF251" s="3" t="s">
        <v>1322</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649"/>
      <c r="N252" s="1649"/>
      <c r="O252" s="1649"/>
      <c r="P252" s="1649"/>
      <c r="Q252" s="1649"/>
      <c r="R252" s="1649"/>
      <c r="S252" s="1649"/>
      <c r="T252" s="1649"/>
      <c r="V252" s="33" t="s">
        <v>87</v>
      </c>
      <c r="W252" s="1350"/>
      <c r="X252" s="1350"/>
      <c r="Y252" s="4" t="s">
        <v>592</v>
      </c>
      <c r="AC252" s="1649"/>
      <c r="AD252" s="1649"/>
      <c r="AE252" s="1649"/>
      <c r="AF252" s="3" t="s">
        <v>1323</v>
      </c>
      <c r="BN252" s="34"/>
    </row>
    <row r="253" spans="1:71" ht="12.9" customHeight="1">
      <c r="A253" s="19"/>
      <c r="B253" s="4"/>
      <c r="C253" s="4"/>
      <c r="D253" s="4" t="s">
        <v>88</v>
      </c>
      <c r="E253" s="4"/>
      <c r="F253" s="4"/>
      <c r="G253" s="4"/>
      <c r="H253" s="4"/>
      <c r="I253" s="4"/>
      <c r="J253" s="4"/>
      <c r="K253" s="4"/>
      <c r="L253" s="19"/>
      <c r="M253" s="1649"/>
      <c r="N253" s="1649"/>
      <c r="O253" s="1649"/>
      <c r="P253" s="1649"/>
      <c r="Q253" s="1649"/>
      <c r="R253" s="1649"/>
      <c r="S253" s="1649"/>
      <c r="T253" s="1649"/>
      <c r="U253" s="1649"/>
      <c r="V253" s="1649"/>
      <c r="W253" s="1649"/>
      <c r="X253" s="1649"/>
      <c r="Y253" s="1649"/>
      <c r="Z253" s="1649"/>
      <c r="AA253" s="1649"/>
      <c r="AB253" s="1649"/>
      <c r="AC253" s="1649"/>
      <c r="AD253" s="1649"/>
      <c r="AE253" s="1649"/>
      <c r="AH253" s="1751"/>
      <c r="AI253" s="1751"/>
      <c r="AJ253" s="1751"/>
      <c r="AK253" s="1751"/>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5"/>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2.9" customHeight="1">
      <c r="A255" s="19"/>
      <c r="B255" s="4"/>
      <c r="C255" s="4"/>
      <c r="D255" s="4" t="s">
        <v>91</v>
      </c>
      <c r="E255" s="4"/>
      <c r="F255" s="4"/>
      <c r="M255" s="1753"/>
      <c r="N255" s="1753"/>
      <c r="O255" s="1753"/>
      <c r="P255" s="1753"/>
      <c r="Q255" s="1753"/>
      <c r="R255" s="1753"/>
      <c r="S255" s="1753"/>
      <c r="T255" s="1753"/>
      <c r="U255" s="1753"/>
      <c r="V255" s="1753"/>
      <c r="W255" s="1753"/>
      <c r="X255" s="1753"/>
      <c r="Y255" s="1753"/>
      <c r="Z255" s="1753"/>
      <c r="AA255" s="1753"/>
      <c r="AB255" s="1753"/>
      <c r="AC255" s="1753"/>
      <c r="AD255" s="1753"/>
      <c r="AE255" s="1753"/>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60" t="s">
        <v>309</v>
      </c>
      <c r="N256" s="1360"/>
      <c r="O256" s="1360"/>
      <c r="P256" s="1360"/>
      <c r="Q256" s="1360"/>
      <c r="R256" s="1360"/>
      <c r="S256" s="1360"/>
      <c r="T256" s="1360"/>
      <c r="U256" s="218" t="s">
        <v>939</v>
      </c>
      <c r="V256" s="218"/>
      <c r="W256" s="218"/>
      <c r="X256" s="218"/>
      <c r="Y256" s="218"/>
      <c r="Z256" s="218"/>
      <c r="AA256" s="1756"/>
      <c r="AB256" s="1756"/>
      <c r="AC256" s="1756"/>
      <c r="AD256" s="1756"/>
      <c r="AE256" s="1756"/>
      <c r="AF256" s="1756"/>
      <c r="AG256" s="1756"/>
      <c r="AH256" s="1756"/>
      <c r="AI256" s="1756"/>
      <c r="AJ256" s="1756"/>
      <c r="AK256" s="1756"/>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766" t="s">
        <v>600</v>
      </c>
      <c r="N258" s="1759"/>
      <c r="O258" s="1759"/>
      <c r="P258" s="1759"/>
      <c r="Q258" s="1759"/>
      <c r="R258" s="1759"/>
      <c r="S258" s="1759"/>
      <c r="T258" s="1759"/>
      <c r="U258" s="1759"/>
      <c r="V258" s="1759"/>
      <c r="W258" s="1759"/>
      <c r="X258" s="1759"/>
      <c r="Y258" s="1759"/>
      <c r="Z258" s="1759"/>
      <c r="AA258" s="1759"/>
      <c r="AB258" s="1759"/>
      <c r="AC258" s="1759"/>
      <c r="AD258" s="1759"/>
      <c r="AE258" s="1759"/>
      <c r="AF258" s="1759" t="s">
        <v>309</v>
      </c>
      <c r="AG258" s="1759"/>
      <c r="AH258" s="1759"/>
      <c r="AI258" s="1759"/>
      <c r="AJ258" s="1759"/>
      <c r="AK258" s="1759"/>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9"/>
      <c r="N259" s="1649"/>
      <c r="O259" s="1649"/>
      <c r="P259" s="1649"/>
      <c r="Q259" s="1649"/>
      <c r="R259" s="1649"/>
      <c r="S259" s="1649"/>
      <c r="T259" s="1649"/>
      <c r="U259" s="1649"/>
      <c r="V259" s="1649"/>
      <c r="W259" s="1649"/>
      <c r="X259" s="1649"/>
      <c r="Y259" s="1649"/>
      <c r="Z259" s="1649"/>
      <c r="AA259" s="1649"/>
      <c r="AB259" s="1649"/>
      <c r="AC259" s="1649"/>
      <c r="AD259" s="1649"/>
      <c r="AE259" s="1649"/>
      <c r="AF259" s="3" t="s">
        <v>1322</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649"/>
      <c r="N260" s="1649"/>
      <c r="O260" s="1649"/>
      <c r="P260" s="1649"/>
      <c r="Q260" s="1649"/>
      <c r="R260" s="1649"/>
      <c r="S260" s="1649"/>
      <c r="T260" s="1649"/>
      <c r="V260" s="33" t="s">
        <v>87</v>
      </c>
      <c r="W260" s="1350"/>
      <c r="X260" s="1350"/>
      <c r="Y260" s="4" t="s">
        <v>592</v>
      </c>
      <c r="AC260" s="1649"/>
      <c r="AD260" s="1649"/>
      <c r="AE260" s="1649"/>
      <c r="AF260" s="3" t="s">
        <v>1323</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9"/>
      <c r="N261" s="1649"/>
      <c r="O261" s="1649"/>
      <c r="P261" s="1649"/>
      <c r="Q261" s="1649"/>
      <c r="R261" s="1649"/>
      <c r="S261" s="1649"/>
      <c r="T261" s="1649"/>
      <c r="U261" s="1649"/>
      <c r="V261" s="1649"/>
      <c r="W261" s="1649"/>
      <c r="X261" s="1649"/>
      <c r="Y261" s="1649"/>
      <c r="Z261" s="1649"/>
      <c r="AA261" s="1649"/>
      <c r="AB261" s="1649"/>
      <c r="AC261" s="1649"/>
      <c r="AD261" s="1649"/>
      <c r="AE261" s="1649"/>
      <c r="AH261" s="1751"/>
      <c r="AI261" s="1751"/>
      <c r="AJ261" s="1751"/>
      <c r="AK261" s="1751"/>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53"/>
      <c r="N263" s="1753"/>
      <c r="O263" s="1753"/>
      <c r="P263" s="1753"/>
      <c r="Q263" s="1753"/>
      <c r="R263" s="1753"/>
      <c r="S263" s="1753"/>
      <c r="T263" s="1753"/>
      <c r="U263" s="1753"/>
      <c r="V263" s="1753"/>
      <c r="W263" s="1753"/>
      <c r="X263" s="1753"/>
      <c r="Y263" s="1753"/>
      <c r="Z263" s="1753"/>
      <c r="AA263" s="1784"/>
      <c r="AB263" s="1784"/>
      <c r="AC263" s="1784"/>
      <c r="AD263" s="1784"/>
      <c r="AE263" s="1784"/>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60" t="s">
        <v>309</v>
      </c>
      <c r="N264" s="1360"/>
      <c r="O264" s="1360"/>
      <c r="P264" s="1360"/>
      <c r="Q264" s="1360"/>
      <c r="R264" s="1360"/>
      <c r="S264" s="1360"/>
      <c r="T264" s="1360"/>
      <c r="U264" s="218" t="s">
        <v>939</v>
      </c>
      <c r="V264" s="218"/>
      <c r="W264" s="218"/>
      <c r="X264" s="218"/>
      <c r="Y264" s="218"/>
      <c r="Z264" s="218"/>
      <c r="AA264" s="1752"/>
      <c r="AB264" s="1752"/>
      <c r="AC264" s="1752"/>
      <c r="AD264" s="1752"/>
      <c r="AE264" s="1752"/>
      <c r="AF264" s="1752"/>
      <c r="AG264" s="1752"/>
      <c r="AH264" s="1752"/>
      <c r="AI264" s="1752"/>
      <c r="AJ264" s="1752"/>
      <c r="AK264" s="1752"/>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297</v>
      </c>
      <c r="D266" s="4"/>
      <c r="E266" s="4"/>
      <c r="F266" s="4"/>
      <c r="G266" s="4"/>
      <c r="H266" s="4"/>
      <c r="I266" s="4"/>
      <c r="J266" s="4"/>
      <c r="K266" s="4"/>
      <c r="L266" s="4"/>
      <c r="M266" s="35"/>
      <c r="N266" s="35"/>
      <c r="O266" s="35"/>
      <c r="P266" s="35"/>
      <c r="Q266" s="35"/>
      <c r="T266" s="1783" t="str">
        <f>BO245</f>
        <v>Nonprofit</v>
      </c>
      <c r="U266" s="1783"/>
      <c r="V266" s="1783"/>
      <c r="W266" s="1783"/>
      <c r="X266" s="1783"/>
      <c r="Z266" s="330" t="s">
        <v>994</v>
      </c>
      <c r="AA266" s="331"/>
      <c r="AB266" s="331"/>
      <c r="AC266" s="331"/>
      <c r="AD266" s="105"/>
      <c r="AE266" s="105"/>
      <c r="AF266" s="105"/>
      <c r="AG266" s="105"/>
      <c r="AH266" s="105"/>
      <c r="AI266" s="105"/>
      <c r="AJ266" s="105"/>
      <c r="AK266" s="332"/>
      <c r="AL266" s="58"/>
      <c r="BN266" s="34"/>
    </row>
    <row r="267" spans="1:66" ht="12.9" customHeight="1">
      <c r="A267" s="2"/>
      <c r="B267" s="4"/>
      <c r="C267" s="2"/>
      <c r="I267" s="4"/>
      <c r="J267" s="4"/>
      <c r="K267" s="4"/>
      <c r="L267" s="4"/>
      <c r="M267" s="35"/>
      <c r="N267" s="35"/>
      <c r="O267" s="35"/>
      <c r="P267" s="35"/>
      <c r="Q267" s="35"/>
      <c r="T267" s="4"/>
      <c r="U267" s="4"/>
      <c r="V267" s="4"/>
      <c r="W267" s="35"/>
      <c r="Z267" s="333" t="s">
        <v>832</v>
      </c>
      <c r="AF267" s="4"/>
      <c r="AG267" s="4"/>
      <c r="AH267" s="4"/>
      <c r="AI267" s="4"/>
      <c r="AJ267" s="4"/>
      <c r="AL267" s="65"/>
      <c r="BN267" s="34"/>
    </row>
    <row r="268" spans="1:66" ht="12.9"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4" t="s">
        <v>993</v>
      </c>
      <c r="AA268" s="48"/>
      <c r="AB268" s="48"/>
      <c r="AC268" s="48"/>
      <c r="AD268" s="48"/>
      <c r="AE268" s="48"/>
      <c r="AF268" s="104"/>
      <c r="AG268" s="104"/>
      <c r="AH268" s="104"/>
      <c r="AI268" s="104"/>
      <c r="AJ268" s="104"/>
      <c r="AK268" s="48"/>
      <c r="AL268" s="49"/>
      <c r="BN268" s="34"/>
    </row>
    <row r="269" spans="1:66" ht="12.9" customHeight="1">
      <c r="A269" s="4"/>
      <c r="B269" s="36">
        <v>0</v>
      </c>
      <c r="D269" s="1649" t="s">
        <v>282</v>
      </c>
      <c r="E269" s="1649"/>
      <c r="F269" s="1649"/>
      <c r="G269" s="1649"/>
      <c r="H269" s="1649"/>
      <c r="J269" t="s">
        <v>281</v>
      </c>
      <c r="X269" s="1637"/>
      <c r="Y269" s="1637"/>
      <c r="Z269" s="1637"/>
      <c r="AA269" s="1637"/>
      <c r="AB269" s="1637"/>
      <c r="AC269" s="1637"/>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66" t="s">
        <v>2639</v>
      </c>
      <c r="M273" s="1759"/>
      <c r="N273" s="1759"/>
      <c r="O273" s="1759"/>
      <c r="P273" s="1759"/>
      <c r="Q273" s="1759"/>
      <c r="R273" s="1759"/>
      <c r="S273" s="1759"/>
      <c r="T273" s="1759"/>
      <c r="U273" s="1759"/>
      <c r="V273" s="1759"/>
      <c r="W273" s="1759"/>
      <c r="X273" s="1759"/>
      <c r="Y273" s="1759"/>
      <c r="Z273" s="1759"/>
      <c r="AA273" s="1759"/>
      <c r="AB273" s="1759"/>
      <c r="AC273" s="1759"/>
      <c r="AD273" s="1759"/>
      <c r="AE273" s="1759"/>
      <c r="AF273" s="1759"/>
      <c r="AG273" s="1759"/>
      <c r="AH273" s="1759"/>
      <c r="AI273" s="1759"/>
      <c r="AJ273" s="1759"/>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408" t="s">
        <v>2673</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2.9" customHeight="1">
      <c r="D275" s="4" t="s">
        <v>589</v>
      </c>
      <c r="E275" s="4"/>
      <c r="L275" s="1408" t="s">
        <v>2663</v>
      </c>
      <c r="M275" s="1649"/>
      <c r="N275" s="1649"/>
      <c r="O275" s="1649"/>
      <c r="P275" s="1649"/>
      <c r="Q275" s="1649"/>
      <c r="R275" s="1649"/>
      <c r="S275" s="1649"/>
      <c r="U275" s="33" t="s">
        <v>87</v>
      </c>
      <c r="V275" s="1629" t="s">
        <v>2674</v>
      </c>
      <c r="W275" s="1350"/>
      <c r="X275" s="4" t="s">
        <v>592</v>
      </c>
      <c r="AB275" s="1649">
        <v>94404</v>
      </c>
      <c r="AC275" s="1649"/>
      <c r="AD275" s="1649"/>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408" t="s">
        <v>2675</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354" t="s">
        <v>2684</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2.9" customHeight="1">
      <c r="D278" s="4" t="s">
        <v>91</v>
      </c>
      <c r="E278" s="4"/>
      <c r="F278" s="4"/>
      <c r="L278" s="1753" t="s">
        <v>2677</v>
      </c>
      <c r="M278" s="1753"/>
      <c r="N278" s="1753"/>
      <c r="O278" s="1753"/>
      <c r="P278" s="1753"/>
      <c r="Q278" s="1753"/>
      <c r="R278" s="1753"/>
      <c r="S278" s="1753"/>
      <c r="T278" s="1753"/>
      <c r="U278" s="1753"/>
      <c r="V278" s="1753"/>
      <c r="W278" s="1753"/>
      <c r="X278" s="1753"/>
      <c r="Y278" s="1753"/>
      <c r="Z278" s="1753"/>
      <c r="AA278" s="1753"/>
      <c r="AB278" s="1753"/>
      <c r="AC278" s="1753"/>
      <c r="AD278" s="1753"/>
      <c r="AF278" s="4"/>
      <c r="AG278" s="4"/>
      <c r="AH278" s="4"/>
      <c r="AI278" s="4"/>
      <c r="AJ278" s="4"/>
      <c r="BN278" s="34"/>
    </row>
    <row r="279" spans="1:66" ht="12.9" customHeight="1">
      <c r="D279" s="3" t="s">
        <v>632</v>
      </c>
      <c r="E279" s="3"/>
      <c r="F279" s="3"/>
      <c r="G279" s="3"/>
      <c r="H279" s="3"/>
      <c r="I279" s="3"/>
      <c r="L279" s="1629" t="s">
        <v>2685</v>
      </c>
      <c r="M279" s="1629"/>
      <c r="N279" s="1629"/>
      <c r="O279" s="1629"/>
      <c r="P279" s="1629"/>
      <c r="Q279" s="1629"/>
      <c r="R279" s="1629"/>
      <c r="S279" s="1629"/>
      <c r="T279" s="1629"/>
      <c r="U279" s="1629"/>
      <c r="V279" s="1629"/>
      <c r="W279" s="1629"/>
      <c r="X279" s="1629"/>
      <c r="Y279" s="1629"/>
      <c r="Z279" s="1629"/>
      <c r="AA279" s="1629"/>
      <c r="AB279" s="1629"/>
      <c r="AC279" s="1629"/>
      <c r="AD279" s="1629"/>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643" t="s">
        <v>550</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2.9"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408" t="s">
        <v>2639</v>
      </c>
      <c r="I286" s="1352"/>
      <c r="J286" s="1352"/>
      <c r="K286" s="1352"/>
      <c r="L286" s="1352"/>
      <c r="M286" s="1352"/>
      <c r="N286" s="1352"/>
      <c r="O286" s="1352"/>
      <c r="P286" s="1352"/>
      <c r="Q286" s="1352"/>
      <c r="R286" s="1352"/>
      <c r="T286" s="3" t="s">
        <v>576</v>
      </c>
      <c r="V286" s="3"/>
      <c r="W286" s="3"/>
      <c r="X286" s="3"/>
      <c r="Y286" s="3"/>
      <c r="AA286" s="1352" t="s">
        <v>2686</v>
      </c>
      <c r="AB286" s="1352"/>
      <c r="AC286" s="1352"/>
      <c r="AD286" s="1352"/>
      <c r="AE286" s="1352"/>
      <c r="AF286" s="1352"/>
      <c r="AG286" s="1352"/>
      <c r="AH286" s="1352"/>
      <c r="AI286" s="1352"/>
      <c r="AJ286" s="1352"/>
      <c r="AK286" s="1352"/>
      <c r="BN286" s="34"/>
    </row>
    <row r="287" spans="1:66" ht="12.9" customHeight="1">
      <c r="B287" s="3" t="s">
        <v>480</v>
      </c>
      <c r="C287" s="3"/>
      <c r="D287" s="3"/>
      <c r="E287" s="3"/>
      <c r="F287" s="3"/>
      <c r="H287" s="1360" t="s">
        <v>2673</v>
      </c>
      <c r="I287" s="1360"/>
      <c r="J287" s="1360"/>
      <c r="K287" s="1360"/>
      <c r="L287" s="1360"/>
      <c r="M287" s="1360"/>
      <c r="N287" s="1360"/>
      <c r="O287" s="1360"/>
      <c r="P287" s="1360"/>
      <c r="Q287" s="1360"/>
      <c r="R287" s="1360"/>
      <c r="T287" s="3" t="s">
        <v>480</v>
      </c>
      <c r="V287" s="3"/>
      <c r="W287" s="3"/>
      <c r="X287" s="3"/>
      <c r="Y287" s="3"/>
      <c r="AA287" s="1360" t="s">
        <v>2689</v>
      </c>
      <c r="AB287" s="1360"/>
      <c r="AC287" s="1360"/>
      <c r="AD287" s="1360"/>
      <c r="AE287" s="1360"/>
      <c r="AF287" s="1360"/>
      <c r="AG287" s="1360"/>
      <c r="AH287" s="1360"/>
      <c r="AI287" s="1360"/>
      <c r="AJ287" s="1360"/>
      <c r="AK287" s="1360"/>
      <c r="BN287" s="34"/>
    </row>
    <row r="288" spans="1:66" ht="12.9" customHeight="1">
      <c r="B288" s="3" t="s">
        <v>481</v>
      </c>
      <c r="C288" s="3"/>
      <c r="D288" s="3"/>
      <c r="E288" s="3"/>
      <c r="F288" s="3"/>
      <c r="H288" s="1360" t="s">
        <v>2691</v>
      </c>
      <c r="I288" s="1360"/>
      <c r="J288" s="1360"/>
      <c r="K288" s="1360"/>
      <c r="L288" s="1360"/>
      <c r="M288" s="1360"/>
      <c r="N288" s="1360"/>
      <c r="O288" s="1360"/>
      <c r="P288" s="1360"/>
      <c r="Q288" s="1360"/>
      <c r="R288" s="1360"/>
      <c r="T288" s="3" t="s">
        <v>76</v>
      </c>
      <c r="V288" s="3"/>
      <c r="W288" s="3"/>
      <c r="X288" s="3"/>
      <c r="Y288" s="3"/>
      <c r="AA288" s="1360" t="s">
        <v>2690</v>
      </c>
      <c r="AB288" s="1360"/>
      <c r="AC288" s="1360"/>
      <c r="AD288" s="1360"/>
      <c r="AE288" s="1360"/>
      <c r="AF288" s="1360"/>
      <c r="AG288" s="1360"/>
      <c r="AH288" s="1360"/>
      <c r="AI288" s="1360"/>
      <c r="AJ288" s="1360"/>
      <c r="AK288" s="1360"/>
      <c r="BN288" s="34"/>
    </row>
    <row r="289" spans="2:66" ht="12.9" customHeight="1">
      <c r="B289" s="3" t="s">
        <v>88</v>
      </c>
      <c r="C289" s="3"/>
      <c r="D289" s="3"/>
      <c r="E289" s="3"/>
      <c r="F289" s="3"/>
      <c r="H289" s="1360" t="s">
        <v>2675</v>
      </c>
      <c r="I289" s="1360"/>
      <c r="J289" s="1360"/>
      <c r="K289" s="1360"/>
      <c r="L289" s="1360"/>
      <c r="M289" s="1360"/>
      <c r="N289" s="1360"/>
      <c r="O289" s="1360"/>
      <c r="P289" s="1360"/>
      <c r="Q289" s="1360"/>
      <c r="R289" s="1360"/>
      <c r="T289" s="3" t="s">
        <v>88</v>
      </c>
      <c r="V289" s="3"/>
      <c r="W289" s="3"/>
      <c r="X289" s="3"/>
      <c r="Y289" s="3"/>
      <c r="AA289" s="1360" t="s">
        <v>2692</v>
      </c>
      <c r="AB289" s="1360"/>
      <c r="AC289" s="1360"/>
      <c r="AD289" s="1360"/>
      <c r="AE289" s="1360"/>
      <c r="AF289" s="1360"/>
      <c r="AG289" s="1360"/>
      <c r="AH289" s="1360"/>
      <c r="AI289" s="1360"/>
      <c r="AJ289" s="1360"/>
      <c r="AK289" s="1360"/>
      <c r="BN289" s="34"/>
    </row>
    <row r="290" spans="2:66" ht="12.9" customHeight="1">
      <c r="B290" s="3" t="s">
        <v>89</v>
      </c>
      <c r="C290" s="3"/>
      <c r="D290" s="3"/>
      <c r="E290" s="3"/>
      <c r="F290" s="3"/>
      <c r="G290" s="3"/>
      <c r="H290" s="1650" t="s">
        <v>2684</v>
      </c>
      <c r="I290" s="1651"/>
      <c r="J290" s="1651"/>
      <c r="K290" s="1651"/>
      <c r="L290" s="1651"/>
      <c r="M290" s="1651"/>
      <c r="N290" s="4" t="s">
        <v>208</v>
      </c>
      <c r="O290" s="4"/>
      <c r="P290" s="1649"/>
      <c r="Q290" s="1649"/>
      <c r="R290" s="1649"/>
      <c r="S290" s="3"/>
      <c r="T290" s="3" t="s">
        <v>89</v>
      </c>
      <c r="V290" s="3"/>
      <c r="W290" s="3"/>
      <c r="X290" s="3"/>
      <c r="Y290" s="3"/>
      <c r="AA290" s="1650" t="s">
        <v>2687</v>
      </c>
      <c r="AB290" s="1651"/>
      <c r="AC290" s="1651"/>
      <c r="AD290" s="1651"/>
      <c r="AE290" s="1651"/>
      <c r="AF290" s="1651"/>
      <c r="AG290" s="4" t="s">
        <v>208</v>
      </c>
      <c r="AH290" s="4"/>
      <c r="AI290" s="1649"/>
      <c r="AJ290" s="1649"/>
      <c r="AK290" s="1649"/>
      <c r="BN290" s="34"/>
    </row>
    <row r="291" spans="2:66" ht="12.9"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 customHeight="1">
      <c r="B292" s="3" t="s">
        <v>77</v>
      </c>
      <c r="C292" s="3"/>
      <c r="D292" s="3"/>
      <c r="E292" s="3"/>
      <c r="F292" s="3"/>
      <c r="G292" s="3"/>
      <c r="H292" s="1360" t="s">
        <v>2677</v>
      </c>
      <c r="I292" s="1360"/>
      <c r="J292" s="1360"/>
      <c r="K292" s="1360"/>
      <c r="L292" s="1360"/>
      <c r="M292" s="1360"/>
      <c r="N292" s="1352"/>
      <c r="O292" s="1352"/>
      <c r="P292" s="1352"/>
      <c r="Q292" s="1352"/>
      <c r="R292" s="1352"/>
      <c r="S292" s="3"/>
      <c r="T292" s="3" t="s">
        <v>77</v>
      </c>
      <c r="V292" s="3"/>
      <c r="W292" s="3"/>
      <c r="X292" s="3"/>
      <c r="Y292" s="3"/>
      <c r="AA292" s="1360" t="s">
        <v>2688</v>
      </c>
      <c r="AB292" s="1360"/>
      <c r="AC292" s="1360"/>
      <c r="AD292" s="1360"/>
      <c r="AE292" s="1360"/>
      <c r="AF292" s="1360"/>
      <c r="AG292" s="1352"/>
      <c r="AH292" s="1352"/>
      <c r="AI292" s="1352"/>
      <c r="AJ292" s="1352"/>
      <c r="AK292" s="1352"/>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52" t="s">
        <v>2693</v>
      </c>
      <c r="I294" s="1352"/>
      <c r="J294" s="1352"/>
      <c r="K294" s="1352"/>
      <c r="L294" s="1352"/>
      <c r="M294" s="1352"/>
      <c r="N294" s="1352"/>
      <c r="O294" s="1352"/>
      <c r="P294" s="1352"/>
      <c r="Q294" s="1352"/>
      <c r="R294" s="1352"/>
      <c r="T294" s="3" t="s">
        <v>366</v>
      </c>
      <c r="V294" s="3"/>
      <c r="W294" s="3"/>
      <c r="X294" s="3"/>
      <c r="Y294" s="3"/>
      <c r="AA294" s="1352" t="s">
        <v>2717</v>
      </c>
      <c r="AB294" s="1352"/>
      <c r="AC294" s="1352"/>
      <c r="AD294" s="1352"/>
      <c r="AE294" s="1352"/>
      <c r="AF294" s="1352"/>
      <c r="AG294" s="1352"/>
      <c r="AH294" s="1352"/>
      <c r="AI294" s="1352"/>
      <c r="AJ294" s="1352"/>
      <c r="AK294" s="1352"/>
      <c r="BN294" s="34"/>
    </row>
    <row r="295" spans="2:66" ht="12.9" customHeight="1">
      <c r="B295" s="3" t="s">
        <v>480</v>
      </c>
      <c r="C295" s="3"/>
      <c r="D295" s="3"/>
      <c r="E295" s="3"/>
      <c r="F295" s="3"/>
      <c r="H295" s="1360" t="s">
        <v>2694</v>
      </c>
      <c r="I295" s="1360"/>
      <c r="J295" s="1360"/>
      <c r="K295" s="1360"/>
      <c r="L295" s="1360"/>
      <c r="M295" s="1360"/>
      <c r="N295" s="1360"/>
      <c r="O295" s="1360"/>
      <c r="P295" s="1360"/>
      <c r="Q295" s="1360"/>
      <c r="R295" s="1360"/>
      <c r="T295" s="3" t="s">
        <v>480</v>
      </c>
      <c r="V295" s="3"/>
      <c r="W295" s="3"/>
      <c r="X295" s="3"/>
      <c r="Y295" s="3"/>
      <c r="AA295" s="1360" t="s">
        <v>2718</v>
      </c>
      <c r="AB295" s="1360"/>
      <c r="AC295" s="1360"/>
      <c r="AD295" s="1360"/>
      <c r="AE295" s="1360"/>
      <c r="AF295" s="1360"/>
      <c r="AG295" s="1360"/>
      <c r="AH295" s="1360"/>
      <c r="AI295" s="1360"/>
      <c r="AJ295" s="1360"/>
      <c r="AK295" s="1360"/>
      <c r="BN295" s="34"/>
    </row>
    <row r="296" spans="2:66" ht="12.9" customHeight="1">
      <c r="B296" s="3" t="s">
        <v>481</v>
      </c>
      <c r="C296" s="3"/>
      <c r="D296" s="3"/>
      <c r="E296" s="3"/>
      <c r="F296" s="3"/>
      <c r="H296" s="1663" t="s">
        <v>2695</v>
      </c>
      <c r="I296" s="1360"/>
      <c r="J296" s="1360"/>
      <c r="K296" s="1360"/>
      <c r="L296" s="1360"/>
      <c r="M296" s="1360"/>
      <c r="N296" s="1360"/>
      <c r="O296" s="1360"/>
      <c r="P296" s="1360"/>
      <c r="Q296" s="1360"/>
      <c r="R296" s="1360"/>
      <c r="T296" s="3" t="s">
        <v>76</v>
      </c>
      <c r="V296" s="3"/>
      <c r="W296" s="3"/>
      <c r="X296" s="3"/>
      <c r="Y296" s="3"/>
      <c r="AA296" s="1360" t="s">
        <v>2695</v>
      </c>
      <c r="AB296" s="1360"/>
      <c r="AC296" s="1360"/>
      <c r="AD296" s="1360"/>
      <c r="AE296" s="1360"/>
      <c r="AF296" s="1360"/>
      <c r="AG296" s="1360"/>
      <c r="AH296" s="1360"/>
      <c r="AI296" s="1360"/>
      <c r="AJ296" s="1360"/>
      <c r="AK296" s="1360"/>
      <c r="BN296" s="34"/>
    </row>
    <row r="297" spans="2:66" ht="12.9" customHeight="1">
      <c r="B297" s="3" t="s">
        <v>88</v>
      </c>
      <c r="C297" s="3"/>
      <c r="D297" s="3"/>
      <c r="E297" s="3"/>
      <c r="F297" s="3"/>
      <c r="H297" s="1360" t="s">
        <v>2696</v>
      </c>
      <c r="I297" s="1360"/>
      <c r="J297" s="1360"/>
      <c r="K297" s="1360"/>
      <c r="L297" s="1360"/>
      <c r="M297" s="1360"/>
      <c r="N297" s="1360"/>
      <c r="O297" s="1360"/>
      <c r="P297" s="1360"/>
      <c r="Q297" s="1360"/>
      <c r="R297" s="1360"/>
      <c r="T297" s="3" t="s">
        <v>88</v>
      </c>
      <c r="V297" s="3"/>
      <c r="W297" s="3"/>
      <c r="X297" s="3"/>
      <c r="Y297" s="3"/>
      <c r="AA297" s="1360" t="s">
        <v>2719</v>
      </c>
      <c r="AB297" s="1360"/>
      <c r="AC297" s="1360"/>
      <c r="AD297" s="1360"/>
      <c r="AE297" s="1360"/>
      <c r="AF297" s="1360"/>
      <c r="AG297" s="1360"/>
      <c r="AH297" s="1360"/>
      <c r="AI297" s="1360"/>
      <c r="AJ297" s="1360"/>
      <c r="AK297" s="1360"/>
      <c r="BN297" s="34"/>
    </row>
    <row r="298" spans="2:66" ht="12.9" customHeight="1">
      <c r="B298" s="3" t="s">
        <v>89</v>
      </c>
      <c r="C298" s="3"/>
      <c r="D298" s="3"/>
      <c r="E298" s="3"/>
      <c r="F298" s="3"/>
      <c r="G298" s="3"/>
      <c r="H298" s="1650" t="s">
        <v>2697</v>
      </c>
      <c r="I298" s="1651"/>
      <c r="J298" s="1651"/>
      <c r="K298" s="1651"/>
      <c r="L298" s="1651"/>
      <c r="M298" s="1651"/>
      <c r="N298" s="4" t="s">
        <v>208</v>
      </c>
      <c r="O298" s="4"/>
      <c r="P298" s="1649">
        <v>6</v>
      </c>
      <c r="Q298" s="1649"/>
      <c r="R298" s="1649"/>
      <c r="S298" s="3"/>
      <c r="T298" s="3" t="s">
        <v>89</v>
      </c>
      <c r="V298" s="3"/>
      <c r="W298" s="3"/>
      <c r="X298" s="3"/>
      <c r="Y298" s="3"/>
      <c r="AA298" s="1650" t="s">
        <v>2716</v>
      </c>
      <c r="AB298" s="1651"/>
      <c r="AC298" s="1651"/>
      <c r="AD298" s="1651"/>
      <c r="AE298" s="1651"/>
      <c r="AF298" s="1651"/>
      <c r="AG298" s="4" t="s">
        <v>208</v>
      </c>
      <c r="AH298" s="4"/>
      <c r="AI298" s="1649"/>
      <c r="AJ298" s="1649"/>
      <c r="AK298" s="1649"/>
      <c r="BN298" s="34"/>
    </row>
    <row r="299" spans="2:66" ht="12.9" customHeight="1">
      <c r="B299" s="3" t="s">
        <v>90</v>
      </c>
      <c r="C299" s="3"/>
      <c r="D299" s="3"/>
      <c r="E299" s="3"/>
      <c r="F299" s="3"/>
      <c r="G299" s="3"/>
      <c r="H299" s="1354" t="s">
        <v>2698</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 customHeight="1">
      <c r="B300" s="3" t="s">
        <v>77</v>
      </c>
      <c r="C300" s="3"/>
      <c r="D300" s="3"/>
      <c r="E300" s="3"/>
      <c r="F300" s="3"/>
      <c r="G300" s="3"/>
      <c r="H300" s="1360" t="s">
        <v>2699</v>
      </c>
      <c r="I300" s="1360"/>
      <c r="J300" s="1360"/>
      <c r="K300" s="1360"/>
      <c r="L300" s="1360"/>
      <c r="M300" s="1360"/>
      <c r="N300" s="1352"/>
      <c r="O300" s="1352"/>
      <c r="P300" s="1352"/>
      <c r="Q300" s="1352"/>
      <c r="R300" s="1352"/>
      <c r="S300" s="3"/>
      <c r="T300" s="3" t="s">
        <v>77</v>
      </c>
      <c r="V300" s="3"/>
      <c r="W300" s="3"/>
      <c r="X300" s="3"/>
      <c r="Y300" s="3"/>
      <c r="AA300" s="1360" t="s">
        <v>2720</v>
      </c>
      <c r="AB300" s="1360"/>
      <c r="AC300" s="1360"/>
      <c r="AD300" s="1360"/>
      <c r="AE300" s="1360"/>
      <c r="AF300" s="1360"/>
      <c r="AG300" s="1352"/>
      <c r="AH300" s="1352"/>
      <c r="AI300" s="1352"/>
      <c r="AJ300" s="1352"/>
      <c r="AK300" s="1352"/>
      <c r="BN300" s="34"/>
    </row>
    <row r="301" spans="2:66" ht="12.9" customHeight="1">
      <c r="BN301" s="34"/>
    </row>
    <row r="302" spans="2:66" ht="12.9" customHeight="1">
      <c r="B302" s="3" t="s">
        <v>78</v>
      </c>
      <c r="C302" s="3"/>
      <c r="D302" s="3"/>
      <c r="E302" s="3"/>
      <c r="F302" s="3"/>
      <c r="H302" s="1352" t="str">
        <f t="shared" ref="H302:H308" si="0">H294</f>
        <v>Gubb &amp; Barshay LLP</v>
      </c>
      <c r="I302" s="1352"/>
      <c r="J302" s="1352"/>
      <c r="K302" s="1352"/>
      <c r="L302" s="1352"/>
      <c r="M302" s="1352"/>
      <c r="N302" s="1352"/>
      <c r="O302" s="1352"/>
      <c r="P302" s="1352"/>
      <c r="Q302" s="1352"/>
      <c r="R302" s="1352"/>
      <c r="T302" s="4" t="s">
        <v>907</v>
      </c>
      <c r="V302" s="3"/>
      <c r="W302" s="3"/>
      <c r="X302" s="3"/>
      <c r="Y302" s="3"/>
      <c r="AA302" s="1352" t="s">
        <v>2723</v>
      </c>
      <c r="AB302" s="1352"/>
      <c r="AC302" s="1352"/>
      <c r="AD302" s="1352"/>
      <c r="AE302" s="1352"/>
      <c r="AF302" s="1352"/>
      <c r="AG302" s="1352"/>
      <c r="AH302" s="1352"/>
      <c r="AI302" s="1352"/>
      <c r="AJ302" s="1352"/>
      <c r="AK302" s="1352"/>
      <c r="BN302" s="34"/>
    </row>
    <row r="303" spans="2:66" ht="12.9" customHeight="1">
      <c r="B303" s="3" t="s">
        <v>480</v>
      </c>
      <c r="C303" s="3"/>
      <c r="D303" s="3"/>
      <c r="E303" s="3"/>
      <c r="F303" s="3"/>
      <c r="H303" s="1360" t="str">
        <f t="shared" si="0"/>
        <v>235 Montgomery Street, Suite 1110</v>
      </c>
      <c r="I303" s="1360"/>
      <c r="J303" s="1360"/>
      <c r="K303" s="1360"/>
      <c r="L303" s="1360"/>
      <c r="M303" s="1360"/>
      <c r="N303" s="1360"/>
      <c r="O303" s="1360"/>
      <c r="P303" s="1360"/>
      <c r="Q303" s="1360"/>
      <c r="R303" s="1360"/>
      <c r="T303" s="3" t="s">
        <v>480</v>
      </c>
      <c r="V303" s="3"/>
      <c r="W303" s="3"/>
      <c r="X303" s="3"/>
      <c r="Y303" s="3"/>
      <c r="AA303" s="1360" t="s">
        <v>2724</v>
      </c>
      <c r="AB303" s="1360"/>
      <c r="AC303" s="1360"/>
      <c r="AD303" s="1360"/>
      <c r="AE303" s="1360"/>
      <c r="AF303" s="1360"/>
      <c r="AG303" s="1360"/>
      <c r="AH303" s="1360"/>
      <c r="AI303" s="1360"/>
      <c r="AJ303" s="1360"/>
      <c r="AK303" s="1360"/>
      <c r="BN303" s="34"/>
    </row>
    <row r="304" spans="2:66" ht="12.9" customHeight="1">
      <c r="B304" s="3" t="s">
        <v>481</v>
      </c>
      <c r="C304" s="3"/>
      <c r="D304" s="3"/>
      <c r="E304" s="3"/>
      <c r="F304" s="3"/>
      <c r="H304" s="1360" t="str">
        <f t="shared" si="0"/>
        <v>San Francisco, CA 94104</v>
      </c>
      <c r="I304" s="1360"/>
      <c r="J304" s="1360"/>
      <c r="K304" s="1360"/>
      <c r="L304" s="1360"/>
      <c r="M304" s="1360"/>
      <c r="N304" s="1360"/>
      <c r="O304" s="1360"/>
      <c r="P304" s="1360"/>
      <c r="Q304" s="1360"/>
      <c r="R304" s="1360"/>
      <c r="T304" s="3" t="s">
        <v>76</v>
      </c>
      <c r="V304" s="3"/>
      <c r="W304" s="3"/>
      <c r="X304" s="3"/>
      <c r="Y304" s="3"/>
      <c r="AA304" s="1360" t="s">
        <v>2725</v>
      </c>
      <c r="AB304" s="1360"/>
      <c r="AC304" s="1360"/>
      <c r="AD304" s="1360"/>
      <c r="AE304" s="1360"/>
      <c r="AF304" s="1360"/>
      <c r="AG304" s="1360"/>
      <c r="AH304" s="1360"/>
      <c r="AI304" s="1360"/>
      <c r="AJ304" s="1360"/>
      <c r="AK304" s="1360"/>
      <c r="BN304" s="34"/>
    </row>
    <row r="305" spans="2:66" ht="12.9" customHeight="1">
      <c r="B305" s="3" t="s">
        <v>88</v>
      </c>
      <c r="C305" s="3"/>
      <c r="D305" s="3"/>
      <c r="E305" s="3"/>
      <c r="F305" s="3"/>
      <c r="H305" s="1360" t="str">
        <f t="shared" si="0"/>
        <v>Evan Gross</v>
      </c>
      <c r="I305" s="1360"/>
      <c r="J305" s="1360"/>
      <c r="K305" s="1360"/>
      <c r="L305" s="1360"/>
      <c r="M305" s="1360"/>
      <c r="N305" s="1360"/>
      <c r="O305" s="1360"/>
      <c r="P305" s="1360"/>
      <c r="Q305" s="1360"/>
      <c r="R305" s="1360"/>
      <c r="T305" s="3" t="s">
        <v>88</v>
      </c>
      <c r="V305" s="3"/>
      <c r="W305" s="3"/>
      <c r="X305" s="3"/>
      <c r="Y305" s="3"/>
      <c r="AA305" s="1360" t="s">
        <v>2721</v>
      </c>
      <c r="AB305" s="1360"/>
      <c r="AC305" s="1360"/>
      <c r="AD305" s="1360"/>
      <c r="AE305" s="1360"/>
      <c r="AF305" s="1360"/>
      <c r="AG305" s="1360"/>
      <c r="AH305" s="1360"/>
      <c r="AI305" s="1360"/>
      <c r="AJ305" s="1360"/>
      <c r="AK305" s="1360"/>
      <c r="BN305" s="34"/>
    </row>
    <row r="306" spans="2:66" ht="12.9" customHeight="1">
      <c r="B306" s="3" t="s">
        <v>89</v>
      </c>
      <c r="C306" s="3"/>
      <c r="D306" s="3"/>
      <c r="E306" s="3"/>
      <c r="F306" s="3"/>
      <c r="G306" s="3"/>
      <c r="H306" s="1651" t="str">
        <f t="shared" si="0"/>
        <v>415-781-6600</v>
      </c>
      <c r="I306" s="1651"/>
      <c r="J306" s="1651"/>
      <c r="K306" s="1651"/>
      <c r="L306" s="1651"/>
      <c r="M306" s="1651"/>
      <c r="N306" s="4" t="s">
        <v>208</v>
      </c>
      <c r="O306" s="4"/>
      <c r="P306" s="1649">
        <f>P298</f>
        <v>6</v>
      </c>
      <c r="Q306" s="1649"/>
      <c r="R306" s="1649"/>
      <c r="S306" s="3"/>
      <c r="T306" s="3" t="s">
        <v>89</v>
      </c>
      <c r="V306" s="3"/>
      <c r="W306" s="3"/>
      <c r="X306" s="3"/>
      <c r="Y306" s="3"/>
      <c r="AA306" s="1650" t="s">
        <v>2726</v>
      </c>
      <c r="AB306" s="1651"/>
      <c r="AC306" s="1651"/>
      <c r="AD306" s="1651"/>
      <c r="AE306" s="1651"/>
      <c r="AF306" s="1651"/>
      <c r="AG306" s="4" t="s">
        <v>208</v>
      </c>
      <c r="AH306" s="4"/>
      <c r="AI306" s="1649"/>
      <c r="AJ306" s="1649"/>
      <c r="AK306" s="1649"/>
      <c r="BN306" s="34"/>
    </row>
    <row r="307" spans="2:66" ht="12.9" customHeight="1">
      <c r="B307" s="3" t="s">
        <v>90</v>
      </c>
      <c r="C307" s="3"/>
      <c r="D307" s="3"/>
      <c r="E307" s="3"/>
      <c r="F307" s="3"/>
      <c r="G307" s="3"/>
      <c r="H307" s="1355" t="str">
        <f t="shared" si="0"/>
        <v>415-781-6967</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 customHeight="1">
      <c r="B308" s="3" t="s">
        <v>77</v>
      </c>
      <c r="C308" s="3"/>
      <c r="D308" s="3"/>
      <c r="E308" s="3"/>
      <c r="F308" s="3"/>
      <c r="G308" s="3"/>
      <c r="H308" s="1360" t="str">
        <f t="shared" si="0"/>
        <v>egross@gubbandbarshay.com</v>
      </c>
      <c r="I308" s="1360"/>
      <c r="J308" s="1360"/>
      <c r="K308" s="1360"/>
      <c r="L308" s="1360"/>
      <c r="M308" s="1360"/>
      <c r="N308" s="1352"/>
      <c r="O308" s="1352"/>
      <c r="P308" s="1352"/>
      <c r="Q308" s="1352"/>
      <c r="R308" s="1352"/>
      <c r="S308" s="3"/>
      <c r="T308" s="3" t="s">
        <v>77</v>
      </c>
      <c r="V308" s="3"/>
      <c r="W308" s="3"/>
      <c r="X308" s="3"/>
      <c r="Y308" s="3"/>
      <c r="AA308" s="1360" t="s">
        <v>2722</v>
      </c>
      <c r="AB308" s="1360"/>
      <c r="AC308" s="1360"/>
      <c r="AD308" s="1360"/>
      <c r="AE308" s="1360"/>
      <c r="AF308" s="1360"/>
      <c r="AG308" s="1352"/>
      <c r="AH308" s="1352"/>
      <c r="AI308" s="1352"/>
      <c r="AJ308" s="1352"/>
      <c r="AK308" s="1352"/>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52" t="s">
        <v>2700</v>
      </c>
      <c r="I310" s="1352"/>
      <c r="J310" s="1352"/>
      <c r="K310" s="1352"/>
      <c r="L310" s="1352"/>
      <c r="M310" s="1352"/>
      <c r="N310" s="1352"/>
      <c r="O310" s="1352"/>
      <c r="P310" s="1352"/>
      <c r="Q310" s="1352"/>
      <c r="R310" s="1352"/>
      <c r="S310" s="3"/>
      <c r="T310" s="3" t="s">
        <v>367</v>
      </c>
      <c r="V310" s="3"/>
      <c r="W310" s="3"/>
      <c r="X310" s="3"/>
      <c r="Y310" s="3"/>
      <c r="AA310" s="1352" t="s">
        <v>2715</v>
      </c>
      <c r="AB310" s="1352"/>
      <c r="AC310" s="1352"/>
      <c r="AD310" s="1352"/>
      <c r="AE310" s="1352"/>
      <c r="AF310" s="1352"/>
      <c r="AG310" s="1352"/>
      <c r="AH310" s="1352"/>
      <c r="AI310" s="1352"/>
      <c r="AJ310" s="1352"/>
      <c r="AK310" s="1352"/>
      <c r="BN310" s="34"/>
    </row>
    <row r="311" spans="2:66" ht="12.9" customHeight="1">
      <c r="B311" s="3" t="s">
        <v>480</v>
      </c>
      <c r="C311" s="3"/>
      <c r="D311" s="3"/>
      <c r="E311" s="3"/>
      <c r="F311" s="3"/>
      <c r="H311" s="1360" t="s">
        <v>2701</v>
      </c>
      <c r="I311" s="1360"/>
      <c r="J311" s="1360"/>
      <c r="K311" s="1360"/>
      <c r="L311" s="1360"/>
      <c r="M311" s="1360"/>
      <c r="N311" s="1360"/>
      <c r="O311" s="1360"/>
      <c r="P311" s="1360"/>
      <c r="Q311" s="1360"/>
      <c r="R311" s="1360"/>
      <c r="S311" s="3"/>
      <c r="T311" s="3" t="s">
        <v>480</v>
      </c>
      <c r="V311" s="3"/>
      <c r="W311" s="3"/>
      <c r="X311" s="3"/>
      <c r="Y311" s="3"/>
      <c r="AA311" s="1360"/>
      <c r="AB311" s="1360"/>
      <c r="AC311" s="1360"/>
      <c r="AD311" s="1360"/>
      <c r="AE311" s="1360"/>
      <c r="AF311" s="1360"/>
      <c r="AG311" s="1360"/>
      <c r="AH311" s="1360"/>
      <c r="AI311" s="1360"/>
      <c r="AJ311" s="1360"/>
      <c r="AK311" s="1360"/>
      <c r="BN311" s="34"/>
    </row>
    <row r="312" spans="2:66" ht="12.9" customHeight="1">
      <c r="B312" s="3" t="s">
        <v>481</v>
      </c>
      <c r="C312" s="3"/>
      <c r="D312" s="3"/>
      <c r="E312" s="3"/>
      <c r="F312" s="3"/>
      <c r="H312" s="1360" t="s">
        <v>2702</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2.9" customHeight="1">
      <c r="B313" s="3" t="s">
        <v>88</v>
      </c>
      <c r="C313" s="3"/>
      <c r="D313" s="3"/>
      <c r="E313" s="3"/>
      <c r="F313" s="3"/>
      <c r="H313" s="1360" t="s">
        <v>2703</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2.9" customHeight="1">
      <c r="B314" s="3" t="s">
        <v>89</v>
      </c>
      <c r="C314" s="3"/>
      <c r="D314" s="3"/>
      <c r="E314" s="3"/>
      <c r="F314" s="3"/>
      <c r="G314" s="3"/>
      <c r="H314" s="1650" t="s">
        <v>2704</v>
      </c>
      <c r="I314" s="1651"/>
      <c r="J314" s="1651"/>
      <c r="K314" s="1651"/>
      <c r="L314" s="1651"/>
      <c r="M314" s="1651"/>
      <c r="N314" s="4" t="s">
        <v>208</v>
      </c>
      <c r="O314" s="4"/>
      <c r="P314" s="1649"/>
      <c r="Q314" s="1649"/>
      <c r="R314" s="1649"/>
      <c r="S314" s="3"/>
      <c r="T314" s="3" t="s">
        <v>89</v>
      </c>
      <c r="V314" s="3"/>
      <c r="W314" s="3"/>
      <c r="X314" s="3"/>
      <c r="Y314" s="3"/>
      <c r="AA314" s="1651"/>
      <c r="AB314" s="1651"/>
      <c r="AC314" s="1651"/>
      <c r="AD314" s="1651"/>
      <c r="AE314" s="1651"/>
      <c r="AF314" s="1651"/>
      <c r="AG314" s="4" t="s">
        <v>208</v>
      </c>
      <c r="AH314" s="4"/>
      <c r="AI314" s="1649"/>
      <c r="AJ314" s="1649"/>
      <c r="AK314" s="1649"/>
      <c r="BN314" s="34"/>
    </row>
    <row r="315" spans="2:66" ht="12.9"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 customHeight="1">
      <c r="B316" s="3" t="s">
        <v>77</v>
      </c>
      <c r="C316" s="3"/>
      <c r="D316" s="3"/>
      <c r="E316" s="3"/>
      <c r="F316" s="3"/>
      <c r="G316" s="3"/>
      <c r="H316" s="1360" t="s">
        <v>2705</v>
      </c>
      <c r="I316" s="1360"/>
      <c r="J316" s="1360"/>
      <c r="K316" s="1360"/>
      <c r="L316" s="1360"/>
      <c r="M316" s="1360"/>
      <c r="N316" s="1352"/>
      <c r="O316" s="1352"/>
      <c r="P316" s="1352"/>
      <c r="Q316" s="1352"/>
      <c r="R316" s="1352"/>
      <c r="S316" s="3"/>
      <c r="T316" s="3" t="s">
        <v>77</v>
      </c>
      <c r="V316" s="3"/>
      <c r="W316" s="3"/>
      <c r="X316" s="3"/>
      <c r="Y316" s="3"/>
      <c r="AA316" s="1360"/>
      <c r="AB316" s="1360"/>
      <c r="AC316" s="1360"/>
      <c r="AD316" s="1360"/>
      <c r="AE316" s="1360"/>
      <c r="AF316" s="1360"/>
      <c r="AG316" s="1352"/>
      <c r="AH316" s="1352"/>
      <c r="AI316" s="1352"/>
      <c r="AJ316" s="1352"/>
      <c r="AK316" s="1352"/>
      <c r="BN316" s="34"/>
    </row>
    <row r="317" spans="2:66" ht="12.9" customHeight="1">
      <c r="BN317" s="34"/>
    </row>
    <row r="318" spans="2:66" ht="12.9" customHeight="1">
      <c r="B318" s="4" t="s">
        <v>941</v>
      </c>
      <c r="C318" s="3"/>
      <c r="D318" s="3"/>
      <c r="E318" s="3"/>
      <c r="F318" s="3"/>
      <c r="H318" s="1352" t="s">
        <v>2706</v>
      </c>
      <c r="I318" s="1352"/>
      <c r="J318" s="1352"/>
      <c r="K318" s="1352"/>
      <c r="L318" s="1352"/>
      <c r="M318" s="1352"/>
      <c r="N318" s="1352"/>
      <c r="O318" s="1352"/>
      <c r="P318" s="1352"/>
      <c r="Q318" s="1352"/>
      <c r="R318" s="1352"/>
      <c r="T318" s="3" t="s">
        <v>368</v>
      </c>
      <c r="V318" s="3"/>
      <c r="W318" s="3"/>
      <c r="X318" s="3"/>
      <c r="Y318" s="3"/>
      <c r="AA318" s="1352" t="s">
        <v>2727</v>
      </c>
      <c r="AB318" s="1352"/>
      <c r="AC318" s="1352"/>
      <c r="AD318" s="1352"/>
      <c r="AE318" s="1352"/>
      <c r="AF318" s="1352"/>
      <c r="AG318" s="1352"/>
      <c r="AH318" s="1352"/>
      <c r="AI318" s="1352"/>
      <c r="AJ318" s="1352"/>
      <c r="AK318" s="1352"/>
      <c r="BN318" s="34"/>
    </row>
    <row r="319" spans="2:66" ht="12.9" customHeight="1">
      <c r="B319" s="3" t="s">
        <v>480</v>
      </c>
      <c r="C319" s="3"/>
      <c r="D319" s="3"/>
      <c r="E319" s="3"/>
      <c r="F319" s="3"/>
      <c r="H319" s="1360" t="s">
        <v>2707</v>
      </c>
      <c r="I319" s="1360"/>
      <c r="J319" s="1360"/>
      <c r="K319" s="1360"/>
      <c r="L319" s="1360"/>
      <c r="M319" s="1360"/>
      <c r="N319" s="1360"/>
      <c r="O319" s="1360"/>
      <c r="P319" s="1360"/>
      <c r="Q319" s="1360"/>
      <c r="R319" s="1360"/>
      <c r="T319" s="3" t="s">
        <v>480</v>
      </c>
      <c r="V319" s="3"/>
      <c r="W319" s="3"/>
      <c r="X319" s="3"/>
      <c r="Y319" s="3"/>
      <c r="AA319" s="1360" t="s">
        <v>2728</v>
      </c>
      <c r="AB319" s="1360"/>
      <c r="AC319" s="1360"/>
      <c r="AD319" s="1360"/>
      <c r="AE319" s="1360"/>
      <c r="AF319" s="1360"/>
      <c r="AG319" s="1360"/>
      <c r="AH319" s="1360"/>
      <c r="AI319" s="1360"/>
      <c r="AJ319" s="1360"/>
      <c r="AK319" s="1360"/>
      <c r="BN319" s="34"/>
    </row>
    <row r="320" spans="2:66" ht="12.9" customHeight="1">
      <c r="B320" s="3" t="s">
        <v>481</v>
      </c>
      <c r="C320" s="3"/>
      <c r="D320" s="3"/>
      <c r="E320" s="3"/>
      <c r="F320" s="3"/>
      <c r="H320" s="1360" t="s">
        <v>2708</v>
      </c>
      <c r="I320" s="1360"/>
      <c r="J320" s="1360"/>
      <c r="K320" s="1360"/>
      <c r="L320" s="1360"/>
      <c r="M320" s="1360"/>
      <c r="N320" s="1360"/>
      <c r="O320" s="1360"/>
      <c r="P320" s="1360"/>
      <c r="Q320" s="1360"/>
      <c r="R320" s="1360"/>
      <c r="T320" s="3" t="s">
        <v>76</v>
      </c>
      <c r="V320" s="3"/>
      <c r="W320" s="3"/>
      <c r="X320" s="3"/>
      <c r="Y320" s="3"/>
      <c r="AA320" s="1360" t="s">
        <v>2729</v>
      </c>
      <c r="AB320" s="1360"/>
      <c r="AC320" s="1360"/>
      <c r="AD320" s="1360"/>
      <c r="AE320" s="1360"/>
      <c r="AF320" s="1360"/>
      <c r="AG320" s="1360"/>
      <c r="AH320" s="1360"/>
      <c r="AI320" s="1360"/>
      <c r="AJ320" s="1360"/>
      <c r="AK320" s="1360"/>
      <c r="BN320" s="34"/>
    </row>
    <row r="321" spans="2:66" ht="12.9" customHeight="1">
      <c r="B321" s="3" t="s">
        <v>88</v>
      </c>
      <c r="C321" s="3"/>
      <c r="D321" s="3"/>
      <c r="E321" s="3"/>
      <c r="F321" s="3"/>
      <c r="H321" s="1360" t="s">
        <v>2709</v>
      </c>
      <c r="I321" s="1360"/>
      <c r="J321" s="1360"/>
      <c r="K321" s="1360"/>
      <c r="L321" s="1360"/>
      <c r="M321" s="1360"/>
      <c r="N321" s="1360"/>
      <c r="O321" s="1360"/>
      <c r="P321" s="1360"/>
      <c r="Q321" s="1360"/>
      <c r="R321" s="1360"/>
      <c r="T321" s="3" t="s">
        <v>88</v>
      </c>
      <c r="V321" s="3"/>
      <c r="W321" s="3"/>
      <c r="X321" s="3"/>
      <c r="Y321" s="3"/>
      <c r="AA321" s="1663" t="s">
        <v>2730</v>
      </c>
      <c r="AB321" s="1360"/>
      <c r="AC321" s="1360"/>
      <c r="AD321" s="1360"/>
      <c r="AE321" s="1360"/>
      <c r="AF321" s="1360"/>
      <c r="AG321" s="1360"/>
      <c r="AH321" s="1360"/>
      <c r="AI321" s="1360"/>
      <c r="AJ321" s="1360"/>
      <c r="AK321" s="1360"/>
      <c r="BN321" s="34"/>
    </row>
    <row r="322" spans="2:66" ht="12.9" customHeight="1">
      <c r="B322" s="3" t="s">
        <v>89</v>
      </c>
      <c r="C322" s="3"/>
      <c r="D322" s="3"/>
      <c r="E322" s="3"/>
      <c r="F322" s="3"/>
      <c r="G322" s="3"/>
      <c r="H322" s="1650" t="s">
        <v>2711</v>
      </c>
      <c r="I322" s="1651"/>
      <c r="J322" s="1651"/>
      <c r="K322" s="1651"/>
      <c r="L322" s="1651"/>
      <c r="M322" s="1651"/>
      <c r="N322" s="4" t="s">
        <v>208</v>
      </c>
      <c r="O322" s="4"/>
      <c r="P322" s="1649">
        <v>318</v>
      </c>
      <c r="Q322" s="1649"/>
      <c r="R322" s="1649"/>
      <c r="S322" s="3"/>
      <c r="T322" s="3" t="s">
        <v>89</v>
      </c>
      <c r="V322" s="3"/>
      <c r="W322" s="3"/>
      <c r="X322" s="3"/>
      <c r="Y322" s="3"/>
      <c r="AA322" s="1650" t="s">
        <v>2731</v>
      </c>
      <c r="AB322" s="1651"/>
      <c r="AC322" s="1651"/>
      <c r="AD322" s="1651"/>
      <c r="AE322" s="1651"/>
      <c r="AF322" s="1651"/>
      <c r="AG322" s="4" t="s">
        <v>208</v>
      </c>
      <c r="AH322" s="4"/>
      <c r="AI322" s="1649"/>
      <c r="AJ322" s="1649"/>
      <c r="AK322" s="1649"/>
      <c r="BN322" s="34"/>
    </row>
    <row r="323" spans="2:66" ht="12.9"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 customHeight="1">
      <c r="B324" s="3" t="s">
        <v>77</v>
      </c>
      <c r="C324" s="3"/>
      <c r="D324" s="3"/>
      <c r="E324" s="3"/>
      <c r="F324" s="3"/>
      <c r="G324" s="3"/>
      <c r="H324" s="1360" t="s">
        <v>2710</v>
      </c>
      <c r="I324" s="1360"/>
      <c r="J324" s="1360"/>
      <c r="K324" s="1360"/>
      <c r="L324" s="1360"/>
      <c r="M324" s="1360"/>
      <c r="N324" s="1352"/>
      <c r="O324" s="1352"/>
      <c r="P324" s="1352"/>
      <c r="Q324" s="1352"/>
      <c r="R324" s="1352"/>
      <c r="S324" s="3"/>
      <c r="T324" s="3" t="s">
        <v>77</v>
      </c>
      <c r="V324" s="3"/>
      <c r="W324" s="3"/>
      <c r="X324" s="3"/>
      <c r="Y324" s="3"/>
      <c r="AA324" s="1360" t="s">
        <v>2732</v>
      </c>
      <c r="AB324" s="1360"/>
      <c r="AC324" s="1360"/>
      <c r="AD324" s="1360"/>
      <c r="AE324" s="1360"/>
      <c r="AF324" s="1360"/>
      <c r="AG324" s="1352"/>
      <c r="AH324" s="1352"/>
      <c r="AI324" s="1352"/>
      <c r="AJ324" s="1352"/>
      <c r="AK324" s="1352"/>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52" t="s">
        <v>2733</v>
      </c>
      <c r="I326" s="1352"/>
      <c r="J326" s="1352"/>
      <c r="K326" s="1352"/>
      <c r="L326" s="1352"/>
      <c r="M326" s="1352"/>
      <c r="N326" s="1352"/>
      <c r="O326" s="1352"/>
      <c r="P326" s="1352"/>
      <c r="Q326" s="1352"/>
      <c r="R326" s="1352"/>
      <c r="T326" s="3" t="s">
        <v>370</v>
      </c>
      <c r="V326" s="3"/>
      <c r="W326" s="3"/>
      <c r="X326" s="3"/>
      <c r="Y326" s="3"/>
      <c r="AA326" s="1352" t="s">
        <v>600</v>
      </c>
      <c r="AB326" s="1352"/>
      <c r="AC326" s="1352"/>
      <c r="AD326" s="1352"/>
      <c r="AE326" s="1352"/>
      <c r="AF326" s="1352"/>
      <c r="AG326" s="1352"/>
      <c r="AH326" s="1352"/>
      <c r="AI326" s="1352"/>
      <c r="AJ326" s="1352"/>
      <c r="AK326" s="1352"/>
    </row>
    <row r="327" spans="2:66" ht="12.9" customHeight="1">
      <c r="B327" s="3" t="s">
        <v>480</v>
      </c>
      <c r="C327" s="3"/>
      <c r="D327" s="3"/>
      <c r="E327" s="3"/>
      <c r="F327" s="3"/>
      <c r="H327" s="1360" t="s">
        <v>2734</v>
      </c>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2.9" customHeight="1">
      <c r="B328" s="3" t="s">
        <v>481</v>
      </c>
      <c r="C328" s="3"/>
      <c r="D328" s="3"/>
      <c r="E328" s="3"/>
      <c r="F328" s="3"/>
      <c r="H328" s="1360" t="s">
        <v>2735</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 customHeight="1">
      <c r="B329" s="3" t="s">
        <v>88</v>
      </c>
      <c r="C329" s="3"/>
      <c r="D329" s="3"/>
      <c r="E329" s="3"/>
      <c r="F329" s="3"/>
      <c r="H329" s="1360" t="s">
        <v>2737</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 customHeight="1">
      <c r="B330" s="3" t="s">
        <v>89</v>
      </c>
      <c r="C330" s="3"/>
      <c r="D330" s="3"/>
      <c r="E330" s="3"/>
      <c r="F330" s="3"/>
      <c r="G330" s="3"/>
      <c r="H330" s="1650" t="s">
        <v>2736</v>
      </c>
      <c r="I330" s="1651"/>
      <c r="J330" s="1651"/>
      <c r="K330" s="1651"/>
      <c r="L330" s="1651"/>
      <c r="M330" s="1651"/>
      <c r="N330" s="4" t="s">
        <v>208</v>
      </c>
      <c r="O330" s="4"/>
      <c r="P330" s="1649"/>
      <c r="Q330" s="1649"/>
      <c r="R330" s="1649"/>
      <c r="S330" s="3"/>
      <c r="T330" s="3" t="s">
        <v>89</v>
      </c>
      <c r="V330" s="3"/>
      <c r="W330" s="3"/>
      <c r="X330" s="3"/>
      <c r="Y330" s="3"/>
      <c r="AA330" s="1651"/>
      <c r="AB330" s="1651"/>
      <c r="AC330" s="1651"/>
      <c r="AD330" s="1651"/>
      <c r="AE330" s="1651"/>
      <c r="AF330" s="1651"/>
      <c r="AG330" s="4" t="s">
        <v>208</v>
      </c>
      <c r="AH330" s="4"/>
      <c r="AI330" s="1649"/>
      <c r="AJ330" s="1649"/>
      <c r="AK330" s="1649"/>
    </row>
    <row r="331" spans="2:66" ht="12.9"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 customHeight="1">
      <c r="B332" s="3" t="s">
        <v>77</v>
      </c>
      <c r="C332" s="3"/>
      <c r="D332" s="3"/>
      <c r="E332" s="3"/>
      <c r="F332" s="3"/>
      <c r="G332" s="3"/>
      <c r="H332" s="1360" t="s">
        <v>2738</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52" t="s">
        <v>2648</v>
      </c>
      <c r="I334" s="1352"/>
      <c r="J334" s="1352"/>
      <c r="K334" s="1352"/>
      <c r="L334" s="1352"/>
      <c r="M334" s="1352"/>
      <c r="N334" s="1352"/>
      <c r="O334" s="1352"/>
      <c r="P334" s="1352"/>
      <c r="Q334" s="1352"/>
      <c r="R334" s="1352"/>
      <c r="T334" s="218" t="s">
        <v>916</v>
      </c>
      <c r="V334" s="3"/>
      <c r="W334" s="3"/>
      <c r="X334" s="3"/>
      <c r="Y334" s="3"/>
      <c r="AA334" s="1408" t="s">
        <v>2640</v>
      </c>
      <c r="AB334" s="1352"/>
      <c r="AC334" s="1352"/>
      <c r="AD334" s="1352"/>
      <c r="AE334" s="1352"/>
      <c r="AF334" s="1352"/>
      <c r="AG334" s="1352"/>
      <c r="AH334" s="1352"/>
      <c r="AI334" s="1352"/>
      <c r="AJ334" s="1352"/>
      <c r="AK334" s="1352"/>
    </row>
    <row r="335" spans="2:66" ht="12.9" customHeight="1">
      <c r="B335" s="3" t="s">
        <v>480</v>
      </c>
      <c r="C335" s="3"/>
      <c r="D335" s="3"/>
      <c r="E335" s="3"/>
      <c r="F335" s="3"/>
      <c r="H335" s="1360" t="s">
        <v>2649</v>
      </c>
      <c r="I335" s="1360"/>
      <c r="J335" s="1360"/>
      <c r="K335" s="1360"/>
      <c r="L335" s="1360"/>
      <c r="M335" s="1360"/>
      <c r="N335" s="1360"/>
      <c r="O335" s="1360"/>
      <c r="P335" s="1360"/>
      <c r="Q335" s="1360"/>
      <c r="R335" s="1360"/>
      <c r="T335" s="3" t="s">
        <v>480</v>
      </c>
      <c r="V335" s="3"/>
      <c r="W335" s="3"/>
      <c r="X335" s="3"/>
      <c r="Y335" s="3"/>
      <c r="AA335" s="1360" t="s">
        <v>2673</v>
      </c>
      <c r="AB335" s="1360"/>
      <c r="AC335" s="1360"/>
      <c r="AD335" s="1360"/>
      <c r="AE335" s="1360"/>
      <c r="AF335" s="1360"/>
      <c r="AG335" s="1360"/>
      <c r="AH335" s="1360"/>
      <c r="AI335" s="1360"/>
      <c r="AJ335" s="1360"/>
      <c r="AK335" s="1360"/>
    </row>
    <row r="336" spans="2:66" ht="12.9" customHeight="1">
      <c r="B336" s="3" t="s">
        <v>76</v>
      </c>
      <c r="C336" s="3"/>
      <c r="D336" s="3"/>
      <c r="E336" s="3"/>
      <c r="F336" s="3"/>
      <c r="H336" s="1360" t="s">
        <v>2650</v>
      </c>
      <c r="I336" s="1360"/>
      <c r="J336" s="1360"/>
      <c r="K336" s="1360"/>
      <c r="L336" s="1360"/>
      <c r="M336" s="1360"/>
      <c r="N336" s="1360"/>
      <c r="O336" s="1360"/>
      <c r="P336" s="1360"/>
      <c r="Q336" s="1360"/>
      <c r="R336" s="1360"/>
      <c r="T336" s="3" t="s">
        <v>76</v>
      </c>
      <c r="V336" s="3"/>
      <c r="W336" s="3"/>
      <c r="X336" s="3"/>
      <c r="Y336" s="3"/>
      <c r="AA336" s="1360" t="s">
        <v>2691</v>
      </c>
      <c r="AB336" s="1360"/>
      <c r="AC336" s="1360"/>
      <c r="AD336" s="1360"/>
      <c r="AE336" s="1360"/>
      <c r="AF336" s="1360"/>
      <c r="AG336" s="1360"/>
      <c r="AH336" s="1360"/>
      <c r="AI336" s="1360"/>
      <c r="AJ336" s="1360"/>
      <c r="AK336" s="1360"/>
    </row>
    <row r="337" spans="1:66" ht="12.9" customHeight="1">
      <c r="B337" s="3" t="s">
        <v>88</v>
      </c>
      <c r="C337" s="3"/>
      <c r="D337" s="3"/>
      <c r="E337" s="3"/>
      <c r="F337" s="3"/>
      <c r="G337" s="3"/>
      <c r="H337" s="1360" t="s">
        <v>2651</v>
      </c>
      <c r="I337" s="1360"/>
      <c r="J337" s="1360"/>
      <c r="K337" s="1360"/>
      <c r="L337" s="1360"/>
      <c r="M337" s="1360"/>
      <c r="N337" s="1360"/>
      <c r="O337" s="1360"/>
      <c r="P337" s="1360"/>
      <c r="Q337" s="1360"/>
      <c r="R337" s="1360"/>
      <c r="T337" s="3" t="s">
        <v>88</v>
      </c>
      <c r="V337" s="3"/>
      <c r="W337" s="3"/>
      <c r="X337" s="3"/>
      <c r="Y337" s="3"/>
      <c r="AA337" s="1360" t="s">
        <v>2712</v>
      </c>
      <c r="AB337" s="1360"/>
      <c r="AC337" s="1360"/>
      <c r="AD337" s="1360"/>
      <c r="AE337" s="1360"/>
      <c r="AF337" s="1360"/>
      <c r="AG337" s="1360"/>
      <c r="AH337" s="1360"/>
      <c r="AI337" s="1360"/>
      <c r="AJ337" s="1360"/>
      <c r="AK337" s="1360"/>
    </row>
    <row r="338" spans="1:66" ht="12.9" customHeight="1">
      <c r="B338" s="3" t="s">
        <v>89</v>
      </c>
      <c r="C338" s="3"/>
      <c r="D338" s="3"/>
      <c r="E338" s="3"/>
      <c r="F338" s="3"/>
      <c r="G338" s="3"/>
      <c r="H338" s="1650" t="s">
        <v>2652</v>
      </c>
      <c r="I338" s="1651"/>
      <c r="J338" s="1651"/>
      <c r="K338" s="1651"/>
      <c r="L338" s="1651"/>
      <c r="M338" s="1651"/>
      <c r="N338" s="4" t="s">
        <v>208</v>
      </c>
      <c r="O338" s="4"/>
      <c r="P338" s="1649"/>
      <c r="Q338" s="1649"/>
      <c r="R338" s="1649"/>
      <c r="S338" s="3"/>
      <c r="T338" s="3" t="s">
        <v>89</v>
      </c>
      <c r="V338" s="3"/>
      <c r="W338" s="3"/>
      <c r="X338" s="3"/>
      <c r="Y338" s="3"/>
      <c r="AA338" s="1650" t="s">
        <v>2713</v>
      </c>
      <c r="AB338" s="1651"/>
      <c r="AC338" s="1651"/>
      <c r="AD338" s="1651"/>
      <c r="AE338" s="1651"/>
      <c r="AF338" s="1651"/>
      <c r="AG338" s="4" t="s">
        <v>208</v>
      </c>
      <c r="AH338" s="4"/>
      <c r="AI338" s="1649"/>
      <c r="AJ338" s="1649"/>
      <c r="AK338" s="1649"/>
    </row>
    <row r="339" spans="1:66" ht="12.9" customHeight="1">
      <c r="B339" s="3" t="s">
        <v>90</v>
      </c>
      <c r="C339" s="3"/>
      <c r="D339" s="3"/>
      <c r="E339" s="3"/>
      <c r="F339" s="3"/>
      <c r="G339" s="3"/>
      <c r="H339" s="1354" t="s">
        <v>2653</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 customHeight="1">
      <c r="B340" s="3" t="s">
        <v>77</v>
      </c>
      <c r="C340" s="3"/>
      <c r="D340" s="3"/>
      <c r="E340" s="3"/>
      <c r="F340" s="3"/>
      <c r="G340" s="3"/>
      <c r="H340" s="1360" t="s">
        <v>2654</v>
      </c>
      <c r="I340" s="1360"/>
      <c r="J340" s="1360"/>
      <c r="K340" s="1360"/>
      <c r="L340" s="1360"/>
      <c r="M340" s="1360"/>
      <c r="N340" s="1352"/>
      <c r="O340" s="1352"/>
      <c r="P340" s="1352"/>
      <c r="Q340" s="1352"/>
      <c r="R340" s="1352"/>
      <c r="S340" s="3"/>
      <c r="T340" s="3" t="s">
        <v>77</v>
      </c>
      <c r="V340" s="3"/>
      <c r="W340" s="3"/>
      <c r="X340" s="3"/>
      <c r="Y340" s="3"/>
      <c r="AA340" s="1360" t="s">
        <v>2714</v>
      </c>
      <c r="AB340" s="1360"/>
      <c r="AC340" s="1360"/>
      <c r="AD340" s="1360"/>
      <c r="AE340" s="1360"/>
      <c r="AF340" s="1360"/>
      <c r="AG340" s="1352"/>
      <c r="AH340" s="1352"/>
      <c r="AI340" s="1352"/>
      <c r="AJ340" s="1352"/>
      <c r="AK340" s="135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52" t="s">
        <v>600</v>
      </c>
      <c r="Q342" s="1352"/>
      <c r="R342" s="1352"/>
      <c r="S342" s="1352"/>
      <c r="T342" s="1352"/>
      <c r="U342" s="1352"/>
      <c r="V342" s="1352"/>
      <c r="W342" s="1352"/>
      <c r="X342" s="1352"/>
      <c r="Y342" s="1352"/>
      <c r="Z342" s="1352"/>
      <c r="AA342" s="1352"/>
      <c r="AB342" s="1352"/>
      <c r="AC342" s="1352"/>
      <c r="AD342" s="1352"/>
      <c r="AE342" s="1352"/>
      <c r="BN342" t="s">
        <v>600</v>
      </c>
    </row>
    <row r="343" spans="1:66" ht="12.9"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2.9"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2.9"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 customHeight="1">
      <c r="B346" s="4"/>
      <c r="C346" s="4"/>
      <c r="D346" s="4"/>
      <c r="E346" s="4"/>
      <c r="F346" s="4"/>
      <c r="G346" s="4"/>
      <c r="H346" s="323"/>
      <c r="I346" s="4" t="s">
        <v>89</v>
      </c>
      <c r="P346" s="1355"/>
      <c r="Q346" s="1355"/>
      <c r="R346" s="1355"/>
      <c r="S346" s="1355"/>
      <c r="T346" s="1355"/>
      <c r="U346" s="1355"/>
      <c r="V346" s="1355"/>
      <c r="W346" s="1355"/>
      <c r="X346" s="1355"/>
      <c r="Y346" s="1355"/>
      <c r="Z346" s="1355"/>
      <c r="AA346" s="4" t="s">
        <v>208</v>
      </c>
      <c r="AB346" s="4"/>
      <c r="AC346" s="1350"/>
      <c r="AD346" s="1350"/>
      <c r="AE346" s="1350"/>
      <c r="AF346" s="323"/>
      <c r="AG346" s="4"/>
      <c r="AH346" s="4"/>
      <c r="AI346" s="4"/>
      <c r="AJ346" s="4"/>
      <c r="AK346" s="4"/>
    </row>
    <row r="347" spans="1:66" ht="12.9" customHeight="1">
      <c r="B347" s="4"/>
      <c r="C347" s="4"/>
      <c r="D347" s="4"/>
      <c r="E347" s="4"/>
      <c r="F347" s="4"/>
      <c r="G347" s="4"/>
      <c r="H347" s="323"/>
      <c r="I347" s="4" t="s">
        <v>90</v>
      </c>
      <c r="P347" s="1355"/>
      <c r="Q347" s="1355"/>
      <c r="R347" s="1355"/>
      <c r="S347" s="1355"/>
      <c r="T347" s="1355"/>
      <c r="U347" s="1355"/>
      <c r="V347" s="1355"/>
      <c r="W347" s="1355"/>
      <c r="X347" s="1355"/>
      <c r="Y347" s="1355"/>
      <c r="Z347" s="1355"/>
      <c r="AF347" s="323"/>
      <c r="AG347" s="4"/>
      <c r="AH347" s="4"/>
      <c r="AI347" s="35"/>
      <c r="AJ347" s="35"/>
      <c r="AK347" s="35"/>
    </row>
    <row r="348" spans="1:66" ht="12.9"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 customHeight="1">
      <c r="T349" s="8"/>
      <c r="U349" s="8"/>
      <c r="V349" s="8"/>
      <c r="W349" s="8"/>
      <c r="X349" s="8"/>
      <c r="Y349" s="8"/>
      <c r="Z349" s="8"/>
    </row>
    <row r="350" spans="1:66" ht="12.9" customHeight="1">
      <c r="A350" s="1643" t="s">
        <v>551</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2.9"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806</v>
      </c>
    </row>
    <row r="354" spans="1:37" ht="12.9" customHeight="1">
      <c r="D354" s="3" t="s">
        <v>2525</v>
      </c>
      <c r="M354" s="1353" t="s">
        <v>554</v>
      </c>
      <c r="N354" s="1353"/>
      <c r="P354" t="s">
        <v>1830</v>
      </c>
      <c r="AJ354" s="1353" t="s">
        <v>554</v>
      </c>
      <c r="AK354" s="1353"/>
    </row>
    <row r="355" spans="1:37" ht="12.9" customHeight="1">
      <c r="D355" s="3" t="s">
        <v>1819</v>
      </c>
      <c r="M355" s="1353" t="s">
        <v>600</v>
      </c>
      <c r="N355" s="1353"/>
      <c r="P355" s="3" t="s">
        <v>1979</v>
      </c>
      <c r="AJ355" s="1434">
        <v>0</v>
      </c>
      <c r="AK355" s="1434"/>
    </row>
    <row r="356" spans="1:37" ht="12.9" customHeight="1">
      <c r="D356" s="3" t="s">
        <v>716</v>
      </c>
      <c r="M356" s="1353" t="s">
        <v>600</v>
      </c>
      <c r="N356" s="1353"/>
      <c r="P356" t="s">
        <v>1829</v>
      </c>
      <c r="AJ356" s="1353" t="s">
        <v>600</v>
      </c>
      <c r="AK356" s="1353"/>
    </row>
    <row r="357" spans="1:37" ht="12.9" customHeight="1">
      <c r="D357" s="3" t="s">
        <v>717</v>
      </c>
      <c r="M357" s="1353" t="s">
        <v>600</v>
      </c>
      <c r="N357" s="1353"/>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2.9" customHeight="1">
      <c r="E363" t="s">
        <v>372</v>
      </c>
      <c r="Y363" s="1353" t="s">
        <v>600</v>
      </c>
      <c r="Z363" s="1353"/>
    </row>
    <row r="364" spans="1:37" ht="12.9" customHeight="1">
      <c r="D364" s="4" t="s">
        <v>1018</v>
      </c>
      <c r="Q364" s="1352"/>
      <c r="R364" s="1352"/>
      <c r="S364" s="1352"/>
      <c r="T364" s="1352"/>
      <c r="U364" s="1352"/>
      <c r="V364" s="1352"/>
      <c r="W364" s="1352"/>
      <c r="X364" s="1352"/>
      <c r="Y364" s="1352"/>
      <c r="Z364" s="1352"/>
      <c r="AA364" s="1352"/>
      <c r="AB364" s="1352"/>
      <c r="AC364" s="1352"/>
      <c r="AD364" s="1352"/>
      <c r="AE364" s="1352"/>
      <c r="AF364" s="1352"/>
      <c r="AG364" s="1352"/>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2.9" customHeight="1">
      <c r="E367" s="1738" t="s">
        <v>718</v>
      </c>
      <c r="F367" s="1738"/>
      <c r="G367" s="1738"/>
      <c r="H367" s="1738"/>
      <c r="I367" s="1738"/>
      <c r="J367" s="1738"/>
      <c r="K367" s="1738"/>
      <c r="L367" s="1738"/>
      <c r="M367" s="1738"/>
      <c r="N367" s="1738"/>
      <c r="O367" s="1738"/>
      <c r="P367" s="1738"/>
      <c r="Q367" s="1738"/>
      <c r="R367" s="1738"/>
      <c r="S367" s="1738"/>
      <c r="T367" s="1738"/>
      <c r="U367" s="1738"/>
      <c r="V367" s="1738"/>
      <c r="W367" s="1738"/>
      <c r="X367" s="1738"/>
      <c r="Y367" s="1738"/>
      <c r="Z367" s="1738"/>
      <c r="AA367" s="1738"/>
      <c r="AB367" s="1738"/>
      <c r="AC367" s="1738"/>
      <c r="AD367" s="1738"/>
      <c r="AE367" s="1738"/>
      <c r="AF367" s="1738"/>
      <c r="AG367" s="1738"/>
      <c r="AH367" s="1738"/>
    </row>
    <row r="368" spans="1:37" ht="12.9" customHeight="1">
      <c r="E368" s="1738"/>
      <c r="F368" s="1738"/>
      <c r="G368" s="1738"/>
      <c r="H368" s="1738"/>
      <c r="I368" s="1738"/>
      <c r="J368" s="1738"/>
      <c r="K368" s="1738"/>
      <c r="L368" s="1738"/>
      <c r="M368" s="1738"/>
      <c r="N368" s="1738"/>
      <c r="O368" s="1738"/>
      <c r="P368" s="1738"/>
      <c r="Q368" s="1738"/>
      <c r="R368" s="1738"/>
      <c r="S368" s="1738"/>
      <c r="T368" s="1738"/>
      <c r="U368" s="1738"/>
      <c r="V368" s="1738"/>
      <c r="W368" s="1738"/>
      <c r="X368" s="1738"/>
      <c r="Y368" s="1738"/>
      <c r="Z368" s="1738"/>
      <c r="AA368" s="1738"/>
      <c r="AB368" s="1738"/>
      <c r="AC368" s="1738"/>
      <c r="AD368" s="1738"/>
      <c r="AE368" s="1738"/>
      <c r="AF368" s="1738"/>
      <c r="AG368" s="1738"/>
      <c r="AH368" s="1738"/>
    </row>
    <row r="369" spans="1:36" ht="12.9" customHeight="1">
      <c r="E369" s="4" t="s">
        <v>457</v>
      </c>
      <c r="F369" s="4"/>
      <c r="G369" s="4"/>
      <c r="H369" s="4"/>
      <c r="I369" s="4"/>
      <c r="J369" s="4"/>
      <c r="K369" s="4"/>
      <c r="L369" s="4"/>
      <c r="N369" s="1737"/>
      <c r="O369" s="1737"/>
      <c r="P369" s="1737"/>
      <c r="Q369" s="1737"/>
      <c r="R369" s="4"/>
      <c r="U369" s="4" t="s">
        <v>458</v>
      </c>
      <c r="V369" s="4"/>
      <c r="W369" s="4"/>
      <c r="X369" s="4"/>
      <c r="Y369" s="4"/>
      <c r="Z369" s="4"/>
      <c r="AA369" s="4"/>
      <c r="AB369" s="4"/>
      <c r="AC369" s="1737"/>
      <c r="AD369" s="1737"/>
      <c r="AE369" s="1737"/>
      <c r="AF369" s="1737"/>
    </row>
    <row r="370" spans="1:36" ht="12.9" customHeight="1">
      <c r="E370" s="4" t="s">
        <v>459</v>
      </c>
      <c r="F370" s="4"/>
      <c r="G370" s="4"/>
      <c r="H370" s="4"/>
      <c r="I370" s="4"/>
      <c r="J370" s="4"/>
      <c r="K370" s="4"/>
      <c r="L370" s="4"/>
      <c r="N370" s="1737"/>
      <c r="O370" s="1737"/>
      <c r="P370" s="1737"/>
      <c r="Q370" s="1737"/>
      <c r="R370" s="4"/>
      <c r="U370" s="4" t="s">
        <v>0</v>
      </c>
      <c r="V370" s="4"/>
      <c r="W370" s="4"/>
      <c r="X370" s="4"/>
      <c r="Y370" s="4"/>
      <c r="Z370" s="4"/>
      <c r="AA370" s="4"/>
      <c r="AB370" s="4"/>
      <c r="AC370" s="1737"/>
      <c r="AD370" s="1737"/>
      <c r="AE370" s="1737"/>
      <c r="AF370" s="1737"/>
    </row>
    <row r="371" spans="1:36" ht="12.9" customHeight="1">
      <c r="E371" s="4" t="s">
        <v>1</v>
      </c>
      <c r="F371" s="4"/>
      <c r="G371" s="4"/>
      <c r="H371" s="4"/>
      <c r="I371" s="4"/>
      <c r="J371" s="4"/>
      <c r="K371" s="4"/>
      <c r="L371" s="4"/>
      <c r="N371" s="1737"/>
      <c r="O371" s="1737"/>
      <c r="P371" s="1737"/>
      <c r="Q371" s="1737"/>
      <c r="R371" s="4"/>
      <c r="V371" s="4"/>
      <c r="W371" s="4"/>
      <c r="X371" s="4"/>
      <c r="Y371" s="4"/>
      <c r="Z371" s="4"/>
      <c r="AA371" s="4"/>
      <c r="AB371" s="4"/>
    </row>
    <row r="372" spans="1:36" ht="12.9" customHeight="1">
      <c r="E372" s="4" t="s">
        <v>2</v>
      </c>
      <c r="F372" s="4"/>
      <c r="G372" s="4"/>
      <c r="H372" s="4"/>
      <c r="I372" s="4"/>
      <c r="J372" s="4"/>
      <c r="K372" s="4"/>
      <c r="L372" s="4"/>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9"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2.9" customHeight="1">
      <c r="C374" s="546"/>
      <c r="E374" s="4"/>
      <c r="F374" s="4"/>
      <c r="G374" s="4"/>
      <c r="H374" s="4"/>
      <c r="I374" s="4"/>
      <c r="J374" s="4"/>
      <c r="K374" s="4"/>
      <c r="L374" s="4"/>
    </row>
    <row r="375" spans="1:36" ht="12.9" customHeight="1">
      <c r="D375" s="2" t="s">
        <v>1015</v>
      </c>
      <c r="E375" s="2"/>
      <c r="F375" s="4"/>
      <c r="G375" s="4"/>
      <c r="H375" s="4"/>
      <c r="I375" s="4"/>
      <c r="J375" s="4"/>
      <c r="K375" s="4"/>
      <c r="L375" s="4"/>
    </row>
    <row r="376" spans="1:36" ht="12.9" customHeight="1">
      <c r="E376" s="4" t="s">
        <v>2507</v>
      </c>
      <c r="F376" s="4"/>
      <c r="G376" s="4"/>
      <c r="H376" s="4"/>
      <c r="I376" s="4"/>
      <c r="J376" s="4"/>
      <c r="K376" s="4"/>
      <c r="L376" s="4"/>
      <c r="N376" t="s">
        <v>2501</v>
      </c>
      <c r="R376" s="27" t="s">
        <v>307</v>
      </c>
      <c r="S376" s="1736"/>
      <c r="T376" s="1736"/>
      <c r="U376" s="1" t="s">
        <v>308</v>
      </c>
      <c r="V376" s="1736"/>
      <c r="W376" s="1736"/>
      <c r="Y376" t="s">
        <v>2501</v>
      </c>
      <c r="AC376" s="27" t="s">
        <v>307</v>
      </c>
      <c r="AD376" s="1736"/>
      <c r="AE376" s="1736"/>
      <c r="AF376" s="1" t="s">
        <v>308</v>
      </c>
      <c r="AG376" s="1736"/>
      <c r="AH376" s="1736"/>
    </row>
    <row r="377" spans="1:36" ht="12.9" customHeight="1">
      <c r="E377" s="4" t="s">
        <v>1044</v>
      </c>
      <c r="F377" s="4"/>
      <c r="G377" s="4"/>
      <c r="H377" s="4"/>
      <c r="I377" s="4"/>
      <c r="J377" s="4"/>
      <c r="K377" s="4"/>
      <c r="L377" s="4"/>
      <c r="N377" s="1736"/>
      <c r="O377" s="1736"/>
      <c r="P377" s="1736"/>
    </row>
    <row r="378" spans="1:36" ht="12.9" customHeight="1">
      <c r="E378" s="218" t="s">
        <v>2508</v>
      </c>
      <c r="F378" s="4"/>
      <c r="G378" s="4"/>
      <c r="H378" s="4"/>
      <c r="I378" s="4"/>
      <c r="J378" s="4"/>
      <c r="K378" s="4"/>
      <c r="L378" s="4"/>
      <c r="AG378" s="1655" t="s">
        <v>600</v>
      </c>
      <c r="AH378" s="1655"/>
    </row>
    <row r="379" spans="1:36" ht="12.9" customHeight="1">
      <c r="E379" s="4"/>
      <c r="F379" s="4"/>
      <c r="G379" s="4" t="s">
        <v>2509</v>
      </c>
      <c r="H379" s="4"/>
      <c r="I379" s="4"/>
      <c r="J379" s="4"/>
      <c r="K379" s="4"/>
      <c r="L379" s="4"/>
      <c r="AG379" s="1655" t="s">
        <v>600</v>
      </c>
      <c r="AH379" s="1655"/>
    </row>
    <row r="380" spans="1:36" ht="12.9" customHeight="1">
      <c r="E380" s="4"/>
      <c r="F380" s="4"/>
      <c r="G380" s="348" t="s">
        <v>1045</v>
      </c>
      <c r="H380" s="4"/>
      <c r="I380" s="4"/>
      <c r="J380" s="4"/>
      <c r="K380" s="4"/>
      <c r="L380" s="4"/>
      <c r="V380" s="1353" t="s">
        <v>600</v>
      </c>
      <c r="W380" s="1353"/>
      <c r="Y380" s="22" t="s">
        <v>1020</v>
      </c>
    </row>
    <row r="381" spans="1:36" ht="12.9" customHeight="1">
      <c r="E381" s="4" t="s">
        <v>1021</v>
      </c>
      <c r="F381" s="4"/>
      <c r="G381" s="4"/>
      <c r="H381" s="4"/>
      <c r="I381" s="4"/>
      <c r="J381" s="4"/>
      <c r="K381" s="4"/>
      <c r="L381" s="4"/>
      <c r="V381" s="1353" t="s">
        <v>600</v>
      </c>
      <c r="W381" s="1353"/>
      <c r="Y381" s="4" t="s">
        <v>1022</v>
      </c>
    </row>
    <row r="382" spans="1:36" ht="12.9" customHeight="1"/>
    <row r="383" spans="1:36" ht="12.9" customHeight="1">
      <c r="A383" s="2" t="s">
        <v>79</v>
      </c>
      <c r="B383" s="2"/>
    </row>
    <row r="384" spans="1:36" ht="12.9" customHeight="1">
      <c r="D384" t="s">
        <v>430</v>
      </c>
      <c r="J384" s="1352" t="s">
        <v>2739</v>
      </c>
      <c r="K384" s="1352"/>
      <c r="L384" s="1352"/>
      <c r="M384" s="1352"/>
      <c r="N384" s="1352"/>
      <c r="O384" s="1352"/>
      <c r="P384" s="1352"/>
      <c r="Q384" s="1352"/>
      <c r="R384" s="1352"/>
      <c r="S384" s="1352"/>
      <c r="T384" s="1352"/>
      <c r="U384" s="1352"/>
      <c r="V384" s="8" t="s">
        <v>84</v>
      </c>
      <c r="W384" s="8"/>
      <c r="X384" s="8"/>
      <c r="Y384" s="8"/>
      <c r="Z384" s="8"/>
      <c r="AA384" s="8"/>
      <c r="AB384" s="8"/>
      <c r="AC384" s="1352" t="s">
        <v>2632</v>
      </c>
      <c r="AD384" s="1352"/>
      <c r="AE384" s="1352"/>
      <c r="AF384" s="1352"/>
      <c r="AG384" s="1352"/>
      <c r="AH384" s="1352"/>
      <c r="AI384" s="1352"/>
      <c r="AJ384" s="1352"/>
    </row>
    <row r="385" spans="4:36" ht="12.9" customHeight="1">
      <c r="D385" s="3" t="s">
        <v>1325</v>
      </c>
      <c r="J385" s="1360" t="s">
        <v>2633</v>
      </c>
      <c r="K385" s="1360"/>
      <c r="L385" s="1360"/>
      <c r="M385" s="1360"/>
      <c r="N385" s="1360"/>
      <c r="O385" s="1360"/>
      <c r="P385" s="1360"/>
      <c r="Q385" s="1360"/>
      <c r="R385" s="1360"/>
      <c r="S385" s="1360"/>
      <c r="T385" s="1360"/>
      <c r="U385" s="1360"/>
      <c r="V385" s="3" t="s">
        <v>1325</v>
      </c>
      <c r="W385" s="8"/>
      <c r="X385" s="8"/>
      <c r="Y385" s="8"/>
      <c r="Z385" s="8"/>
      <c r="AA385" s="8"/>
      <c r="AB385" s="8"/>
      <c r="AC385" s="1352"/>
      <c r="AD385" s="1352"/>
      <c r="AE385" s="1352"/>
      <c r="AF385" s="1352"/>
      <c r="AG385" s="1352"/>
      <c r="AH385" s="1352"/>
      <c r="AI385" s="1352"/>
      <c r="AJ385" s="1352"/>
    </row>
    <row r="386" spans="4:36" ht="12.9" customHeight="1">
      <c r="D386" s="3" t="s">
        <v>444</v>
      </c>
      <c r="J386" s="1360" t="s">
        <v>2634</v>
      </c>
      <c r="K386" s="1360"/>
      <c r="L386" s="1360"/>
      <c r="M386" s="1360"/>
      <c r="N386" s="1360"/>
      <c r="O386" s="1360"/>
      <c r="P386" s="1360"/>
      <c r="Q386" s="1360"/>
      <c r="R386" s="1360"/>
      <c r="S386" s="1360"/>
      <c r="T386" s="1360"/>
      <c r="U386" s="1360"/>
      <c r="V386" s="3" t="s">
        <v>444</v>
      </c>
      <c r="W386" s="8"/>
      <c r="X386" s="8"/>
      <c r="Y386" s="8"/>
      <c r="Z386" s="8"/>
      <c r="AA386" s="8"/>
      <c r="AB386" s="8"/>
      <c r="AC386" s="1352"/>
      <c r="AD386" s="1352"/>
      <c r="AE386" s="1352"/>
      <c r="AF386" s="1352"/>
      <c r="AG386" s="1352"/>
      <c r="AH386" s="1352"/>
      <c r="AI386" s="1352"/>
      <c r="AJ386" s="1352"/>
    </row>
    <row r="387" spans="4:36" ht="12.9" customHeight="1">
      <c r="D387" t="s">
        <v>1321</v>
      </c>
      <c r="J387" s="1521" t="s">
        <v>2635</v>
      </c>
      <c r="K387" s="1521"/>
      <c r="L387" s="1521"/>
      <c r="M387" s="1521"/>
      <c r="N387" s="1521"/>
      <c r="O387" s="1521"/>
      <c r="P387" s="1521"/>
      <c r="Q387" s="1521"/>
      <c r="R387" s="1521"/>
      <c r="S387" s="1521"/>
      <c r="T387" s="1521"/>
      <c r="U387" s="1521"/>
      <c r="V387" s="1352" t="s">
        <v>2636</v>
      </c>
      <c r="W387" s="1352"/>
      <c r="X387" s="1352"/>
      <c r="Y387" s="1352"/>
      <c r="Z387" s="1352"/>
      <c r="AA387" s="1352"/>
      <c r="AB387" s="1352"/>
      <c r="AC387" s="1352"/>
      <c r="AD387" s="1352"/>
      <c r="AE387" s="1352"/>
      <c r="AF387" s="1352"/>
      <c r="AG387" s="1352"/>
      <c r="AH387" s="1352"/>
      <c r="AI387" s="1352"/>
      <c r="AJ387" s="1352"/>
    </row>
    <row r="388" spans="4:36" ht="12.9" customHeight="1">
      <c r="D388" t="s">
        <v>4</v>
      </c>
      <c r="Q388" s="1621">
        <v>43970</v>
      </c>
      <c r="R388" s="1621"/>
      <c r="S388" s="1621"/>
      <c r="T388" s="1621"/>
      <c r="U388" s="1621"/>
      <c r="V388" t="s">
        <v>311</v>
      </c>
      <c r="AI388" s="1353" t="s">
        <v>678</v>
      </c>
      <c r="AJ388" s="1353"/>
    </row>
    <row r="389" spans="4:36" ht="12.9" customHeight="1">
      <c r="D389" t="s">
        <v>5</v>
      </c>
      <c r="Q389" s="1681"/>
      <c r="R389" s="1441"/>
      <c r="S389" s="1441"/>
      <c r="T389" s="1441"/>
      <c r="U389" s="1441"/>
      <c r="W389" s="21" t="s">
        <v>75</v>
      </c>
      <c r="AG389" s="1669"/>
      <c r="AH389" s="1669"/>
      <c r="AI389" s="1669"/>
      <c r="AJ389" s="1669"/>
    </row>
    <row r="390" spans="4:36" ht="12.9" customHeight="1">
      <c r="D390" t="s">
        <v>429</v>
      </c>
      <c r="Q390" s="1542"/>
      <c r="R390" s="1735"/>
      <c r="S390" s="1735"/>
      <c r="T390" s="1735"/>
      <c r="U390" s="1735"/>
      <c r="V390" s="3" t="s">
        <v>1324</v>
      </c>
      <c r="AG390" s="1830"/>
      <c r="AH390" s="1830"/>
      <c r="AI390" s="1830"/>
      <c r="AJ390" s="1830"/>
    </row>
    <row r="391" spans="4:36" ht="12.9" customHeight="1">
      <c r="D391" t="s">
        <v>89</v>
      </c>
      <c r="I391" s="1650" t="s">
        <v>2669</v>
      </c>
      <c r="J391" s="1651"/>
      <c r="K391" s="1651"/>
      <c r="L391" s="1651"/>
      <c r="M391" s="1651"/>
      <c r="N391" s="1651"/>
      <c r="Q391" s="4" t="s">
        <v>208</v>
      </c>
      <c r="S391" s="1743"/>
      <c r="T391" s="1743"/>
      <c r="U391" s="1743"/>
      <c r="V391" t="s">
        <v>74</v>
      </c>
      <c r="AI391" s="1353" t="s">
        <v>678</v>
      </c>
      <c r="AJ391" s="1353"/>
    </row>
    <row r="392" spans="4:36" ht="12.9" customHeight="1">
      <c r="D392" t="s">
        <v>312</v>
      </c>
      <c r="Q392" s="1533"/>
      <c r="R392" s="1533"/>
      <c r="S392" s="1533"/>
      <c r="T392" s="1533"/>
      <c r="U392" s="1533"/>
      <c r="V392" t="s">
        <v>313</v>
      </c>
      <c r="AG392" s="1669"/>
      <c r="AH392" s="1669"/>
      <c r="AI392" s="1669"/>
      <c r="AJ392" s="1669"/>
    </row>
    <row r="393" spans="4:36" ht="12.9" customHeight="1">
      <c r="D393" t="s">
        <v>314</v>
      </c>
      <c r="Q393" s="1667"/>
      <c r="R393" s="1667"/>
      <c r="S393" s="1667"/>
      <c r="T393" s="1667"/>
      <c r="U393" s="1667"/>
      <c r="V393" t="s">
        <v>1305</v>
      </c>
      <c r="AG393" s="1669"/>
      <c r="AH393" s="1669"/>
      <c r="AI393" s="1669"/>
      <c r="AJ393" s="1669"/>
    </row>
    <row r="394" spans="4:36" ht="12.9" customHeight="1">
      <c r="D394" t="s">
        <v>1304</v>
      </c>
      <c r="AG394" s="1669"/>
      <c r="AH394" s="1669"/>
      <c r="AI394" s="1669"/>
      <c r="AJ394" s="1669"/>
    </row>
    <row r="395" spans="4:36" ht="12.9" customHeight="1">
      <c r="AG395" s="490"/>
      <c r="AH395" s="490"/>
      <c r="AI395" s="490"/>
      <c r="AJ395" s="490"/>
    </row>
    <row r="396" spans="4:36" ht="12.9" customHeight="1">
      <c r="D396" s="3" t="s">
        <v>2620</v>
      </c>
      <c r="AG396" s="490"/>
      <c r="AH396" s="490"/>
      <c r="AI396" s="1353" t="s">
        <v>678</v>
      </c>
      <c r="AJ396" s="1353"/>
    </row>
    <row r="397" spans="4:36" ht="12.9" customHeight="1">
      <c r="D397" s="3" t="s">
        <v>1848</v>
      </c>
      <c r="T397" s="1797"/>
      <c r="U397" s="1797"/>
      <c r="V397" s="1797"/>
      <c r="W397" s="1797"/>
      <c r="X397" s="1797"/>
      <c r="Y397" s="1797"/>
      <c r="Z397" s="1797"/>
      <c r="AA397" s="1797"/>
      <c r="AB397" s="1797"/>
      <c r="AC397" s="1797"/>
      <c r="AD397" s="1797"/>
      <c r="AE397" s="1797"/>
      <c r="AF397" s="1797"/>
      <c r="AG397" s="1797"/>
      <c r="AH397" s="1797"/>
      <c r="AI397" s="1797"/>
      <c r="AJ397" s="1797"/>
    </row>
    <row r="398" spans="4:36" ht="12.9" customHeight="1">
      <c r="D398" s="3" t="s">
        <v>1847</v>
      </c>
      <c r="T398" s="1797"/>
      <c r="U398" s="1797"/>
      <c r="V398" s="1797"/>
      <c r="W398" s="1797"/>
      <c r="X398" s="1797"/>
      <c r="Y398" s="1797"/>
      <c r="Z398" s="1797"/>
      <c r="AA398" s="1797"/>
      <c r="AB398" s="1797"/>
      <c r="AC398" s="1797"/>
      <c r="AD398" s="1797"/>
      <c r="AE398" s="1797"/>
      <c r="AF398" s="1797"/>
      <c r="AG398" s="1797"/>
      <c r="AH398" s="1797"/>
      <c r="AI398" s="1797"/>
      <c r="AJ398" s="1797"/>
    </row>
    <row r="399" spans="4:36" ht="12.9" customHeight="1">
      <c r="AG399" s="490"/>
      <c r="AH399" s="490"/>
      <c r="AI399" s="490"/>
      <c r="AJ399" s="490"/>
    </row>
    <row r="400" spans="4:36" ht="12.9" customHeight="1">
      <c r="D400" s="3" t="s">
        <v>1841</v>
      </c>
      <c r="S400" s="1797" t="s">
        <v>554</v>
      </c>
      <c r="T400" s="1797"/>
      <c r="U400" s="1797"/>
      <c r="V400" t="s">
        <v>1842</v>
      </c>
      <c r="AG400" s="1829">
        <v>65</v>
      </c>
      <c r="AH400" s="1829"/>
      <c r="AI400" s="1829"/>
      <c r="AJ400" s="1829"/>
    </row>
    <row r="401" spans="1:36" ht="12.9" customHeight="1">
      <c r="D401" s="3" t="s">
        <v>1839</v>
      </c>
      <c r="S401" s="1797" t="s">
        <v>554</v>
      </c>
      <c r="T401" s="1797"/>
      <c r="U401" s="1797"/>
      <c r="V401" t="s">
        <v>1844</v>
      </c>
      <c r="AE401" s="1817" t="s">
        <v>2771</v>
      </c>
      <c r="AF401" s="1817"/>
      <c r="AG401" s="1817"/>
      <c r="AH401" s="1817"/>
      <c r="AI401" s="1817"/>
      <c r="AJ401" s="1817"/>
    </row>
    <row r="402" spans="1:36" ht="12.9" customHeight="1">
      <c r="D402" s="3" t="s">
        <v>1840</v>
      </c>
      <c r="K402" s="1819"/>
      <c r="L402" s="1819"/>
      <c r="M402" s="1819"/>
      <c r="N402" s="1819"/>
      <c r="O402" s="1819"/>
      <c r="P402" s="1819"/>
      <c r="Q402" s="1819"/>
      <c r="R402" s="1819"/>
      <c r="S402" s="1819"/>
      <c r="T402" s="1819"/>
      <c r="U402" s="1819"/>
      <c r="V402" s="1819"/>
      <c r="W402" s="1819"/>
      <c r="X402" s="1819"/>
      <c r="Y402" s="1819"/>
      <c r="Z402" s="1819"/>
      <c r="AA402" s="1819"/>
      <c r="AB402" s="1819"/>
      <c r="AC402" s="1819"/>
      <c r="AD402" s="1819"/>
      <c r="AE402" s="1819"/>
      <c r="AF402" s="1819"/>
      <c r="AG402" s="1819"/>
      <c r="AH402" s="1819"/>
      <c r="AI402" s="1819"/>
      <c r="AJ402" s="1819"/>
    </row>
    <row r="403" spans="1:36" ht="12.9" customHeight="1">
      <c r="D403" s="3" t="s">
        <v>1843</v>
      </c>
      <c r="K403" s="1819" t="s">
        <v>2625</v>
      </c>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row>
    <row r="404" spans="1:36" ht="12.9" customHeight="1">
      <c r="D404" s="3" t="s">
        <v>1846</v>
      </c>
      <c r="E404" s="511"/>
      <c r="F404" s="511"/>
      <c r="G404" s="511"/>
      <c r="H404" s="511"/>
      <c r="I404" s="511"/>
      <c r="J404" s="511"/>
      <c r="K404" s="511"/>
      <c r="L404" s="511"/>
      <c r="M404" s="511"/>
      <c r="N404" s="511"/>
      <c r="O404" s="511"/>
      <c r="P404" s="511"/>
      <c r="Q404" s="511"/>
      <c r="R404" s="511"/>
      <c r="S404" s="1788" t="s">
        <v>2638</v>
      </c>
      <c r="T404" s="1788"/>
      <c r="U404" s="1788"/>
      <c r="V404" s="1788"/>
      <c r="W404" s="1788"/>
      <c r="X404" s="1788"/>
      <c r="Y404" s="1788"/>
      <c r="Z404" s="1788"/>
      <c r="AA404" s="1788"/>
      <c r="AB404" s="1788"/>
      <c r="AC404" s="1788"/>
      <c r="AD404" s="1788"/>
      <c r="AE404" s="1788"/>
      <c r="AF404" s="1788"/>
      <c r="AG404" s="1788"/>
      <c r="AH404" s="1788"/>
      <c r="AI404" s="1788"/>
      <c r="AJ404" s="1788"/>
    </row>
    <row r="405" spans="1:36" ht="12.9"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0"/>
      <c r="AH407" s="490"/>
      <c r="AI407" s="490"/>
      <c r="AJ407" s="490"/>
    </row>
    <row r="408" spans="1:36" ht="12.9" customHeight="1">
      <c r="A408" s="2" t="s">
        <v>598</v>
      </c>
      <c r="B408" s="2"/>
      <c r="C408" s="2" t="s">
        <v>112</v>
      </c>
    </row>
    <row r="409" spans="1:36" ht="12.9" customHeight="1">
      <c r="B409" s="2"/>
      <c r="C409" s="2"/>
      <c r="D409" s="2" t="s">
        <v>1347</v>
      </c>
      <c r="I409" s="1408" t="s">
        <v>2637</v>
      </c>
      <c r="J409" s="1408"/>
      <c r="K409" s="1408"/>
      <c r="L409" s="1408"/>
      <c r="M409" s="1408"/>
      <c r="N409" s="1408"/>
      <c r="O409" s="1408"/>
      <c r="P409" s="1408"/>
      <c r="Q409" s="1408"/>
      <c r="R409" s="1408"/>
      <c r="S409" s="1408"/>
      <c r="T409" s="1408"/>
      <c r="U409" s="1408"/>
      <c r="V409" s="1408"/>
      <c r="W409" s="1408"/>
      <c r="X409" s="1408"/>
      <c r="Y409" s="1408"/>
      <c r="Z409" s="1408"/>
      <c r="AA409" s="1408"/>
      <c r="AB409" s="1408"/>
      <c r="AC409" s="1408"/>
      <c r="AD409" s="1408"/>
      <c r="AE409" s="1408"/>
    </row>
    <row r="410" spans="1:36" ht="12.9" customHeight="1">
      <c r="E410" t="s">
        <v>107</v>
      </c>
      <c r="R410" s="1353" t="s">
        <v>554</v>
      </c>
      <c r="S410" s="1353"/>
      <c r="T410" t="s">
        <v>579</v>
      </c>
      <c r="AD410" s="1737">
        <v>7</v>
      </c>
      <c r="AE410" s="1737"/>
    </row>
    <row r="411" spans="1:36" ht="12.9" customHeight="1">
      <c r="E411" t="s">
        <v>108</v>
      </c>
      <c r="R411" s="1353" t="s">
        <v>600</v>
      </c>
      <c r="S411" s="1353"/>
      <c r="T411" t="s">
        <v>579</v>
      </c>
      <c r="AD411" s="1737">
        <v>0</v>
      </c>
      <c r="AE411" s="1737"/>
    </row>
    <row r="412" spans="1:36" ht="12.9" customHeight="1">
      <c r="E412" t="s">
        <v>109</v>
      </c>
      <c r="S412" s="1353" t="s">
        <v>600</v>
      </c>
      <c r="T412" s="1353"/>
    </row>
    <row r="413" spans="1:36" ht="12.9" customHeight="1">
      <c r="E413" t="s">
        <v>171</v>
      </c>
      <c r="H413" s="1665" t="s">
        <v>2740</v>
      </c>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row>
    <row r="414" spans="1:36" ht="12.9" customHeight="1">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row>
    <row r="415" spans="1:36" ht="12.9" customHeight="1"/>
    <row r="416" spans="1:36" ht="12.9" customHeight="1">
      <c r="A416" s="2" t="s">
        <v>599</v>
      </c>
      <c r="B416" s="2"/>
      <c r="C416" s="2"/>
      <c r="D416" s="2" t="s">
        <v>115</v>
      </c>
      <c r="AF416" s="2" t="s">
        <v>997</v>
      </c>
    </row>
    <row r="417" spans="1:39" ht="12.9" customHeight="1">
      <c r="E417" s="1736"/>
      <c r="F417" s="1736"/>
      <c r="G417" s="1736"/>
      <c r="H417" s="13" t="s">
        <v>116</v>
      </c>
      <c r="I417" s="1736"/>
      <c r="J417" s="1736"/>
      <c r="K417" s="1736"/>
      <c r="L417" t="s">
        <v>117</v>
      </c>
      <c r="N417" s="27" t="s">
        <v>584</v>
      </c>
      <c r="P417" s="1742">
        <v>1.256</v>
      </c>
      <c r="Q417" s="1742"/>
      <c r="R417" s="1742"/>
      <c r="S417" t="s">
        <v>118</v>
      </c>
      <c r="W417" s="1852">
        <f>IF(E417&gt;0,(E417*I417),(P417*43560))</f>
        <v>54711.360000000001</v>
      </c>
      <c r="X417" s="1852"/>
      <c r="Y417" s="1852"/>
      <c r="Z417" t="s">
        <v>119</v>
      </c>
      <c r="AF417" s="1805">
        <f>IF(P417&gt;0,(AG436/P417),(AG436/(W417/43560)))</f>
        <v>140.12738853503186</v>
      </c>
      <c r="AG417" s="1805"/>
      <c r="AH417" s="1805"/>
      <c r="AM417" s="3"/>
    </row>
    <row r="418" spans="1:39" ht="12.9" customHeight="1">
      <c r="E418" t="s">
        <v>51</v>
      </c>
    </row>
    <row r="419" spans="1:39" ht="12.9" customHeight="1">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1803"/>
      <c r="AH419" s="1803"/>
      <c r="AI419" s="1803"/>
      <c r="AJ419" s="1803"/>
    </row>
    <row r="420" spans="1:39" ht="12.9" customHeight="1">
      <c r="E420" s="118" t="s">
        <v>1996</v>
      </c>
      <c r="F420" s="1049"/>
      <c r="G420" s="1049"/>
      <c r="H420" s="1049"/>
      <c r="I420" s="1662">
        <f>P417</f>
        <v>1.256</v>
      </c>
      <c r="J420" s="1662"/>
      <c r="K420" s="1662"/>
      <c r="L420" s="1049"/>
      <c r="M420" s="118"/>
      <c r="N420" s="1049"/>
      <c r="O420" s="1049"/>
      <c r="P420" s="1611">
        <f>(CS623+CS631+CS647)/I420</f>
        <v>247.61146496815286</v>
      </c>
      <c r="Q420" s="1611"/>
      <c r="R420" s="1611"/>
      <c r="S420" s="118" t="s">
        <v>1997</v>
      </c>
      <c r="T420" s="1049"/>
      <c r="U420" s="1049"/>
      <c r="V420" s="1049"/>
      <c r="W420" s="1049"/>
      <c r="X420" s="1049"/>
      <c r="Y420" s="1049"/>
      <c r="Z420" s="1049"/>
      <c r="AA420" s="1049"/>
      <c r="AB420" s="1049"/>
      <c r="AC420" s="1049"/>
      <c r="AD420" s="1049"/>
      <c r="AE420" s="1049"/>
      <c r="AF420" s="1049"/>
      <c r="AG420" s="1049"/>
      <c r="AH420" s="1049"/>
      <c r="AI420" s="1049"/>
      <c r="AJ420" s="1049"/>
    </row>
    <row r="421" spans="1:39" ht="12.9" customHeight="1"/>
    <row r="422" spans="1:39" ht="12.9" customHeight="1">
      <c r="A422" s="2" t="s">
        <v>601</v>
      </c>
      <c r="B422" s="2"/>
      <c r="C422" s="2"/>
      <c r="D422" s="2" t="s">
        <v>121</v>
      </c>
    </row>
    <row r="423" spans="1:39" ht="12.9" customHeight="1">
      <c r="E423" t="s">
        <v>122</v>
      </c>
      <c r="P423" s="1353">
        <v>1</v>
      </c>
      <c r="Q423" s="1353"/>
      <c r="S423" t="s">
        <v>191</v>
      </c>
      <c r="AE423" s="1353">
        <v>1</v>
      </c>
      <c r="AF423" s="1353"/>
    </row>
    <row r="424" spans="1:39" ht="12.9" customHeight="1">
      <c r="E424" t="s">
        <v>192</v>
      </c>
      <c r="P424" s="1353">
        <v>0</v>
      </c>
      <c r="Q424" s="1353"/>
      <c r="S424" t="s">
        <v>132</v>
      </c>
      <c r="AE424" s="1353" t="s">
        <v>600</v>
      </c>
      <c r="AF424" s="1353"/>
    </row>
    <row r="425" spans="1:39" ht="12.9" customHeight="1">
      <c r="F425" s="28" t="s">
        <v>133</v>
      </c>
    </row>
    <row r="426" spans="1:39" ht="12.9" customHeight="1">
      <c r="F426" s="1780"/>
      <c r="G426" s="1780"/>
      <c r="H426" s="1780"/>
      <c r="I426" s="1780"/>
      <c r="J426" s="1780"/>
      <c r="K426" s="1780"/>
      <c r="L426" s="1780"/>
      <c r="M426" s="1780"/>
      <c r="N426" s="1780"/>
      <c r="O426" s="1780"/>
      <c r="P426" s="1780"/>
      <c r="Q426" s="1780"/>
      <c r="R426" s="1780"/>
      <c r="S426" s="1780"/>
      <c r="T426" s="1780"/>
      <c r="U426" s="1780"/>
      <c r="V426" s="1780"/>
      <c r="W426" s="1780"/>
      <c r="X426" s="1780"/>
      <c r="Y426" s="1780"/>
      <c r="Z426" s="1780"/>
      <c r="AA426" s="1780"/>
      <c r="AB426" s="1780"/>
      <c r="AC426" s="1780"/>
      <c r="AD426" s="1780"/>
      <c r="AE426" s="1780"/>
      <c r="AF426" s="1780"/>
      <c r="AG426" s="1780"/>
      <c r="AH426" s="1780"/>
    </row>
    <row r="427" spans="1:39" ht="12.9"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2.9" customHeight="1">
      <c r="E428" t="s">
        <v>617</v>
      </c>
      <c r="P428" s="1"/>
      <c r="Q428" s="1353" t="s">
        <v>554</v>
      </c>
      <c r="R428" s="1353"/>
    </row>
    <row r="429" spans="1:39" ht="12.9" customHeight="1">
      <c r="F429" t="s">
        <v>618</v>
      </c>
      <c r="P429" s="1"/>
      <c r="Q429" s="1"/>
      <c r="AF429" s="1353" t="s">
        <v>600</v>
      </c>
      <c r="AG429" s="1749"/>
    </row>
    <row r="430" spans="1:39" ht="12.9" customHeight="1"/>
    <row r="431" spans="1:39" ht="12.9" customHeight="1">
      <c r="A431" s="2"/>
      <c r="B431" s="2"/>
      <c r="C431" s="2"/>
      <c r="E431" s="4" t="s">
        <v>310</v>
      </c>
      <c r="Z431" s="1353" t="s">
        <v>678</v>
      </c>
      <c r="AA431" s="135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2.9" customHeight="1"/>
    <row r="435" spans="1:110" ht="12.9" customHeight="1">
      <c r="A435" s="2" t="s">
        <v>476</v>
      </c>
      <c r="B435" s="2"/>
      <c r="C435" s="2"/>
      <c r="D435" s="2" t="s">
        <v>788</v>
      </c>
      <c r="AF435" s="48"/>
    </row>
    <row r="436" spans="1:110" ht="12.9"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31"/>
      <c r="AG436" s="1824">
        <v>176</v>
      </c>
      <c r="AH436" s="1824"/>
      <c r="AI436" s="1824"/>
      <c r="AJ436" s="1824"/>
    </row>
    <row r="437" spans="1:110" ht="12.9" customHeight="1">
      <c r="D437" s="1656" t="s">
        <v>1369</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53">
        <v>0</v>
      </c>
      <c r="AH437" s="1625"/>
      <c r="AI437" s="1625"/>
      <c r="AJ437" s="1625"/>
    </row>
    <row r="438" spans="1:110" ht="12.9" customHeight="1">
      <c r="D438" s="1656" t="s">
        <v>1092</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24">
        <v>174</v>
      </c>
      <c r="AH438" s="1824"/>
      <c r="AI438" s="1824"/>
      <c r="AJ438" s="1824"/>
    </row>
    <row r="439" spans="1:110" ht="12.9" customHeight="1">
      <c r="D439" s="1656" t="s">
        <v>1093</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24">
        <v>174</v>
      </c>
      <c r="AH439" s="1824"/>
      <c r="AI439" s="1824"/>
      <c r="AJ439" s="1824"/>
    </row>
    <row r="440" spans="1:110" ht="12.9" customHeight="1">
      <c r="D440" s="1656" t="s">
        <v>1095</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37">
        <f>IF(ISERROR(AG439/AG438),"",AG439/AG438)</f>
        <v>1</v>
      </c>
      <c r="AH440" s="1837"/>
      <c r="AI440" s="1837"/>
      <c r="AJ440" s="1837"/>
    </row>
    <row r="441" spans="1:110" ht="12.9" customHeight="1">
      <c r="D441" s="1656" t="s">
        <v>1094</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26">
        <v>122590</v>
      </c>
      <c r="AH441" s="1826"/>
      <c r="AI441" s="1826"/>
      <c r="AJ441" s="1826"/>
    </row>
    <row r="442" spans="1:110" ht="12.9" customHeight="1">
      <c r="D442" s="1656" t="s">
        <v>1096</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26">
        <f>AG441</f>
        <v>122590</v>
      </c>
      <c r="AH442" s="1826"/>
      <c r="AI442" s="1826"/>
      <c r="AJ442" s="1826"/>
    </row>
    <row r="443" spans="1:110" ht="12.9" customHeight="1">
      <c r="D443" s="1656" t="s">
        <v>1097</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37">
        <f>IF(ISERROR(AG442/AG441),"",AG442/AG441)</f>
        <v>1</v>
      </c>
      <c r="AH443" s="1837"/>
      <c r="AI443" s="1837"/>
      <c r="AJ443" s="1837"/>
    </row>
    <row r="444" spans="1:110" ht="12.9" customHeight="1">
      <c r="D444" s="1656" t="s">
        <v>1098</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37">
        <f>MIN(IF(AG440&gt;AG443,AG443,AG440),1)</f>
        <v>1</v>
      </c>
      <c r="AH444" s="1837"/>
      <c r="AI444" s="1837"/>
      <c r="AJ444" s="1837"/>
    </row>
    <row r="445" spans="1:110" ht="12.9" customHeight="1">
      <c r="D445" s="1656" t="s">
        <v>2510</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31"/>
      <c r="AG445" s="1826">
        <v>3690</v>
      </c>
      <c r="AH445" s="1826"/>
      <c r="AI445" s="1826"/>
      <c r="AJ445" s="1826"/>
    </row>
    <row r="446" spans="1:110" ht="12.9" customHeight="1">
      <c r="D446" s="1640" t="s">
        <v>578</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1"/>
      <c r="AG446" s="1826">
        <v>0</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6" t="s">
        <v>1348</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1"/>
      <c r="AG447" s="1826">
        <v>40500</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6" t="s">
        <v>1099</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1"/>
      <c r="AG448" s="1826">
        <f>25620+27030</f>
        <v>52650</v>
      </c>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98" t="s">
        <v>1100</v>
      </c>
      <c r="E449" s="1799"/>
      <c r="F449" s="1799"/>
      <c r="G449" s="1799"/>
      <c r="H449" s="1799"/>
      <c r="I449" s="1799"/>
      <c r="J449" s="1799"/>
      <c r="K449" s="1799"/>
      <c r="L449" s="1799"/>
      <c r="M449" s="1799"/>
      <c r="N449" s="1799"/>
      <c r="O449" s="1799"/>
      <c r="P449" s="1799"/>
      <c r="Q449" s="1799"/>
      <c r="R449" s="1799"/>
      <c r="S449" s="1799"/>
      <c r="T449" s="1799"/>
      <c r="U449" s="1799"/>
      <c r="V449" s="1799"/>
      <c r="W449" s="1799"/>
      <c r="X449" s="1799"/>
      <c r="Y449" s="1799"/>
      <c r="Z449" s="1799"/>
      <c r="AA449" s="1799"/>
      <c r="AB449" s="1799"/>
      <c r="AC449" s="1799"/>
      <c r="AD449" s="1799"/>
      <c r="AE449" s="1799"/>
      <c r="AF449" s="1800"/>
      <c r="AG449" s="1825">
        <f>AG441+AG445+AG447+AG448</f>
        <v>219430</v>
      </c>
      <c r="AH449" s="1825"/>
      <c r="AI449" s="1825"/>
      <c r="AJ449" s="18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01" t="s">
        <v>1349</v>
      </c>
      <c r="E450" s="1801"/>
      <c r="F450" s="1801"/>
      <c r="G450" s="1801"/>
      <c r="H450" s="1801"/>
      <c r="I450" s="1801"/>
      <c r="J450" s="1801"/>
      <c r="K450" s="1801"/>
      <c r="L450" s="1801"/>
      <c r="M450" s="1801"/>
      <c r="N450" s="1801"/>
      <c r="O450" s="1801"/>
      <c r="P450" s="1801"/>
      <c r="Q450" s="1801"/>
      <c r="R450" s="1801"/>
      <c r="S450" s="1801"/>
      <c r="T450" s="1801"/>
      <c r="U450" s="1801"/>
      <c r="V450" s="1801"/>
      <c r="W450" s="1801"/>
      <c r="X450" s="1801"/>
      <c r="Y450" s="1801"/>
      <c r="Z450" s="1801"/>
      <c r="AA450" s="1801"/>
      <c r="AB450" s="1801"/>
      <c r="AC450" s="1801"/>
      <c r="AD450" s="1801"/>
      <c r="AE450" s="1801"/>
      <c r="AF450" s="1801"/>
      <c r="AG450" s="1801"/>
      <c r="AH450" s="1801"/>
      <c r="AI450" s="1801"/>
      <c r="AJ450" s="18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02"/>
      <c r="E451" s="1802"/>
      <c r="F451" s="1802"/>
      <c r="G451" s="1802"/>
      <c r="H451" s="1802"/>
      <c r="I451" s="1802"/>
      <c r="J451" s="1802"/>
      <c r="K451" s="1802"/>
      <c r="L451" s="1802"/>
      <c r="M451" s="1802"/>
      <c r="N451" s="1802"/>
      <c r="O451" s="1802"/>
      <c r="P451" s="1802"/>
      <c r="Q451" s="1802"/>
      <c r="R451" s="1802"/>
      <c r="S451" s="1802"/>
      <c r="T451" s="1802"/>
      <c r="U451" s="1802"/>
      <c r="V451" s="1802"/>
      <c r="W451" s="1802"/>
      <c r="X451" s="1802"/>
      <c r="Y451" s="1802"/>
      <c r="Z451" s="1802"/>
      <c r="AA451" s="1802"/>
      <c r="AB451" s="1802"/>
      <c r="AC451" s="1802"/>
      <c r="AD451" s="1802"/>
      <c r="AE451" s="1802"/>
      <c r="AF451" s="1802"/>
      <c r="AG451" s="1802"/>
      <c r="AH451" s="1802"/>
      <c r="AI451" s="1802"/>
      <c r="AJ451" s="18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6">
        <f>'Sources and Uses Budget'!B105/Application!AG436</f>
        <v>934987.39204545459</v>
      </c>
      <c r="AD453" s="1806"/>
      <c r="AE453" s="1806"/>
      <c r="AF453" s="180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6">
        <f>'Sources and Uses Budget'!C105/Application!AG436</f>
        <v>934987.39204545459</v>
      </c>
      <c r="AD454" s="1806"/>
      <c r="AE454" s="1806"/>
      <c r="AF454" s="180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6">
        <f>('Sources and Uses Budget'!$S$107+'Sources and Uses Budget'!$T$107)/Application!AG436</f>
        <v>802107.44318181823</v>
      </c>
      <c r="AD455" s="1806"/>
      <c r="AE455" s="1806"/>
      <c r="AF455" s="180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804"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4"/>
      <c r="H456" s="1804"/>
      <c r="I456" s="1804"/>
      <c r="J456" s="1804"/>
      <c r="K456" s="1804"/>
      <c r="L456" s="1804"/>
      <c r="M456" s="1804"/>
      <c r="N456" s="1804"/>
      <c r="O456" s="1804"/>
      <c r="P456" s="1804"/>
      <c r="Q456" s="1804"/>
      <c r="R456" s="1804"/>
      <c r="S456" s="1804"/>
      <c r="T456" s="1804"/>
      <c r="U456" s="1804"/>
      <c r="V456" s="1804"/>
      <c r="W456" s="1804"/>
      <c r="X456" s="1804"/>
      <c r="Y456" s="1804"/>
      <c r="Z456" s="1804"/>
      <c r="AA456" s="1804"/>
      <c r="AB456" s="1804"/>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804"/>
      <c r="G457" s="1804"/>
      <c r="H457" s="1804"/>
      <c r="I457" s="1804"/>
      <c r="J457" s="1804"/>
      <c r="K457" s="1804"/>
      <c r="L457" s="1804"/>
      <c r="M457" s="1804"/>
      <c r="N457" s="1804"/>
      <c r="O457" s="1804"/>
      <c r="P457" s="1804"/>
      <c r="Q457" s="1804"/>
      <c r="R457" s="1804"/>
      <c r="S457" s="1804"/>
      <c r="T457" s="1804"/>
      <c r="U457" s="1804"/>
      <c r="V457" s="1804"/>
      <c r="W457" s="1804"/>
      <c r="X457" s="1804"/>
      <c r="Y457" s="1804"/>
      <c r="Z457" s="1804"/>
      <c r="AA457" s="1804"/>
      <c r="AB457" s="180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18" t="s">
        <v>2526</v>
      </c>
      <c r="E464" s="1786"/>
      <c r="F464" s="1786"/>
      <c r="G464" s="1786"/>
      <c r="H464" s="1786"/>
      <c r="I464" s="1786"/>
      <c r="J464" s="1786"/>
      <c r="K464" s="1786"/>
      <c r="L464" s="1786"/>
      <c r="M464" s="1786"/>
      <c r="N464" s="1786"/>
      <c r="O464" s="1786"/>
      <c r="P464" s="1786"/>
      <c r="Q464" s="1786"/>
      <c r="R464" s="1786"/>
      <c r="S464" s="1786"/>
      <c r="T464" s="1786"/>
      <c r="U464" s="1786"/>
      <c r="V464" s="1787"/>
      <c r="W464" s="1668">
        <v>45</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85" t="s">
        <v>703</v>
      </c>
      <c r="E465" s="1786"/>
      <c r="F465" s="1786"/>
      <c r="G465" s="1786"/>
      <c r="H465" s="1786"/>
      <c r="I465" s="1786"/>
      <c r="J465" s="1786"/>
      <c r="K465" s="1786"/>
      <c r="L465" s="1786"/>
      <c r="M465" s="1786"/>
      <c r="N465" s="1786"/>
      <c r="O465" s="1786"/>
      <c r="P465" s="1786"/>
      <c r="Q465" s="1786"/>
      <c r="R465" s="1786"/>
      <c r="S465" s="1786"/>
      <c r="T465" s="1786"/>
      <c r="U465" s="1786"/>
      <c r="V465" s="1787"/>
      <c r="W465" s="1652" t="s">
        <v>600</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85" t="s">
        <v>704</v>
      </c>
      <c r="E466" s="1786"/>
      <c r="F466" s="1786"/>
      <c r="G466" s="1786"/>
      <c r="H466" s="1786"/>
      <c r="I466" s="1786"/>
      <c r="J466" s="1786"/>
      <c r="K466" s="1786"/>
      <c r="L466" s="1786"/>
      <c r="M466" s="1786"/>
      <c r="N466" s="1786"/>
      <c r="O466" s="1786"/>
      <c r="P466" s="1786"/>
      <c r="Q466" s="1786"/>
      <c r="R466" s="1786"/>
      <c r="S466" s="1786"/>
      <c r="T466" s="1786"/>
      <c r="U466" s="1786"/>
      <c r="V466" s="1787"/>
      <c r="W466" s="1652">
        <v>45</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85" t="s">
        <v>705</v>
      </c>
      <c r="E467" s="1786"/>
      <c r="F467" s="1786"/>
      <c r="G467" s="1786"/>
      <c r="H467" s="1786"/>
      <c r="I467" s="1786"/>
      <c r="J467" s="1786"/>
      <c r="K467" s="1786"/>
      <c r="L467" s="1786"/>
      <c r="M467" s="1786"/>
      <c r="N467" s="1786"/>
      <c r="O467" s="1786"/>
      <c r="P467" s="1786"/>
      <c r="Q467" s="1786"/>
      <c r="R467" s="1786"/>
      <c r="S467" s="1786"/>
      <c r="T467" s="1786"/>
      <c r="U467" s="1786"/>
      <c r="V467" s="1787"/>
      <c r="W467" s="1652" t="s">
        <v>600</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85" t="s">
        <v>910</v>
      </c>
      <c r="E468" s="1786"/>
      <c r="F468" s="1786"/>
      <c r="G468" s="1786"/>
      <c r="H468" s="1786"/>
      <c r="I468" s="1786"/>
      <c r="J468" s="1786"/>
      <c r="K468" s="1786"/>
      <c r="L468" s="1786"/>
      <c r="M468" s="1786"/>
      <c r="N468" s="1786"/>
      <c r="O468" s="1786"/>
      <c r="P468" s="1786"/>
      <c r="Q468" s="1786"/>
      <c r="R468" s="1786"/>
      <c r="S468" s="1786"/>
      <c r="T468" s="1786"/>
      <c r="U468" s="1786"/>
      <c r="V468" s="1787"/>
      <c r="W468" s="1652" t="s">
        <v>600</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85" t="s">
        <v>706</v>
      </c>
      <c r="E469" s="1786"/>
      <c r="F469" s="1786"/>
      <c r="G469" s="1786"/>
      <c r="H469" s="1786"/>
      <c r="I469" s="1786"/>
      <c r="J469" s="1786"/>
      <c r="K469" s="1786"/>
      <c r="L469" s="1786"/>
      <c r="M469" s="1786"/>
      <c r="N469" s="1786"/>
      <c r="O469" s="1786"/>
      <c r="P469" s="1786"/>
      <c r="Q469" s="1786"/>
      <c r="R469" s="1786"/>
      <c r="S469" s="1786"/>
      <c r="T469" s="1786"/>
      <c r="U469" s="1786"/>
      <c r="V469" s="1787"/>
      <c r="W469" s="1652" t="s">
        <v>600</v>
      </c>
      <c r="X469" s="1653"/>
      <c r="Y469" s="16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85" t="s">
        <v>1069</v>
      </c>
      <c r="E470" s="1786"/>
      <c r="F470" s="1786"/>
      <c r="G470" s="1786"/>
      <c r="H470" s="1786"/>
      <c r="I470" s="1786"/>
      <c r="J470" s="1786"/>
      <c r="K470" s="1786"/>
      <c r="L470" s="1786"/>
      <c r="M470" s="1786"/>
      <c r="N470" s="1786"/>
      <c r="O470" s="1786"/>
      <c r="P470" s="1786"/>
      <c r="Q470" s="1786"/>
      <c r="R470" s="1786"/>
      <c r="S470" s="1786"/>
      <c r="T470" s="1786"/>
      <c r="U470" s="1786"/>
      <c r="V470" s="1787"/>
      <c r="W470" s="1652" t="s">
        <v>600</v>
      </c>
      <c r="X470" s="1653"/>
      <c r="Y470" s="1654"/>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18" t="s">
        <v>1834</v>
      </c>
      <c r="E471" s="1786"/>
      <c r="F471" s="1786"/>
      <c r="G471" s="1786"/>
      <c r="H471" s="1786"/>
      <c r="I471" s="1786"/>
      <c r="J471" s="1786"/>
      <c r="K471" s="1786"/>
      <c r="L471" s="1786"/>
      <c r="M471" s="1786"/>
      <c r="N471" s="1786"/>
      <c r="O471" s="1786"/>
      <c r="P471" s="1786"/>
      <c r="Q471" s="1786"/>
      <c r="R471" s="1786"/>
      <c r="S471" s="1786"/>
      <c r="T471" s="1786"/>
      <c r="U471" s="1786"/>
      <c r="V471" s="1787"/>
      <c r="W471" s="1652">
        <v>50</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21"/>
      <c r="H472" s="1822"/>
      <c r="I472" s="1822"/>
      <c r="J472" s="1822"/>
      <c r="K472" s="1822"/>
      <c r="L472" s="1822"/>
      <c r="M472" s="1822"/>
      <c r="N472" s="1822"/>
      <c r="O472" s="1822"/>
      <c r="P472" s="1822"/>
      <c r="Q472" s="1822"/>
      <c r="R472" s="1822"/>
      <c r="S472" s="1822"/>
      <c r="T472" s="1822"/>
      <c r="U472" s="1822"/>
      <c r="V472" s="1823"/>
      <c r="W472" s="1668">
        <v>0</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259" t="s">
        <v>2773</v>
      </c>
      <c r="E474" s="268"/>
      <c r="F474" s="268"/>
      <c r="G474" s="268"/>
      <c r="H474" s="268"/>
      <c r="I474" s="268"/>
      <c r="J474" s="268"/>
      <c r="K474" s="268"/>
      <c r="L474" s="268"/>
      <c r="M474" s="268"/>
      <c r="N474" s="268"/>
      <c r="O474" s="268"/>
      <c r="P474" s="268"/>
      <c r="Q474" s="268"/>
      <c r="R474" s="268"/>
      <c r="S474" s="268"/>
      <c r="T474" s="268"/>
      <c r="U474" s="268"/>
      <c r="V474" s="268"/>
      <c r="W474" s="269"/>
      <c r="X474" s="269"/>
      <c r="Y474" s="27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259" t="s">
        <v>2774</v>
      </c>
      <c r="E475" s="268"/>
      <c r="F475" s="268"/>
      <c r="G475" s="268"/>
      <c r="H475" s="268"/>
      <c r="I475" s="268"/>
      <c r="J475" s="268"/>
      <c r="K475" s="268"/>
      <c r="L475" s="268"/>
      <c r="M475" s="268"/>
      <c r="N475" s="268"/>
      <c r="O475" s="268"/>
      <c r="P475" s="268"/>
      <c r="Q475" s="268"/>
      <c r="R475" s="268"/>
      <c r="S475" s="268"/>
      <c r="T475" s="268"/>
      <c r="U475" s="268"/>
      <c r="V475" s="268"/>
      <c r="W475" s="269"/>
      <c r="X475" s="269"/>
      <c r="Y475" s="270"/>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259" t="s">
        <v>2772</v>
      </c>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3" t="s">
        <v>835</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93" t="s">
        <v>395</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83" t="s">
        <v>2741</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83" t="s">
        <v>2742</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83" t="s">
        <v>600</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42" t="s">
        <v>399</v>
      </c>
      <c r="C487" s="1843"/>
      <c r="D487" s="1843"/>
      <c r="E487" s="1843"/>
      <c r="F487" s="1843"/>
      <c r="G487" s="1843"/>
      <c r="H487" s="1843"/>
      <c r="I487" s="1843"/>
      <c r="J487" s="1843"/>
      <c r="K487" s="1843"/>
      <c r="L487" s="1843"/>
      <c r="M487" s="1843"/>
      <c r="N487" s="1843"/>
      <c r="O487" s="1843"/>
      <c r="P487" s="1844"/>
      <c r="Q487" s="1848" t="s">
        <v>678</v>
      </c>
      <c r="R487" s="1849"/>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45"/>
      <c r="C488" s="1846"/>
      <c r="D488" s="1846"/>
      <c r="E488" s="1846"/>
      <c r="F488" s="1846"/>
      <c r="G488" s="1846"/>
      <c r="H488" s="1846"/>
      <c r="I488" s="1846"/>
      <c r="J488" s="1846"/>
      <c r="K488" s="1846"/>
      <c r="L488" s="1846"/>
      <c r="M488" s="1846"/>
      <c r="N488" s="1846"/>
      <c r="O488" s="1846"/>
      <c r="P488" s="1847"/>
      <c r="Q488" s="1850"/>
      <c r="R488" s="1851"/>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1" t="s">
        <v>1852</v>
      </c>
      <c r="C489" s="908"/>
      <c r="D489" s="908"/>
      <c r="E489" s="908"/>
      <c r="F489" s="908"/>
      <c r="G489" s="908"/>
      <c r="H489" s="908"/>
      <c r="I489" s="908"/>
      <c r="J489" s="908"/>
      <c r="K489" s="908"/>
      <c r="L489" s="908"/>
      <c r="M489" s="908"/>
      <c r="N489" s="908"/>
      <c r="O489" s="908"/>
      <c r="P489" s="908"/>
      <c r="Q489" s="1834" t="s">
        <v>678</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83" t="s">
        <v>2743</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683">
        <v>0.5</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1849</v>
      </c>
      <c r="C492" s="5"/>
      <c r="D492" s="5"/>
      <c r="E492" s="5"/>
      <c r="F492" s="5"/>
      <c r="G492" s="5"/>
      <c r="H492" s="5"/>
      <c r="I492" s="5"/>
      <c r="J492" s="5"/>
      <c r="K492" s="5"/>
      <c r="L492" s="5"/>
      <c r="M492" s="5"/>
      <c r="N492" s="5"/>
      <c r="O492" s="5"/>
      <c r="P492" s="5"/>
      <c r="Q492" s="1683">
        <v>134</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1850</v>
      </c>
      <c r="C493" s="5"/>
      <c r="D493" s="5"/>
      <c r="E493" s="5"/>
      <c r="F493" s="5"/>
      <c r="G493" s="5"/>
      <c r="H493" s="5"/>
      <c r="I493" s="5"/>
      <c r="J493" s="5"/>
      <c r="K493" s="5"/>
      <c r="L493" s="5"/>
      <c r="M493" s="1433">
        <v>134</v>
      </c>
      <c r="N493" s="1434"/>
      <c r="O493" s="1434"/>
      <c r="P493" s="1435"/>
      <c r="Q493" s="121" t="s">
        <v>1851</v>
      </c>
      <c r="R493" s="5"/>
      <c r="S493" s="5"/>
      <c r="T493" s="5"/>
      <c r="U493" s="5"/>
      <c r="V493" s="5"/>
      <c r="W493" s="5"/>
      <c r="X493" s="5"/>
      <c r="Y493" s="5"/>
      <c r="Z493" s="5"/>
      <c r="AA493" s="5"/>
      <c r="AB493" s="5"/>
      <c r="AC493" s="5"/>
      <c r="AD493" s="5"/>
      <c r="AE493" s="5"/>
      <c r="AF493" s="5"/>
      <c r="AG493" s="5"/>
      <c r="AH493" s="1433">
        <v>0</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403</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404</v>
      </c>
      <c r="AD498" s="1794"/>
      <c r="AE498" s="1794"/>
      <c r="AF498" s="1794"/>
      <c r="AG498" s="50" t="s">
        <v>405</v>
      </c>
      <c r="AH498" s="1794" t="s">
        <v>406</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9"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9">
        <v>11</v>
      </c>
      <c r="AD499" s="1737"/>
      <c r="AE499" s="1737"/>
      <c r="AF499" s="1737"/>
      <c r="AG499" s="13" t="s">
        <v>405</v>
      </c>
      <c r="AH499" s="1521">
        <v>2021</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40"/>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9">
        <v>5</v>
      </c>
      <c r="AD500" s="1737"/>
      <c r="AE500" s="1737"/>
      <c r="AF500" s="1737"/>
      <c r="AG500" s="38" t="s">
        <v>405</v>
      </c>
      <c r="AH500" s="1521">
        <v>2019</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9"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9" t="s">
        <v>600</v>
      </c>
      <c r="AD501" s="1737"/>
      <c r="AE501" s="1737"/>
      <c r="AF501" s="1737"/>
      <c r="AG501" s="13" t="s">
        <v>405</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40"/>
      <c r="C502" s="1376"/>
      <c r="D502" s="1376"/>
      <c r="E502" s="1376"/>
      <c r="F502" s="1376"/>
      <c r="G502" s="1376"/>
      <c r="H502" s="1377"/>
      <c r="I502" t="s">
        <v>412</v>
      </c>
      <c r="AC502" s="1789" t="s">
        <v>600</v>
      </c>
      <c r="AD502" s="1737"/>
      <c r="AE502" s="1737"/>
      <c r="AF502" s="1737"/>
      <c r="AG502" s="13" t="s">
        <v>405</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40"/>
      <c r="C503" s="1376"/>
      <c r="D503" s="1376"/>
      <c r="E503" s="1376"/>
      <c r="F503" s="1376"/>
      <c r="G503" s="1376"/>
      <c r="H503" s="1377"/>
      <c r="I503" t="s">
        <v>413</v>
      </c>
      <c r="AC503" s="1789">
        <v>7</v>
      </c>
      <c r="AD503" s="1737"/>
      <c r="AE503" s="1737"/>
      <c r="AF503" s="1737"/>
      <c r="AG503" s="13" t="s">
        <v>405</v>
      </c>
      <c r="AH503" s="1521">
        <v>2020</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40"/>
      <c r="C504" s="1376"/>
      <c r="D504" s="1376"/>
      <c r="E504" s="1376"/>
      <c r="F504" s="1376"/>
      <c r="G504" s="1376"/>
      <c r="H504" s="1377"/>
      <c r="I504" t="s">
        <v>414</v>
      </c>
      <c r="AC504" s="1789">
        <v>10</v>
      </c>
      <c r="AD504" s="1737"/>
      <c r="AE504" s="1737"/>
      <c r="AF504" s="1737"/>
      <c r="AG504" s="13" t="s">
        <v>405</v>
      </c>
      <c r="AH504" s="1521">
        <v>2023</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40"/>
      <c r="C505" s="1376"/>
      <c r="D505" s="1376"/>
      <c r="E505" s="1376"/>
      <c r="F505" s="1376"/>
      <c r="G505" s="1376"/>
      <c r="H505" s="1377"/>
      <c r="I505" s="3" t="s">
        <v>415</v>
      </c>
      <c r="AC505" s="1386">
        <v>10</v>
      </c>
      <c r="AD505" s="1387"/>
      <c r="AE505" s="1387"/>
      <c r="AF505" s="1387"/>
      <c r="AG505" s="13" t="s">
        <v>405</v>
      </c>
      <c r="AH505" s="1521">
        <v>2023</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40"/>
      <c r="C506" s="1376"/>
      <c r="D506" s="1376"/>
      <c r="E506" s="1376"/>
      <c r="F506" s="1376"/>
      <c r="G506" s="1376"/>
      <c r="H506" s="1377"/>
      <c r="I506" s="932" t="s">
        <v>171</v>
      </c>
      <c r="J506" s="48"/>
      <c r="K506" s="48"/>
      <c r="L506" s="1796" t="s">
        <v>336</v>
      </c>
      <c r="M506" s="1797"/>
      <c r="N506" s="1797"/>
      <c r="O506" s="1797"/>
      <c r="P506" s="1797"/>
      <c r="Q506" s="1797"/>
      <c r="R506" s="1797"/>
      <c r="S506" s="1797"/>
      <c r="T506" s="1797"/>
      <c r="U506" s="1797"/>
      <c r="V506" s="1797"/>
      <c r="W506" s="1797"/>
      <c r="X506" s="1797"/>
      <c r="Y506" s="1797"/>
      <c r="Z506" s="1797"/>
      <c r="AA506" s="1797"/>
      <c r="AB506" s="1840"/>
      <c r="AC506" s="1789" t="s">
        <v>600</v>
      </c>
      <c r="AD506" s="1737"/>
      <c r="AE506" s="1737"/>
      <c r="AF506" s="1737"/>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6"/>
      <c r="C507" s="130"/>
      <c r="D507" s="130"/>
      <c r="E507" s="130"/>
      <c r="F507" s="130"/>
      <c r="G507" s="130"/>
      <c r="H507" s="907"/>
      <c r="I507" s="3" t="s">
        <v>1856</v>
      </c>
      <c r="AC507" s="1824" t="s">
        <v>554</v>
      </c>
      <c r="AD507" s="1824"/>
      <c r="AE507" s="1824"/>
      <c r="AF507" s="1824"/>
      <c r="AG507" s="13"/>
      <c r="AH507" s="1297"/>
      <c r="AI507" s="1297"/>
      <c r="AJ507" s="1297"/>
      <c r="AK507" s="18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6"/>
      <c r="C508" s="130"/>
      <c r="D508" s="130"/>
      <c r="E508" s="130"/>
      <c r="F508" s="130"/>
      <c r="G508" s="130"/>
      <c r="H508" s="907"/>
      <c r="I508" t="s">
        <v>1853</v>
      </c>
      <c r="AC508" s="1386">
        <v>4</v>
      </c>
      <c r="AD508" s="1387"/>
      <c r="AE508" s="1387"/>
      <c r="AF508" s="1388"/>
      <c r="AG508" s="13"/>
      <c r="AH508" s="1297"/>
      <c r="AI508" s="1297"/>
      <c r="AJ508" s="1297"/>
      <c r="AK508" s="18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6"/>
      <c r="C509" s="130"/>
      <c r="D509" s="130"/>
      <c r="E509" s="130"/>
      <c r="F509" s="130"/>
      <c r="G509" s="130"/>
      <c r="H509" s="907"/>
      <c r="I509" t="s">
        <v>1854</v>
      </c>
      <c r="AC509" s="925"/>
      <c r="AD509" s="926"/>
      <c r="AE509" s="926"/>
      <c r="AF509" s="927"/>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6"/>
      <c r="C510" s="130"/>
      <c r="D510" s="130"/>
      <c r="E510" s="130"/>
      <c r="F510" s="130"/>
      <c r="G510" s="130"/>
      <c r="H510" s="907"/>
      <c r="I510" s="933" t="s">
        <v>1855</v>
      </c>
      <c r="J510" s="48"/>
      <c r="K510" s="48"/>
      <c r="L510" s="48"/>
      <c r="M510" s="48"/>
      <c r="N510" s="48"/>
      <c r="O510" s="48"/>
      <c r="P510" s="48"/>
      <c r="Q510" s="48"/>
      <c r="R510" s="48"/>
      <c r="S510" s="48"/>
      <c r="T510" s="48"/>
      <c r="U510" s="48"/>
      <c r="V510" s="48"/>
      <c r="W510" s="48"/>
      <c r="X510" s="48"/>
      <c r="Y510" s="48"/>
      <c r="Z510" s="48"/>
      <c r="AA510" s="48"/>
      <c r="AB510" s="48"/>
      <c r="AC510" s="1854">
        <v>0.5</v>
      </c>
      <c r="AD510" s="1855"/>
      <c r="AE510" s="1855"/>
      <c r="AF510" s="1856"/>
      <c r="AG510" s="38"/>
      <c r="AH510" s="1857"/>
      <c r="AI510" s="1857"/>
      <c r="AJ510" s="1857"/>
      <c r="AK510" s="18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6"/>
      <c r="C511" s="130"/>
      <c r="D511" s="130"/>
      <c r="E511" s="130"/>
      <c r="F511" s="130"/>
      <c r="G511" s="130"/>
      <c r="H511" s="907"/>
      <c r="I511" s="3"/>
      <c r="L511" s="8"/>
      <c r="M511" s="8"/>
      <c r="N511" s="8"/>
      <c r="O511" s="8"/>
      <c r="P511" s="8"/>
      <c r="Q511" s="8"/>
      <c r="R511" s="8"/>
      <c r="S511" s="8"/>
      <c r="T511" s="8"/>
      <c r="U511" s="8"/>
      <c r="V511" s="8"/>
      <c r="W511" s="8"/>
      <c r="X511" s="1043"/>
      <c r="Y511" s="1043"/>
      <c r="Z511" s="1043"/>
      <c r="AA511" s="1043"/>
      <c r="AB511" s="1050"/>
      <c r="AC511" s="1832" t="s">
        <v>404</v>
      </c>
      <c r="AD511" s="1549"/>
      <c r="AE511" s="1549"/>
      <c r="AF511" s="1549"/>
      <c r="AG511" s="38" t="s">
        <v>405</v>
      </c>
      <c r="AH511" s="1549" t="s">
        <v>406</v>
      </c>
      <c r="AI511" s="1549"/>
      <c r="AJ511" s="1549"/>
      <c r="AK511" s="183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9"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9">
        <v>12</v>
      </c>
      <c r="AD512" s="1737"/>
      <c r="AE512" s="1737"/>
      <c r="AF512" s="1737"/>
      <c r="AG512" s="13" t="s">
        <v>405</v>
      </c>
      <c r="AH512" s="1521">
        <v>2022</v>
      </c>
      <c r="AI512" s="1521"/>
      <c r="AJ512" s="1521"/>
      <c r="AK512" s="1522"/>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40"/>
      <c r="C513" s="1376"/>
      <c r="D513" s="1376"/>
      <c r="E513" s="1376"/>
      <c r="F513" s="1376"/>
      <c r="G513" s="1376"/>
      <c r="H513" s="1377"/>
      <c r="I513" t="s">
        <v>418</v>
      </c>
      <c r="AC513" s="1789">
        <v>1</v>
      </c>
      <c r="AD513" s="1737"/>
      <c r="AE513" s="1737"/>
      <c r="AF513" s="1737"/>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40"/>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9">
        <v>10</v>
      </c>
      <c r="AD514" s="1737"/>
      <c r="AE514" s="1737"/>
      <c r="AF514" s="1737"/>
      <c r="AG514" s="38" t="s">
        <v>405</v>
      </c>
      <c r="AH514" s="1521">
        <v>2023</v>
      </c>
      <c r="AI514" s="1521"/>
      <c r="AJ514" s="1521"/>
      <c r="AK514" s="1522"/>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9"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12</v>
      </c>
      <c r="AD515" s="1387"/>
      <c r="AE515" s="1387"/>
      <c r="AF515" s="1387"/>
      <c r="AG515" s="129" t="s">
        <v>405</v>
      </c>
      <c r="AH515" s="1521">
        <v>2022</v>
      </c>
      <c r="AI515" s="1521"/>
      <c r="AJ515" s="1521"/>
      <c r="AK515" s="1522"/>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40"/>
      <c r="C516" s="1376"/>
      <c r="D516" s="1376"/>
      <c r="E516" s="1376"/>
      <c r="F516" s="1376"/>
      <c r="G516" s="1376"/>
      <c r="H516" s="1377"/>
      <c r="I516" t="s">
        <v>418</v>
      </c>
      <c r="AC516" s="1789">
        <v>1</v>
      </c>
      <c r="AD516" s="1737"/>
      <c r="AE516" s="1737"/>
      <c r="AF516" s="1737"/>
      <c r="AG516" s="13" t="s">
        <v>405</v>
      </c>
      <c r="AH516" s="1521">
        <v>2023</v>
      </c>
      <c r="AI516" s="1521"/>
      <c r="AJ516" s="1521"/>
      <c r="AK516" s="1522"/>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41"/>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9">
        <v>10</v>
      </c>
      <c r="AD517" s="1737"/>
      <c r="AE517" s="1737"/>
      <c r="AF517" s="1737"/>
      <c r="AG517" s="38" t="s">
        <v>405</v>
      </c>
      <c r="AH517" s="1521">
        <v>2023</v>
      </c>
      <c r="AI517" s="1521"/>
      <c r="AJ517" s="1521"/>
      <c r="AK517" s="1522"/>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9" t="s">
        <v>421</v>
      </c>
      <c r="C518" s="1374"/>
      <c r="D518" s="1374"/>
      <c r="E518" s="1374"/>
      <c r="F518" s="1374"/>
      <c r="G518" s="1374"/>
      <c r="H518" s="1375"/>
      <c r="I518" s="41" t="s">
        <v>422</v>
      </c>
      <c r="J518" s="42"/>
      <c r="K518" s="42"/>
      <c r="L518" s="42"/>
      <c r="M518" s="42"/>
      <c r="N518" s="42"/>
      <c r="O518" s="1796" t="s">
        <v>2625</v>
      </c>
      <c r="P518" s="1797"/>
      <c r="Q518" s="1797"/>
      <c r="R518" s="1797"/>
      <c r="S518" s="1797"/>
      <c r="T518" s="1797"/>
      <c r="U518" s="1797"/>
      <c r="V518" s="1797"/>
      <c r="W518" s="1797"/>
      <c r="X518" s="1797"/>
      <c r="Y518" s="1797"/>
      <c r="Z518" s="1797"/>
      <c r="AA518" s="1797"/>
      <c r="AB518" s="58"/>
      <c r="AC518" s="1386" t="s">
        <v>600</v>
      </c>
      <c r="AD518" s="1387"/>
      <c r="AE518" s="1387"/>
      <c r="AF518" s="1387"/>
      <c r="AG518" s="129" t="s">
        <v>405</v>
      </c>
      <c r="AH518" s="1521"/>
      <c r="AI518" s="1521"/>
      <c r="AJ518" s="1521"/>
      <c r="AK518" s="1522"/>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40"/>
      <c r="C519" s="1376"/>
      <c r="D519" s="1376"/>
      <c r="E519" s="1376"/>
      <c r="F519" s="1376"/>
      <c r="G519" s="1376"/>
      <c r="H519" s="1377"/>
      <c r="I519" s="114" t="s">
        <v>423</v>
      </c>
      <c r="AB519" s="65"/>
      <c r="AC519" s="1789">
        <v>7</v>
      </c>
      <c r="AD519" s="1737"/>
      <c r="AE519" s="1737"/>
      <c r="AF519" s="1737"/>
      <c r="AG519" s="13" t="s">
        <v>405</v>
      </c>
      <c r="AH519" s="1521">
        <v>2022</v>
      </c>
      <c r="AI519" s="1521"/>
      <c r="AJ519" s="1521"/>
      <c r="AK519" s="1522"/>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40"/>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9">
        <v>12</v>
      </c>
      <c r="AD520" s="1737"/>
      <c r="AE520" s="1737"/>
      <c r="AF520" s="1737"/>
      <c r="AG520" s="38" t="s">
        <v>405</v>
      </c>
      <c r="AH520" s="1521">
        <v>2022</v>
      </c>
      <c r="AI520" s="1521"/>
      <c r="AJ520" s="1521"/>
      <c r="AK520" s="1522"/>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40"/>
      <c r="C521" s="1376"/>
      <c r="D521" s="1376"/>
      <c r="E521" s="1376"/>
      <c r="F521" s="1376"/>
      <c r="G521" s="1376"/>
      <c r="H521" s="1377"/>
      <c r="I521" s="42" t="s">
        <v>425</v>
      </c>
      <c r="J521" s="42"/>
      <c r="K521" s="42"/>
      <c r="L521" s="42"/>
      <c r="M521" s="42"/>
      <c r="N521" s="42"/>
      <c r="O521" s="1796" t="s">
        <v>2759</v>
      </c>
      <c r="P521" s="1797"/>
      <c r="Q521" s="1797"/>
      <c r="R521" s="1797"/>
      <c r="S521" s="1797"/>
      <c r="T521" s="1797"/>
      <c r="U521" s="1797"/>
      <c r="V521" s="1797"/>
      <c r="W521" s="1797"/>
      <c r="X521" s="1797"/>
      <c r="Y521" s="1797"/>
      <c r="Z521" s="1797"/>
      <c r="AA521" s="1797"/>
      <c r="AC521" s="1789" t="s">
        <v>600</v>
      </c>
      <c r="AD521" s="1737"/>
      <c r="AE521" s="1737"/>
      <c r="AF521" s="1737"/>
      <c r="AG521" s="13" t="s">
        <v>405</v>
      </c>
      <c r="AH521" s="1521"/>
      <c r="AI521" s="1521"/>
      <c r="AJ521" s="1521"/>
      <c r="AK521" s="1522"/>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40"/>
      <c r="C522" s="1376"/>
      <c r="D522" s="1376"/>
      <c r="E522" s="1376"/>
      <c r="F522" s="1376"/>
      <c r="G522" s="1376"/>
      <c r="H522" s="1377"/>
      <c r="I522" t="s">
        <v>423</v>
      </c>
      <c r="AC522" s="1789">
        <v>6</v>
      </c>
      <c r="AD522" s="1737"/>
      <c r="AE522" s="1737"/>
      <c r="AF522" s="1737"/>
      <c r="AG522" s="13" t="s">
        <v>405</v>
      </c>
      <c r="AH522" s="1521">
        <v>2022</v>
      </c>
      <c r="AI522" s="1521"/>
      <c r="AJ522" s="1521"/>
      <c r="AK522" s="1522"/>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40"/>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9">
        <v>6</v>
      </c>
      <c r="AD523" s="1737"/>
      <c r="AE523" s="1737"/>
      <c r="AF523" s="1737"/>
      <c r="AG523" s="38" t="s">
        <v>405</v>
      </c>
      <c r="AH523" s="1521">
        <v>2022</v>
      </c>
      <c r="AI523" s="1521"/>
      <c r="AJ523" s="1521"/>
      <c r="AK523" s="1522"/>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40"/>
      <c r="C524" s="1376"/>
      <c r="D524" s="1376"/>
      <c r="E524" s="1376"/>
      <c r="F524" s="1376"/>
      <c r="G524" s="1376"/>
      <c r="H524" s="1377"/>
      <c r="I524" s="42" t="s">
        <v>425</v>
      </c>
      <c r="J524" s="42"/>
      <c r="K524" s="42"/>
      <c r="L524" s="42"/>
      <c r="M524" s="42"/>
      <c r="N524" s="42"/>
      <c r="O524" s="1796" t="s">
        <v>336</v>
      </c>
      <c r="P524" s="1797"/>
      <c r="Q524" s="1797"/>
      <c r="R524" s="1797"/>
      <c r="S524" s="1797"/>
      <c r="T524" s="1797"/>
      <c r="U524" s="1797"/>
      <c r="V524" s="1797"/>
      <c r="W524" s="1797"/>
      <c r="X524" s="1797"/>
      <c r="Y524" s="1797"/>
      <c r="Z524" s="1797"/>
      <c r="AA524" s="1797"/>
      <c r="AC524" s="1789" t="s">
        <v>600</v>
      </c>
      <c r="AD524" s="1737"/>
      <c r="AE524" s="1737"/>
      <c r="AF524" s="1737"/>
      <c r="AG524" s="13" t="s">
        <v>405</v>
      </c>
      <c r="AH524" s="1521"/>
      <c r="AI524" s="1521"/>
      <c r="AJ524" s="1521"/>
      <c r="AK524" s="1522"/>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40"/>
      <c r="C525" s="1376"/>
      <c r="D525" s="1376"/>
      <c r="E525" s="1376"/>
      <c r="F525" s="1376"/>
      <c r="G525" s="1376"/>
      <c r="H525" s="1377"/>
      <c r="I525" t="s">
        <v>423</v>
      </c>
      <c r="AC525" s="1789" t="s">
        <v>600</v>
      </c>
      <c r="AD525" s="1737"/>
      <c r="AE525" s="1737"/>
      <c r="AF525" s="1737"/>
      <c r="AG525" s="13" t="s">
        <v>405</v>
      </c>
      <c r="AH525" s="1521"/>
      <c r="AI525" s="1521"/>
      <c r="AJ525" s="1521"/>
      <c r="AK525" s="1522"/>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40"/>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9" t="s">
        <v>600</v>
      </c>
      <c r="AD526" s="1737"/>
      <c r="AE526" s="1737"/>
      <c r="AF526" s="1737"/>
      <c r="AG526" s="38" t="s">
        <v>405</v>
      </c>
      <c r="AH526" s="1521"/>
      <c r="AI526" s="1521"/>
      <c r="AJ526" s="1521"/>
      <c r="AK526" s="1522"/>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40"/>
      <c r="C527" s="1376"/>
      <c r="D527" s="1376"/>
      <c r="E527" s="1376"/>
      <c r="F527" s="1376"/>
      <c r="G527" s="1376"/>
      <c r="H527" s="1377"/>
      <c r="I527" s="42" t="s">
        <v>425</v>
      </c>
      <c r="J527" s="42"/>
      <c r="K527" s="42"/>
      <c r="L527" s="42"/>
      <c r="M527" s="42"/>
      <c r="N527" s="42"/>
      <c r="O527" s="1796" t="s">
        <v>336</v>
      </c>
      <c r="P527" s="1797"/>
      <c r="Q527" s="1797"/>
      <c r="R527" s="1797"/>
      <c r="S527" s="1797"/>
      <c r="T527" s="1797"/>
      <c r="U527" s="1797"/>
      <c r="V527" s="1797"/>
      <c r="W527" s="1797"/>
      <c r="X527" s="1797"/>
      <c r="Y527" s="1797"/>
      <c r="Z527" s="1797"/>
      <c r="AA527" s="1797"/>
      <c r="AC527" s="1789" t="s">
        <v>600</v>
      </c>
      <c r="AD527" s="1737"/>
      <c r="AE527" s="1737"/>
      <c r="AF527" s="1737"/>
      <c r="AG527" s="13" t="s">
        <v>405</v>
      </c>
      <c r="AH527" s="1521"/>
      <c r="AI527" s="1521"/>
      <c r="AJ527" s="1521"/>
      <c r="AK527" s="1522"/>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40"/>
      <c r="C528" s="1376"/>
      <c r="D528" s="1376"/>
      <c r="E528" s="1376"/>
      <c r="F528" s="1376"/>
      <c r="G528" s="1376"/>
      <c r="H528" s="1377"/>
      <c r="I528" t="s">
        <v>423</v>
      </c>
      <c r="AC528" s="1789" t="s">
        <v>600</v>
      </c>
      <c r="AD528" s="1737"/>
      <c r="AE528" s="1737"/>
      <c r="AF528" s="1737"/>
      <c r="AG528" s="13" t="s">
        <v>405</v>
      </c>
      <c r="AH528" s="1521"/>
      <c r="AI528" s="1521"/>
      <c r="AJ528" s="1521"/>
      <c r="AK528" s="1522"/>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40"/>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9" t="s">
        <v>600</v>
      </c>
      <c r="AD529" s="1737"/>
      <c r="AE529" s="1737"/>
      <c r="AF529" s="1737"/>
      <c r="AG529" s="38" t="s">
        <v>405</v>
      </c>
      <c r="AH529" s="1521"/>
      <c r="AI529" s="1521"/>
      <c r="AJ529" s="1521"/>
      <c r="AK529" s="1522"/>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40"/>
      <c r="C530" s="1376"/>
      <c r="D530" s="1376"/>
      <c r="E530" s="1376"/>
      <c r="F530" s="1376"/>
      <c r="G530" s="1376"/>
      <c r="H530" s="1377"/>
      <c r="I530" s="42" t="s">
        <v>425</v>
      </c>
      <c r="J530" s="42"/>
      <c r="K530" s="42"/>
      <c r="L530" s="42"/>
      <c r="M530" s="42"/>
      <c r="N530" s="42"/>
      <c r="O530" s="1796" t="s">
        <v>336</v>
      </c>
      <c r="P530" s="1797"/>
      <c r="Q530" s="1797"/>
      <c r="R530" s="1797"/>
      <c r="S530" s="1797"/>
      <c r="T530" s="1797"/>
      <c r="U530" s="1797"/>
      <c r="V530" s="1797"/>
      <c r="W530" s="1797"/>
      <c r="X530" s="1797"/>
      <c r="Y530" s="1797"/>
      <c r="Z530" s="1797"/>
      <c r="AA530" s="1797"/>
      <c r="AC530" s="1789" t="s">
        <v>600</v>
      </c>
      <c r="AD530" s="1737"/>
      <c r="AE530" s="1737"/>
      <c r="AF530" s="1737"/>
      <c r="AG530" s="13" t="s">
        <v>405</v>
      </c>
      <c r="AH530" s="1521"/>
      <c r="AI530" s="1521"/>
      <c r="AJ530" s="1521"/>
      <c r="AK530" s="1522"/>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40"/>
      <c r="C531" s="1376"/>
      <c r="D531" s="1376"/>
      <c r="E531" s="1376"/>
      <c r="F531" s="1376"/>
      <c r="G531" s="1376"/>
      <c r="H531" s="1377"/>
      <c r="I531" t="s">
        <v>423</v>
      </c>
      <c r="AC531" s="1789" t="s">
        <v>600</v>
      </c>
      <c r="AD531" s="1737"/>
      <c r="AE531" s="1737"/>
      <c r="AF531" s="1737"/>
      <c r="AG531" s="38" t="s">
        <v>405</v>
      </c>
      <c r="AH531" s="1521"/>
      <c r="AI531" s="1521"/>
      <c r="AJ531" s="1521"/>
      <c r="AK531" s="1522"/>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40"/>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9" t="s">
        <v>600</v>
      </c>
      <c r="AD532" s="1737"/>
      <c r="AE532" s="1737"/>
      <c r="AF532" s="1737"/>
      <c r="AG532" s="13" t="s">
        <v>405</v>
      </c>
      <c r="AH532" s="1521"/>
      <c r="AI532" s="1521"/>
      <c r="AJ532" s="1521"/>
      <c r="AK532" s="1522"/>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40"/>
      <c r="C533" s="1376"/>
      <c r="D533" s="1376"/>
      <c r="E533" s="1376"/>
      <c r="F533" s="1376"/>
      <c r="G533" s="1376"/>
      <c r="H533" s="1377"/>
      <c r="I533" s="42" t="s">
        <v>425</v>
      </c>
      <c r="J533" s="42"/>
      <c r="K533" s="42"/>
      <c r="L533" s="42"/>
      <c r="M533" s="42"/>
      <c r="N533" s="42"/>
      <c r="O533" s="1796" t="s">
        <v>336</v>
      </c>
      <c r="P533" s="1797"/>
      <c r="Q533" s="1797"/>
      <c r="R533" s="1797"/>
      <c r="S533" s="1797"/>
      <c r="T533" s="1797"/>
      <c r="U533" s="1797"/>
      <c r="V533" s="1797"/>
      <c r="W533" s="1797"/>
      <c r="X533" s="1797"/>
      <c r="Y533" s="1797"/>
      <c r="Z533" s="1797"/>
      <c r="AA533" s="1797"/>
      <c r="AC533" s="1789" t="s">
        <v>600</v>
      </c>
      <c r="AD533" s="1737"/>
      <c r="AE533" s="1737"/>
      <c r="AF533" s="1737"/>
      <c r="AG533" s="38" t="s">
        <v>405</v>
      </c>
      <c r="AH533" s="1521"/>
      <c r="AI533" s="1521"/>
      <c r="AJ533" s="1521"/>
      <c r="AK533" s="1522"/>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40"/>
      <c r="C534" s="1376"/>
      <c r="D534" s="1376"/>
      <c r="E534" s="1376"/>
      <c r="F534" s="1376"/>
      <c r="G534" s="1376"/>
      <c r="H534" s="1377"/>
      <c r="I534" t="s">
        <v>423</v>
      </c>
      <c r="AC534" s="1789" t="s">
        <v>600</v>
      </c>
      <c r="AD534" s="1737"/>
      <c r="AE534" s="1737"/>
      <c r="AF534" s="1737"/>
      <c r="AG534" s="13" t="s">
        <v>405</v>
      </c>
      <c r="AH534" s="1521"/>
      <c r="AI534" s="1521"/>
      <c r="AJ534" s="1521"/>
      <c r="AK534" s="1522"/>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40"/>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9" t="s">
        <v>600</v>
      </c>
      <c r="AD535" s="1737"/>
      <c r="AE535" s="1737"/>
      <c r="AF535" s="1737"/>
      <c r="AG535" s="38" t="s">
        <v>405</v>
      </c>
      <c r="AH535" s="1521"/>
      <c r="AI535" s="1521"/>
      <c r="AJ535" s="1521"/>
      <c r="AK535" s="1522"/>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40"/>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89">
        <v>1</v>
      </c>
      <c r="AD536" s="1737"/>
      <c r="AE536" s="1737"/>
      <c r="AF536" s="1737"/>
      <c r="AG536" s="38" t="s">
        <v>405</v>
      </c>
      <c r="AH536" s="1521">
        <v>2024</v>
      </c>
      <c r="AI536" s="1521"/>
      <c r="AJ536" s="1521"/>
      <c r="AK536" s="1522"/>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40"/>
      <c r="C537" s="1376"/>
      <c r="D537" s="1376"/>
      <c r="E537" s="1376"/>
      <c r="F537" s="1376"/>
      <c r="G537" s="1376"/>
      <c r="H537" s="1377"/>
      <c r="I537" t="s">
        <v>572</v>
      </c>
      <c r="AC537" s="1789">
        <v>10</v>
      </c>
      <c r="AD537" s="1737"/>
      <c r="AE537" s="1737"/>
      <c r="AF537" s="1737"/>
      <c r="AG537" s="13" t="s">
        <v>405</v>
      </c>
      <c r="AH537" s="1521">
        <v>2023</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40"/>
      <c r="C538" s="1376"/>
      <c r="D538" s="1376"/>
      <c r="E538" s="1376"/>
      <c r="F538" s="1376"/>
      <c r="G538" s="1376"/>
      <c r="H538" s="1377"/>
      <c r="I538" t="s">
        <v>573</v>
      </c>
      <c r="AC538" s="1789">
        <v>8</v>
      </c>
      <c r="AD538" s="1737"/>
      <c r="AE538" s="1737"/>
      <c r="AF538" s="1737"/>
      <c r="AG538" s="38" t="s">
        <v>405</v>
      </c>
      <c r="AH538" s="1521">
        <v>2025</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40"/>
      <c r="C539" s="1376"/>
      <c r="D539" s="1376"/>
      <c r="E539" s="1376"/>
      <c r="F539" s="1376"/>
      <c r="G539" s="1376"/>
      <c r="H539" s="1377"/>
      <c r="I539" t="s">
        <v>574</v>
      </c>
      <c r="AC539" s="1789">
        <v>8</v>
      </c>
      <c r="AD539" s="1737"/>
      <c r="AE539" s="1737"/>
      <c r="AF539" s="1737"/>
      <c r="AG539" s="38" t="s">
        <v>405</v>
      </c>
      <c r="AH539" s="1521">
        <v>2025</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41"/>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89">
        <v>1</v>
      </c>
      <c r="AD540" s="1737"/>
      <c r="AE540" s="1737"/>
      <c r="AF540" s="1737"/>
      <c r="AG540" s="38" t="s">
        <v>405</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0" t="s">
        <v>2530</v>
      </c>
      <c r="C549" s="1791"/>
      <c r="D549" s="1791"/>
      <c r="E549" s="1791"/>
      <c r="F549" s="1791"/>
      <c r="G549" s="1791"/>
      <c r="H549" s="1791"/>
      <c r="I549" s="1791"/>
      <c r="J549" s="1791"/>
      <c r="K549" s="1791"/>
      <c r="L549" s="1792"/>
      <c r="M549" s="1370" t="s">
        <v>2531</v>
      </c>
      <c r="N549" s="1370"/>
      <c r="O549" s="1370"/>
      <c r="P549" s="1370"/>
      <c r="Q549" s="1790" t="s">
        <v>2557</v>
      </c>
      <c r="R549" s="1791"/>
      <c r="S549" s="1792"/>
      <c r="T549" s="1790" t="s">
        <v>2558</v>
      </c>
      <c r="U549" s="1791"/>
      <c r="V549" s="1792"/>
      <c r="W549" s="1790" t="s">
        <v>462</v>
      </c>
      <c r="X549" s="1791"/>
      <c r="Y549" s="1792"/>
      <c r="Z549" s="1790" t="s">
        <v>2114</v>
      </c>
      <c r="AA549" s="1791"/>
      <c r="AB549" s="1791"/>
      <c r="AC549" s="1791"/>
      <c r="AD549" s="1791"/>
      <c r="AE549" s="1790" t="s">
        <v>1935</v>
      </c>
      <c r="AF549" s="1791"/>
      <c r="AG549" s="1791"/>
      <c r="AH549" s="1792"/>
      <c r="AI549" s="1790" t="s">
        <v>1936</v>
      </c>
      <c r="AJ549" s="1791"/>
      <c r="AK549" s="1791"/>
      <c r="AL549" s="1792"/>
      <c r="AM549" s="1790" t="s">
        <v>463</v>
      </c>
      <c r="AN549" s="1791"/>
      <c r="AO549" s="1791"/>
      <c r="AP549" s="1791"/>
      <c r="AQ549" s="1791"/>
      <c r="AR549" s="1791"/>
      <c r="AS549" s="179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2641</v>
      </c>
      <c r="D550" s="1359"/>
      <c r="E550" s="1359"/>
      <c r="F550" s="1359"/>
      <c r="G550" s="1359"/>
      <c r="H550" s="1359"/>
      <c r="I550" s="1359"/>
      <c r="J550" s="1359"/>
      <c r="K550" s="1359"/>
      <c r="L550" s="1359"/>
      <c r="M550" s="1359" t="s">
        <v>2547</v>
      </c>
      <c r="N550" s="1359"/>
      <c r="O550" s="1359"/>
      <c r="P550" s="1359"/>
      <c r="Q550" s="1362">
        <v>33</v>
      </c>
      <c r="R550" s="1362"/>
      <c r="S550" s="1363"/>
      <c r="T550" s="1361"/>
      <c r="U550" s="1362"/>
      <c r="V550" s="1363"/>
      <c r="W550" s="1622">
        <v>8.2100000000000006E-2</v>
      </c>
      <c r="X550" s="1623"/>
      <c r="Y550" s="1624"/>
      <c r="Z550" s="1364" t="s">
        <v>2645</v>
      </c>
      <c r="AA550" s="1364"/>
      <c r="AB550" s="1364"/>
      <c r="AC550" s="1364"/>
      <c r="AD550" s="1364"/>
      <c r="AE550" s="1807">
        <v>1</v>
      </c>
      <c r="AF550" s="1808"/>
      <c r="AG550" s="1808"/>
      <c r="AH550" s="1809"/>
      <c r="AI550" s="1813"/>
      <c r="AJ550" s="1814"/>
      <c r="AK550" s="1814"/>
      <c r="AL550" s="1815"/>
      <c r="AM550" s="1810">
        <v>73842097</v>
      </c>
      <c r="AN550" s="1811"/>
      <c r="AO550" s="1811"/>
      <c r="AP550" s="1811"/>
      <c r="AQ550" s="1811"/>
      <c r="AR550" s="1811"/>
      <c r="AS550" s="1812"/>
      <c r="AT550" s="1200"/>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744" t="s">
        <v>2642</v>
      </c>
      <c r="D551" s="1744"/>
      <c r="E551" s="1744"/>
      <c r="F551" s="1744"/>
      <c r="G551" s="1744"/>
      <c r="H551" s="1744"/>
      <c r="I551" s="1744"/>
      <c r="J551" s="1744"/>
      <c r="K551" s="1744"/>
      <c r="L551" s="1744"/>
      <c r="M551" s="1359" t="s">
        <v>2546</v>
      </c>
      <c r="N551" s="1359"/>
      <c r="O551" s="1359"/>
      <c r="P551" s="1359"/>
      <c r="Q551" s="1361">
        <v>33</v>
      </c>
      <c r="R551" s="1362"/>
      <c r="S551" s="1363"/>
      <c r="T551" s="1361"/>
      <c r="U551" s="1362"/>
      <c r="V551" s="1363"/>
      <c r="W551" s="1622">
        <v>8.3099999999999993E-2</v>
      </c>
      <c r="X551" s="1623"/>
      <c r="Y551" s="1624"/>
      <c r="Z551" s="1364" t="s">
        <v>2645</v>
      </c>
      <c r="AA551" s="1364"/>
      <c r="AB551" s="1364"/>
      <c r="AC551" s="1364"/>
      <c r="AD551" s="1364"/>
      <c r="AE551" s="1807">
        <v>1</v>
      </c>
      <c r="AF551" s="1808"/>
      <c r="AG551" s="1808"/>
      <c r="AH551" s="1809"/>
      <c r="AI551" s="1813"/>
      <c r="AJ551" s="1814"/>
      <c r="AK551" s="1814"/>
      <c r="AL551" s="1815"/>
      <c r="AM551" s="1810">
        <v>25849421</v>
      </c>
      <c r="AN551" s="1811"/>
      <c r="AO551" s="1811"/>
      <c r="AP551" s="1811"/>
      <c r="AQ551" s="1811"/>
      <c r="AR551" s="1811"/>
      <c r="AS551" s="1812"/>
      <c r="AT551" s="1200" t="str">
        <f t="shared" ref="AT551:AT557" si="1">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9" t="s">
        <v>2625</v>
      </c>
      <c r="D552" s="1660"/>
      <c r="E552" s="1660"/>
      <c r="F552" s="1660"/>
      <c r="G552" s="1660"/>
      <c r="H552" s="1660"/>
      <c r="I552" s="1660"/>
      <c r="J552" s="1660"/>
      <c r="K552" s="1660"/>
      <c r="L552" s="1661"/>
      <c r="M552" s="1359" t="s">
        <v>2543</v>
      </c>
      <c r="N552" s="1359"/>
      <c r="O552" s="1359"/>
      <c r="P552" s="1359"/>
      <c r="Q552" s="1361">
        <v>33</v>
      </c>
      <c r="R552" s="1362"/>
      <c r="S552" s="1363"/>
      <c r="T552" s="1361"/>
      <c r="U552" s="1362"/>
      <c r="V552" s="1363"/>
      <c r="W552" s="1622">
        <v>0.03</v>
      </c>
      <c r="X552" s="1623"/>
      <c r="Y552" s="1624"/>
      <c r="Z552" s="1364" t="s">
        <v>2644</v>
      </c>
      <c r="AA552" s="1364"/>
      <c r="AB552" s="1364"/>
      <c r="AC552" s="1364"/>
      <c r="AD552" s="1364"/>
      <c r="AE552" s="1807">
        <v>3</v>
      </c>
      <c r="AF552" s="1808"/>
      <c r="AG552" s="1808"/>
      <c r="AH552" s="1809"/>
      <c r="AI552" s="1813"/>
      <c r="AJ552" s="1814"/>
      <c r="AK552" s="1814"/>
      <c r="AL552" s="1815"/>
      <c r="AM552" s="1810">
        <v>12950000</v>
      </c>
      <c r="AN552" s="1811"/>
      <c r="AO552" s="1811"/>
      <c r="AP552" s="1811"/>
      <c r="AQ552" s="1811"/>
      <c r="AR552" s="1811"/>
      <c r="AS552" s="1812"/>
      <c r="AT552" s="1200" t="str">
        <f t="shared" si="1"/>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659" t="s">
        <v>2626</v>
      </c>
      <c r="D553" s="1660"/>
      <c r="E553" s="1660"/>
      <c r="F553" s="1660"/>
      <c r="G553" s="1660"/>
      <c r="H553" s="1660"/>
      <c r="I553" s="1660"/>
      <c r="J553" s="1660"/>
      <c r="K553" s="1660"/>
      <c r="L553" s="1661"/>
      <c r="M553" s="1359" t="s">
        <v>2543</v>
      </c>
      <c r="N553" s="1359"/>
      <c r="O553" s="1359"/>
      <c r="P553" s="1359"/>
      <c r="Q553" s="1361">
        <v>33</v>
      </c>
      <c r="R553" s="1362"/>
      <c r="S553" s="1363"/>
      <c r="T553" s="1361"/>
      <c r="U553" s="1362"/>
      <c r="V553" s="1363"/>
      <c r="W553" s="1622">
        <v>0.03</v>
      </c>
      <c r="X553" s="1623"/>
      <c r="Y553" s="1624"/>
      <c r="Z553" s="1364" t="s">
        <v>2644</v>
      </c>
      <c r="AA553" s="1364"/>
      <c r="AB553" s="1364"/>
      <c r="AC553" s="1364"/>
      <c r="AD553" s="1364"/>
      <c r="AE553" s="1807">
        <v>2</v>
      </c>
      <c r="AF553" s="1808"/>
      <c r="AG553" s="1808"/>
      <c r="AH553" s="1809"/>
      <c r="AI553" s="1813"/>
      <c r="AJ553" s="1814"/>
      <c r="AK553" s="1814"/>
      <c r="AL553" s="1815"/>
      <c r="AM553" s="1810">
        <v>10200000</v>
      </c>
      <c r="AN553" s="1811"/>
      <c r="AO553" s="1811"/>
      <c r="AP553" s="1811"/>
      <c r="AQ553" s="1811"/>
      <c r="AR553" s="1811"/>
      <c r="AS553" s="1812"/>
      <c r="AT553" s="1200" t="str">
        <f t="shared" si="1"/>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659" t="s">
        <v>2776</v>
      </c>
      <c r="D554" s="1660"/>
      <c r="E554" s="1660"/>
      <c r="F554" s="1660"/>
      <c r="G554" s="1660"/>
      <c r="H554" s="1660"/>
      <c r="I554" s="1660"/>
      <c r="J554" s="1660"/>
      <c r="K554" s="1660"/>
      <c r="L554" s="1661"/>
      <c r="M554" s="1359" t="s">
        <v>2532</v>
      </c>
      <c r="N554" s="1359"/>
      <c r="O554" s="1359"/>
      <c r="P554" s="1359"/>
      <c r="Q554" s="1361"/>
      <c r="R554" s="1362"/>
      <c r="S554" s="1363"/>
      <c r="T554" s="1361"/>
      <c r="U554" s="1362"/>
      <c r="V554" s="1363"/>
      <c r="W554" s="1622"/>
      <c r="X554" s="1623"/>
      <c r="Y554" s="1624"/>
      <c r="Z554" s="1364" t="s">
        <v>600</v>
      </c>
      <c r="AA554" s="1364"/>
      <c r="AB554" s="1364"/>
      <c r="AC554" s="1364"/>
      <c r="AD554" s="1364"/>
      <c r="AE554" s="1807"/>
      <c r="AF554" s="1808"/>
      <c r="AG554" s="1808"/>
      <c r="AH554" s="1809"/>
      <c r="AI554" s="1813"/>
      <c r="AJ554" s="1814"/>
      <c r="AK554" s="1814"/>
      <c r="AL554" s="1815"/>
      <c r="AM554" s="1810">
        <v>1084363</v>
      </c>
      <c r="AN554" s="1811"/>
      <c r="AO554" s="1811"/>
      <c r="AP554" s="1811"/>
      <c r="AQ554" s="1811"/>
      <c r="AR554" s="1811"/>
      <c r="AS554" s="1812"/>
      <c r="AT554" s="1200" t="str">
        <f t="shared" si="1"/>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659" t="s">
        <v>2643</v>
      </c>
      <c r="D555" s="1660"/>
      <c r="E555" s="1660"/>
      <c r="F555" s="1660"/>
      <c r="G555" s="1660"/>
      <c r="H555" s="1660"/>
      <c r="I555" s="1660"/>
      <c r="J555" s="1660"/>
      <c r="K555" s="1660"/>
      <c r="L555" s="1661"/>
      <c r="M555" s="1359" t="s">
        <v>2538</v>
      </c>
      <c r="N555" s="1359"/>
      <c r="O555" s="1359"/>
      <c r="P555" s="1359"/>
      <c r="Q555" s="1361"/>
      <c r="R555" s="1362"/>
      <c r="S555" s="1363"/>
      <c r="T555" s="1361"/>
      <c r="U555" s="1362"/>
      <c r="V555" s="1363"/>
      <c r="W555" s="1622"/>
      <c r="X555" s="1623"/>
      <c r="Y555" s="1624"/>
      <c r="Z555" s="1364" t="s">
        <v>600</v>
      </c>
      <c r="AA555" s="1364"/>
      <c r="AB555" s="1364"/>
      <c r="AC555" s="1364"/>
      <c r="AD555" s="1364"/>
      <c r="AE555" s="1807"/>
      <c r="AF555" s="1808"/>
      <c r="AG555" s="1808"/>
      <c r="AH555" s="1809"/>
      <c r="AI555" s="1813"/>
      <c r="AJ555" s="1814"/>
      <c r="AK555" s="1814"/>
      <c r="AL555" s="1815"/>
      <c r="AM555" s="1810">
        <v>8244572</v>
      </c>
      <c r="AN555" s="1811"/>
      <c r="AO555" s="1811"/>
      <c r="AP555" s="1811"/>
      <c r="AQ555" s="1811"/>
      <c r="AR555" s="1811"/>
      <c r="AS555" s="1812"/>
      <c r="AT555" s="1200" t="str">
        <f t="shared" si="1"/>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744" t="s">
        <v>2758</v>
      </c>
      <c r="D556" s="1744"/>
      <c r="E556" s="1744"/>
      <c r="F556" s="1744"/>
      <c r="G556" s="1744"/>
      <c r="H556" s="1744"/>
      <c r="I556" s="1744"/>
      <c r="J556" s="1744"/>
      <c r="K556" s="1744"/>
      <c r="L556" s="1744"/>
      <c r="M556" s="1359" t="s">
        <v>2555</v>
      </c>
      <c r="N556" s="1359"/>
      <c r="O556" s="1359"/>
      <c r="P556" s="1359"/>
      <c r="Q556" s="1361"/>
      <c r="R556" s="1362"/>
      <c r="S556" s="1363"/>
      <c r="T556" s="1361"/>
      <c r="U556" s="1362"/>
      <c r="V556" s="1363"/>
      <c r="W556" s="1622"/>
      <c r="X556" s="1623"/>
      <c r="Y556" s="1624"/>
      <c r="Z556" s="1364" t="s">
        <v>600</v>
      </c>
      <c r="AA556" s="1364"/>
      <c r="AB556" s="1364"/>
      <c r="AC556" s="1364"/>
      <c r="AD556" s="1364"/>
      <c r="AE556" s="1807"/>
      <c r="AF556" s="1808"/>
      <c r="AG556" s="1808"/>
      <c r="AH556" s="1809"/>
      <c r="AI556" s="1813"/>
      <c r="AJ556" s="1814"/>
      <c r="AK556" s="1814"/>
      <c r="AL556" s="1815"/>
      <c r="AM556" s="1810">
        <v>13550000</v>
      </c>
      <c r="AN556" s="1811"/>
      <c r="AO556" s="1811"/>
      <c r="AP556" s="1811"/>
      <c r="AQ556" s="1811"/>
      <c r="AR556" s="1811"/>
      <c r="AS556" s="1812"/>
      <c r="AT556" s="1200" t="str">
        <f t="shared" si="1"/>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744" t="s">
        <v>2760</v>
      </c>
      <c r="D557" s="1744"/>
      <c r="E557" s="1744"/>
      <c r="F557" s="1744"/>
      <c r="G557" s="1744"/>
      <c r="H557" s="1744"/>
      <c r="I557" s="1744"/>
      <c r="J557" s="1744"/>
      <c r="K557" s="1744"/>
      <c r="L557" s="1744"/>
      <c r="M557" s="1359" t="s">
        <v>2537</v>
      </c>
      <c r="N557" s="1359"/>
      <c r="O557" s="1359"/>
      <c r="P557" s="1359"/>
      <c r="Q557" s="1361"/>
      <c r="R557" s="1362"/>
      <c r="S557" s="1363"/>
      <c r="T557" s="1361"/>
      <c r="U557" s="1362"/>
      <c r="V557" s="1363"/>
      <c r="W557" s="1622"/>
      <c r="X557" s="1623"/>
      <c r="Y557" s="1624"/>
      <c r="Z557" s="1364" t="s">
        <v>600</v>
      </c>
      <c r="AA557" s="1364"/>
      <c r="AB557" s="1364"/>
      <c r="AC557" s="1364"/>
      <c r="AD557" s="1364"/>
      <c r="AE557" s="1807"/>
      <c r="AF557" s="1808"/>
      <c r="AG557" s="1808"/>
      <c r="AH557" s="1809"/>
      <c r="AI557" s="1813"/>
      <c r="AJ557" s="1814"/>
      <c r="AK557" s="1814"/>
      <c r="AL557" s="1815"/>
      <c r="AM557" s="1810">
        <v>100</v>
      </c>
      <c r="AN557" s="1811"/>
      <c r="AO557" s="1811"/>
      <c r="AP557" s="1811"/>
      <c r="AQ557" s="1811"/>
      <c r="AR557" s="1811"/>
      <c r="AS557" s="1812"/>
      <c r="AT557" s="1200" t="str">
        <f t="shared" si="1"/>
        <v/>
      </c>
      <c r="AU557" s="1199"/>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744"/>
      <c r="D558" s="1744"/>
      <c r="E558" s="1744"/>
      <c r="F558" s="1744"/>
      <c r="G558" s="1744"/>
      <c r="H558" s="1744"/>
      <c r="I558" s="1744"/>
      <c r="J558" s="1744"/>
      <c r="K558" s="1744"/>
      <c r="L558" s="1744"/>
      <c r="M558" s="1359" t="s">
        <v>1327</v>
      </c>
      <c r="N558" s="1359"/>
      <c r="O558" s="1359"/>
      <c r="P558" s="1359"/>
      <c r="Q558" s="1361"/>
      <c r="R558" s="1362"/>
      <c r="S558" s="1363"/>
      <c r="T558" s="1361"/>
      <c r="U558" s="1362"/>
      <c r="V558" s="1363"/>
      <c r="W558" s="1622"/>
      <c r="X558" s="1623"/>
      <c r="Y558" s="1624"/>
      <c r="Z558" s="1364" t="s">
        <v>1327</v>
      </c>
      <c r="AA558" s="1364"/>
      <c r="AB558" s="1364"/>
      <c r="AC558" s="1364"/>
      <c r="AD558" s="1364"/>
      <c r="AE558" s="1807"/>
      <c r="AF558" s="1808"/>
      <c r="AG558" s="1808"/>
      <c r="AH558" s="1809"/>
      <c r="AI558" s="1813"/>
      <c r="AJ558" s="1814"/>
      <c r="AK558" s="1814"/>
      <c r="AL558" s="1815"/>
      <c r="AM558" s="1810"/>
      <c r="AN558" s="1811"/>
      <c r="AO558" s="1811"/>
      <c r="AP558" s="1811"/>
      <c r="AQ558" s="1811"/>
      <c r="AR558" s="1811"/>
      <c r="AS558" s="1812"/>
      <c r="AT558" s="1200" t="str">
        <f t="shared" ref="AT558:AT561" si="2">IF(AND(NOT(C557=""),C558="",NOT(C559="")),"!","")</f>
        <v/>
      </c>
      <c r="AU558" s="1199"/>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744"/>
      <c r="D559" s="1744"/>
      <c r="E559" s="1744"/>
      <c r="F559" s="1744"/>
      <c r="G559" s="1744"/>
      <c r="H559" s="1744"/>
      <c r="I559" s="1744"/>
      <c r="J559" s="1744"/>
      <c r="K559" s="1744"/>
      <c r="L559" s="1744"/>
      <c r="M559" s="1359" t="s">
        <v>1327</v>
      </c>
      <c r="N559" s="1359"/>
      <c r="O559" s="1359"/>
      <c r="P559" s="1359"/>
      <c r="Q559" s="1361"/>
      <c r="R559" s="1362"/>
      <c r="S559" s="1363"/>
      <c r="T559" s="1361"/>
      <c r="U559" s="1362"/>
      <c r="V559" s="1363"/>
      <c r="W559" s="1622"/>
      <c r="X559" s="1623"/>
      <c r="Y559" s="1624"/>
      <c r="Z559" s="1364" t="s">
        <v>1327</v>
      </c>
      <c r="AA559" s="1364"/>
      <c r="AB559" s="1364"/>
      <c r="AC559" s="1364"/>
      <c r="AD559" s="1364"/>
      <c r="AE559" s="1807"/>
      <c r="AF559" s="1808"/>
      <c r="AG559" s="1808"/>
      <c r="AH559" s="1809"/>
      <c r="AI559" s="1813"/>
      <c r="AJ559" s="1814"/>
      <c r="AK559" s="1814"/>
      <c r="AL559" s="1815"/>
      <c r="AM559" s="1810"/>
      <c r="AN559" s="1811"/>
      <c r="AO559" s="1811"/>
      <c r="AP559" s="1811"/>
      <c r="AQ559" s="1811"/>
      <c r="AR559" s="1811"/>
      <c r="AS559" s="1812"/>
      <c r="AT559" s="1200" t="str">
        <f t="shared" si="2"/>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744"/>
      <c r="D560" s="1744"/>
      <c r="E560" s="1744"/>
      <c r="F560" s="1744"/>
      <c r="G560" s="1744"/>
      <c r="H560" s="1744"/>
      <c r="I560" s="1744"/>
      <c r="J560" s="1744"/>
      <c r="K560" s="1744"/>
      <c r="L560" s="1744"/>
      <c r="M560" s="1359" t="s">
        <v>1327</v>
      </c>
      <c r="N560" s="1359"/>
      <c r="O560" s="1359"/>
      <c r="P560" s="1359"/>
      <c r="Q560" s="1361"/>
      <c r="R560" s="1362"/>
      <c r="S560" s="1363"/>
      <c r="T560" s="1361"/>
      <c r="U560" s="1362"/>
      <c r="V560" s="1363"/>
      <c r="W560" s="1622"/>
      <c r="X560" s="1623"/>
      <c r="Y560" s="1624"/>
      <c r="Z560" s="1364" t="s">
        <v>1327</v>
      </c>
      <c r="AA560" s="1364"/>
      <c r="AB560" s="1364"/>
      <c r="AC560" s="1364"/>
      <c r="AD560" s="1364"/>
      <c r="AE560" s="1807"/>
      <c r="AF560" s="1808"/>
      <c r="AG560" s="1808"/>
      <c r="AH560" s="1809"/>
      <c r="AI560" s="1813"/>
      <c r="AJ560" s="1814"/>
      <c r="AK560" s="1814"/>
      <c r="AL560" s="1815"/>
      <c r="AM560" s="1810"/>
      <c r="AN560" s="1811"/>
      <c r="AO560" s="1811"/>
      <c r="AP560" s="1811"/>
      <c r="AQ560" s="1811"/>
      <c r="AR560" s="1811"/>
      <c r="AS560" s="1812"/>
      <c r="AT560" s="1200" t="str">
        <f t="shared" si="2"/>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744"/>
      <c r="D561" s="1744"/>
      <c r="E561" s="1744"/>
      <c r="F561" s="1744"/>
      <c r="G561" s="1744"/>
      <c r="H561" s="1744"/>
      <c r="I561" s="1744"/>
      <c r="J561" s="1744"/>
      <c r="K561" s="1744"/>
      <c r="L561" s="1744"/>
      <c r="M561" s="1359" t="s">
        <v>1327</v>
      </c>
      <c r="N561" s="1359"/>
      <c r="O561" s="1359"/>
      <c r="P561" s="1359"/>
      <c r="Q561" s="1361"/>
      <c r="R561" s="1362"/>
      <c r="S561" s="1363"/>
      <c r="T561" s="1361"/>
      <c r="U561" s="1362"/>
      <c r="V561" s="1363"/>
      <c r="W561" s="1622"/>
      <c r="X561" s="1623"/>
      <c r="Y561" s="1624"/>
      <c r="Z561" s="1364" t="s">
        <v>1327</v>
      </c>
      <c r="AA561" s="1364"/>
      <c r="AB561" s="1364"/>
      <c r="AC561" s="1364"/>
      <c r="AD561" s="1364"/>
      <c r="AE561" s="1807"/>
      <c r="AF561" s="1808"/>
      <c r="AG561" s="1808"/>
      <c r="AH561" s="1809"/>
      <c r="AI561" s="1813"/>
      <c r="AJ561" s="1814"/>
      <c r="AK561" s="1814"/>
      <c r="AL561" s="1815"/>
      <c r="AM561" s="1810"/>
      <c r="AN561" s="1811"/>
      <c r="AO561" s="1811"/>
      <c r="AP561" s="1811"/>
      <c r="AQ561" s="1811"/>
      <c r="AR561" s="1811"/>
      <c r="AS561" s="1812"/>
      <c r="AT561" s="1200" t="str">
        <f t="shared" si="2"/>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6"/>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145720553</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351" t="str">
        <f>C550</f>
        <v>Silicon Valley Bank Tax Exempt Construction Loan</v>
      </c>
      <c r="H564" s="1351"/>
      <c r="I564" s="1351"/>
      <c r="J564" s="1351"/>
      <c r="K564" s="1351"/>
      <c r="L564" s="1351"/>
      <c r="M564" s="1351"/>
      <c r="N564" s="1351"/>
      <c r="O564" s="1351"/>
      <c r="P564" s="1351"/>
      <c r="Q564" s="1351"/>
      <c r="R564" s="1351"/>
      <c r="S564" s="8"/>
      <c r="T564" s="55" t="s">
        <v>114</v>
      </c>
      <c r="U564" t="s">
        <v>472</v>
      </c>
      <c r="Z564" s="1351" t="str">
        <f>C551</f>
        <v>Silicon Valley Bank Taxable Construction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2" t="s">
        <v>2752</v>
      </c>
      <c r="H565" s="1352"/>
      <c r="I565" s="1352"/>
      <c r="J565" s="1352"/>
      <c r="K565" s="1352"/>
      <c r="L565" s="1352"/>
      <c r="M565" s="1352"/>
      <c r="N565" s="1352"/>
      <c r="O565" s="1352"/>
      <c r="P565" s="1352"/>
      <c r="Q565" s="1352"/>
      <c r="R565" s="1352"/>
      <c r="S565" s="8"/>
      <c r="T565" s="22"/>
      <c r="U565" t="s">
        <v>86</v>
      </c>
      <c r="Z565" s="1352" t="str">
        <f>G565</f>
        <v>3003 Tasman Dr.</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352" t="s">
        <v>194</v>
      </c>
      <c r="H566" s="1352"/>
      <c r="I566" s="1352"/>
      <c r="J566" s="1352"/>
      <c r="K566" s="1352"/>
      <c r="L566" s="1352"/>
      <c r="M566" s="1352"/>
      <c r="N566" s="1352"/>
      <c r="O566" s="1352"/>
      <c r="P566" s="1352"/>
      <c r="Q566" s="1352"/>
      <c r="R566" s="1352"/>
      <c r="T566" s="22"/>
      <c r="U566" t="s">
        <v>589</v>
      </c>
      <c r="Z566" s="1360" t="str">
        <f>G566</f>
        <v>Santa Clara</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2" t="s">
        <v>2751</v>
      </c>
      <c r="H567" s="1352"/>
      <c r="I567" s="1352"/>
      <c r="J567" s="1352"/>
      <c r="K567" s="1352"/>
      <c r="L567" s="1352"/>
      <c r="M567" s="1352"/>
      <c r="N567" s="1352"/>
      <c r="O567" s="1352"/>
      <c r="P567" s="1352"/>
      <c r="Q567" s="1352"/>
      <c r="R567" s="1352"/>
      <c r="S567" s="8"/>
      <c r="T567" s="22"/>
      <c r="U567" t="s">
        <v>17</v>
      </c>
      <c r="Z567" s="1360" t="str">
        <f>G567</f>
        <v>Katie Fisher</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54" t="s">
        <v>2750</v>
      </c>
      <c r="H568" s="1355"/>
      <c r="I568" s="1355"/>
      <c r="J568" s="1355"/>
      <c r="K568" s="1355"/>
      <c r="L568" s="1355"/>
      <c r="O568" s="33" t="s">
        <v>208</v>
      </c>
      <c r="P568" s="1350"/>
      <c r="Q568" s="1350"/>
      <c r="R568" s="1350"/>
      <c r="S568" s="10"/>
      <c r="T568" s="22"/>
      <c r="U568" t="s">
        <v>318</v>
      </c>
      <c r="Z568" s="1354" t="str">
        <f>G568</f>
        <v>415.545.9366</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2" t="s">
        <v>2753</v>
      </c>
      <c r="I569" s="1352"/>
      <c r="J569" s="1352"/>
      <c r="K569" s="1352"/>
      <c r="L569" s="1352"/>
      <c r="M569" s="1352"/>
      <c r="N569" s="1352"/>
      <c r="O569" s="1352"/>
      <c r="P569" s="1352"/>
      <c r="Q569" s="1352"/>
      <c r="R569" s="1352"/>
      <c r="S569" s="8"/>
      <c r="T569" s="22"/>
      <c r="U569" t="s">
        <v>18</v>
      </c>
      <c r="AA569" s="1352" t="s">
        <v>2754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8" t="s">
        <v>1328</v>
      </c>
      <c r="H570" s="8"/>
      <c r="I570" s="8"/>
      <c r="J570" s="8"/>
      <c r="K570" s="8"/>
      <c r="L570" s="8"/>
      <c r="M570" s="1664"/>
      <c r="N570" s="1664"/>
      <c r="O570" s="1664"/>
      <c r="P570" s="1664"/>
      <c r="Q570" s="1664"/>
      <c r="R570" s="1664"/>
      <c r="S570" s="8"/>
      <c r="T570" s="22"/>
      <c r="U570" s="348" t="s">
        <v>1328</v>
      </c>
      <c r="AA570" s="8"/>
      <c r="AB570" s="8"/>
      <c r="AC570" s="8"/>
      <c r="AD570" s="8"/>
      <c r="AE570" s="8"/>
      <c r="AF570" s="1664"/>
      <c r="AG570" s="1664"/>
      <c r="AH570" s="1664"/>
      <c r="AI570" s="1664"/>
      <c r="AJ570" s="1664"/>
      <c r="AK570" s="16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351" t="str">
        <f>C552</f>
        <v>City of Sunnyvale</v>
      </c>
      <c r="H573" s="1351"/>
      <c r="I573" s="1351"/>
      <c r="J573" s="1351"/>
      <c r="K573" s="1351"/>
      <c r="L573" s="1351"/>
      <c r="M573" s="1351"/>
      <c r="N573" s="1351"/>
      <c r="O573" s="1351"/>
      <c r="P573" s="1351"/>
      <c r="Q573" s="1351"/>
      <c r="R573" s="1351"/>
      <c r="T573" s="55" t="s">
        <v>590</v>
      </c>
      <c r="U573" t="s">
        <v>472</v>
      </c>
      <c r="Z573" s="1351" t="str">
        <f>C553</f>
        <v>Santa Clara County</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2" t="s">
        <v>2744</v>
      </c>
      <c r="H574" s="1352"/>
      <c r="I574" s="1352"/>
      <c r="J574" s="1352"/>
      <c r="K574" s="1352"/>
      <c r="L574" s="1352"/>
      <c r="M574" s="1352"/>
      <c r="N574" s="1352"/>
      <c r="O574" s="1352"/>
      <c r="P574" s="1352"/>
      <c r="Q574" s="1352"/>
      <c r="R574" s="1352"/>
      <c r="T574" s="22"/>
      <c r="U574" t="s">
        <v>86</v>
      </c>
      <c r="Z574" s="1365" t="s">
        <v>2746</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360" t="s">
        <v>2666</v>
      </c>
      <c r="H575" s="1360"/>
      <c r="I575" s="1360"/>
      <c r="J575" s="1360"/>
      <c r="K575" s="1360"/>
      <c r="L575" s="1360"/>
      <c r="M575" s="1360"/>
      <c r="N575" s="1360"/>
      <c r="O575" s="1360"/>
      <c r="P575" s="1360"/>
      <c r="Q575" s="1360"/>
      <c r="R575" s="1360"/>
      <c r="T575" s="22"/>
      <c r="U575" t="s">
        <v>589</v>
      </c>
      <c r="Z575" s="1360" t="s">
        <v>2747</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0" t="s">
        <v>2672</v>
      </c>
      <c r="H576" s="1360"/>
      <c r="I576" s="1360"/>
      <c r="J576" s="1360"/>
      <c r="K576" s="1360"/>
      <c r="L576" s="1360"/>
      <c r="M576" s="1360"/>
      <c r="N576" s="1360"/>
      <c r="O576" s="1360"/>
      <c r="P576" s="1360"/>
      <c r="Q576" s="1360"/>
      <c r="R576" s="1360"/>
      <c r="T576" s="22"/>
      <c r="U576" t="s">
        <v>17</v>
      </c>
      <c r="Z576" s="1360" t="s">
        <v>2748</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54" t="s">
        <v>2669</v>
      </c>
      <c r="H577" s="1355"/>
      <c r="I577" s="1355"/>
      <c r="J577" s="1355"/>
      <c r="K577" s="1355"/>
      <c r="L577" s="1355"/>
      <c r="O577" s="33" t="s">
        <v>208</v>
      </c>
      <c r="P577" s="1350"/>
      <c r="Q577" s="1350"/>
      <c r="R577" s="1350"/>
      <c r="T577" s="22"/>
      <c r="U577" t="s">
        <v>318</v>
      </c>
      <c r="Z577" s="1354" t="s">
        <v>2749</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2" t="s">
        <v>2745</v>
      </c>
      <c r="I578" s="1352"/>
      <c r="J578" s="1352"/>
      <c r="K578" s="1352"/>
      <c r="L578" s="1352"/>
      <c r="M578" s="1352"/>
      <c r="N578" s="1352"/>
      <c r="O578" s="1352"/>
      <c r="P578" s="1352"/>
      <c r="Q578" s="1352"/>
      <c r="R578" s="1352"/>
      <c r="T578" s="22"/>
      <c r="U578" t="s">
        <v>18</v>
      </c>
      <c r="AA578" s="1352" t="s">
        <v>2745</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351" t="str">
        <f>C554</f>
        <v>Accrued Deferred Interest</v>
      </c>
      <c r="H581" s="1351"/>
      <c r="I581" s="1351"/>
      <c r="J581" s="1351"/>
      <c r="K581" s="1351"/>
      <c r="L581" s="1351"/>
      <c r="M581" s="1351"/>
      <c r="N581" s="1351"/>
      <c r="O581" s="1351"/>
      <c r="P581" s="1351"/>
      <c r="Q581" s="1351"/>
      <c r="R581" s="1351"/>
      <c r="T581" s="55" t="s">
        <v>593</v>
      </c>
      <c r="U581" t="s">
        <v>472</v>
      </c>
      <c r="Z581" s="1351" t="str">
        <f>C555</f>
        <v>Limited Partner Equity</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2"/>
      <c r="H582" s="1352"/>
      <c r="I582" s="1352"/>
      <c r="J582" s="1352"/>
      <c r="K582" s="1352"/>
      <c r="L582" s="1352"/>
      <c r="M582" s="1352"/>
      <c r="N582" s="1352"/>
      <c r="O582" s="1352"/>
      <c r="P582" s="1352"/>
      <c r="Q582" s="1352"/>
      <c r="R582" s="1352"/>
      <c r="T582" s="22"/>
      <c r="U582" t="s">
        <v>86</v>
      </c>
      <c r="Z582" s="1408" t="s">
        <v>2715</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352"/>
      <c r="H583" s="1352"/>
      <c r="I583" s="1352"/>
      <c r="J583" s="1352"/>
      <c r="K583" s="1352"/>
      <c r="L583" s="1352"/>
      <c r="M583" s="1352"/>
      <c r="N583" s="1352"/>
      <c r="O583" s="1352"/>
      <c r="P583" s="1352"/>
      <c r="Q583" s="1352"/>
      <c r="R583" s="1352"/>
      <c r="T583" s="22"/>
      <c r="U583" t="s">
        <v>589</v>
      </c>
      <c r="Z583" s="1360"/>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2"/>
      <c r="H584" s="1352"/>
      <c r="I584" s="1352"/>
      <c r="J584" s="1352"/>
      <c r="K584" s="1352"/>
      <c r="L584" s="1352"/>
      <c r="M584" s="1352"/>
      <c r="N584" s="1352"/>
      <c r="O584" s="1352"/>
      <c r="P584" s="1352"/>
      <c r="Q584" s="1352"/>
      <c r="R584" s="1352"/>
      <c r="T584" s="22"/>
      <c r="U584" t="s">
        <v>17</v>
      </c>
      <c r="Z584" s="1360"/>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55"/>
      <c r="H585" s="1355"/>
      <c r="I585" s="1355"/>
      <c r="J585" s="1355"/>
      <c r="K585" s="1355"/>
      <c r="L585" s="1355"/>
      <c r="O585" s="33" t="s">
        <v>208</v>
      </c>
      <c r="P585" s="1350"/>
      <c r="Q585" s="1350"/>
      <c r="R585" s="1350"/>
      <c r="T585" s="22"/>
      <c r="U585" t="s">
        <v>318</v>
      </c>
      <c r="Z585" s="1355"/>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2"/>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3" t="s">
        <v>554</v>
      </c>
      <c r="O587" s="1353"/>
      <c r="T587" s="22"/>
      <c r="U587" t="s">
        <v>20</v>
      </c>
      <c r="AG587" s="1353" t="s">
        <v>678</v>
      </c>
      <c r="AH587" s="135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351" t="str">
        <f>C556</f>
        <v>City of Sunnyvale - Land Value</v>
      </c>
      <c r="H589" s="1351"/>
      <c r="I589" s="1351"/>
      <c r="J589" s="1351"/>
      <c r="K589" s="1351"/>
      <c r="L589" s="1351"/>
      <c r="M589" s="1351"/>
      <c r="N589" s="1351"/>
      <c r="O589" s="1351"/>
      <c r="P589" s="1351"/>
      <c r="Q589" s="1351"/>
      <c r="R589" s="1351"/>
      <c r="T589" s="55" t="s">
        <v>465</v>
      </c>
      <c r="U589" t="s">
        <v>472</v>
      </c>
      <c r="Z589" s="1351" t="str">
        <f>C557</f>
        <v>GP Equity</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2" t="s">
        <v>2744</v>
      </c>
      <c r="H590" s="1352"/>
      <c r="I590" s="1352"/>
      <c r="J590" s="1352"/>
      <c r="K590" s="1352"/>
      <c r="L590" s="1352"/>
      <c r="M590" s="1352"/>
      <c r="N590" s="1352"/>
      <c r="O590" s="1352"/>
      <c r="P590" s="1352"/>
      <c r="Q590" s="1352"/>
      <c r="R590" s="1352"/>
      <c r="T590" s="22"/>
      <c r="U590" t="s">
        <v>86</v>
      </c>
      <c r="Z590" s="1408" t="s">
        <v>2769</v>
      </c>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352" t="s">
        <v>2666</v>
      </c>
      <c r="H591" s="1352"/>
      <c r="I591" s="1352"/>
      <c r="J591" s="1352"/>
      <c r="K591" s="1352"/>
      <c r="L591" s="1352"/>
      <c r="M591" s="1352"/>
      <c r="N591" s="1352"/>
      <c r="O591" s="1352"/>
      <c r="P591" s="1352"/>
      <c r="Q591" s="1352"/>
      <c r="R591" s="1352"/>
      <c r="T591" s="22"/>
      <c r="U591" t="s">
        <v>589</v>
      </c>
      <c r="Z591" s="1629" t="s">
        <v>2663</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2" t="s">
        <v>2672</v>
      </c>
      <c r="H592" s="1352"/>
      <c r="I592" s="1352"/>
      <c r="J592" s="1352"/>
      <c r="K592" s="1352"/>
      <c r="L592" s="1352"/>
      <c r="M592" s="1352"/>
      <c r="N592" s="1352"/>
      <c r="O592" s="1352"/>
      <c r="P592" s="1352"/>
      <c r="Q592" s="1352"/>
      <c r="R592" s="1352"/>
      <c r="T592" s="22"/>
      <c r="U592" t="s">
        <v>17</v>
      </c>
      <c r="Z592" s="1629" t="s">
        <v>2770</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55" t="s">
        <v>2669</v>
      </c>
      <c r="H593" s="1355"/>
      <c r="I593" s="1355"/>
      <c r="J593" s="1355"/>
      <c r="K593" s="1355"/>
      <c r="L593" s="1355"/>
      <c r="M593"/>
      <c r="N593"/>
      <c r="O593" s="33" t="s">
        <v>208</v>
      </c>
      <c r="P593" s="1350"/>
      <c r="Q593" s="1350"/>
      <c r="R593" s="1350"/>
      <c r="S593"/>
      <c r="T593" s="22"/>
      <c r="U593" t="s">
        <v>318</v>
      </c>
      <c r="V593"/>
      <c r="W593"/>
      <c r="X593"/>
      <c r="Y593"/>
      <c r="Z593" s="1354" t="s">
        <v>2678</v>
      </c>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2" t="s">
        <v>2745</v>
      </c>
      <c r="I594" s="1352"/>
      <c r="J594" s="1352"/>
      <c r="K594" s="1352"/>
      <c r="L594" s="1352"/>
      <c r="M594" s="1352"/>
      <c r="N594" s="1352"/>
      <c r="O594" s="1352"/>
      <c r="P594" s="1352"/>
      <c r="Q594" s="1352"/>
      <c r="R594" s="1352"/>
      <c r="S594"/>
      <c r="T594" s="22"/>
      <c r="U594" t="s">
        <v>18</v>
      </c>
      <c r="V594"/>
      <c r="W594"/>
      <c r="X594"/>
      <c r="Y594"/>
      <c r="Z594"/>
      <c r="AA594" s="1408" t="s">
        <v>2760</v>
      </c>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3" t="s">
        <v>554</v>
      </c>
      <c r="O595" s="1353"/>
      <c r="P595"/>
      <c r="Q595"/>
      <c r="R595"/>
      <c r="S595"/>
      <c r="T595" s="22"/>
      <c r="U595" t="s">
        <v>20</v>
      </c>
      <c r="V595"/>
      <c r="W595"/>
      <c r="X595"/>
      <c r="Y595"/>
      <c r="Z595"/>
      <c r="AA595"/>
      <c r="AB595"/>
      <c r="AC595"/>
      <c r="AD595"/>
      <c r="AE595"/>
      <c r="AF595"/>
      <c r="AG595" s="1353" t="s">
        <v>554</v>
      </c>
      <c r="AH595" s="1353"/>
      <c r="AI595"/>
      <c r="AJ595"/>
      <c r="AK595"/>
      <c r="AL595"/>
      <c r="AM595"/>
      <c r="AN595"/>
      <c r="AO595"/>
      <c r="AP595"/>
      <c r="AQ595"/>
      <c r="AR595"/>
      <c r="AS595"/>
      <c r="AT595"/>
      <c r="AU595"/>
      <c r="AV595"/>
      <c r="AW595"/>
      <c r="AX595"/>
      <c r="AY595"/>
      <c r="BA595" s="4" t="s">
        <v>326</v>
      </c>
      <c r="BB595" s="3"/>
      <c r="BC595" s="3"/>
      <c r="BD595" s="3"/>
      <c r="BE595" s="121" t="s">
        <v>483</v>
      </c>
      <c r="BF595" s="122"/>
      <c r="BG595" s="1431"/>
      <c r="BH595" s="1432"/>
      <c r="BI595" s="121" t="s">
        <v>484</v>
      </c>
      <c r="BJ595" s="122"/>
      <c r="BK595" s="1431"/>
      <c r="BL595" s="1432"/>
      <c r="BM595" s="3"/>
      <c r="BN595" s="1478" t="s">
        <v>642</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642</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642</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3">IF(AND(AC714&lt;=0.5,AC714&gt;=0.36),1,0)</f>
        <v>0</v>
      </c>
      <c r="BF596" s="1420"/>
      <c r="BG596" s="1431">
        <f t="shared" ref="BG596:BG620" si="4">IF(BE596=1,G714,0)</f>
        <v>0</v>
      </c>
      <c r="BH596" s="1432"/>
      <c r="BI596" s="1418">
        <f t="shared" ref="BI596:BI620" si="5">IF(AND(AC714&lt;=0.35,AC714&gt;0),1,0)</f>
        <v>1</v>
      </c>
      <c r="BJ596" s="1420"/>
      <c r="BK596" s="1431">
        <f t="shared" ref="BK596:BK620" si="6">IF(BI596=1,G714,0)</f>
        <v>20</v>
      </c>
      <c r="BL596" s="1432"/>
      <c r="BM596" s="3"/>
      <c r="BN596" s="1412">
        <f t="shared" ref="BN596:BN620" si="7">IF(B714="SRO/Studio",G714,0)</f>
        <v>20</v>
      </c>
      <c r="BO596" s="1413"/>
      <c r="BP596" s="1413"/>
      <c r="BQ596" s="1413"/>
      <c r="BR596" s="1414"/>
      <c r="BS596" s="1421">
        <f t="shared" ref="BS596:BS620" si="8">IF(B714="1 Bedroom",G714,0)</f>
        <v>0</v>
      </c>
      <c r="BT596" s="1421"/>
      <c r="BU596" s="1421"/>
      <c r="BV596" s="1421"/>
      <c r="BW596" s="1421"/>
      <c r="BX596" s="1421">
        <f t="shared" ref="BX596:BX620" si="9">IF(B714="2 Bedrooms",G714,0)</f>
        <v>0</v>
      </c>
      <c r="BY596" s="1421"/>
      <c r="BZ596" s="1421"/>
      <c r="CA596" s="1421"/>
      <c r="CB596" s="1421"/>
      <c r="CC596" s="1421">
        <f t="shared" ref="CC596:CC620" si="10">IF(B714="3 Bedrooms",G714,0)</f>
        <v>0</v>
      </c>
      <c r="CD596" s="1421"/>
      <c r="CE596" s="1421"/>
      <c r="CF596" s="1421"/>
      <c r="CG596" s="1421"/>
      <c r="CH596" s="1421">
        <f t="shared" ref="CH596:CH620" si="11">IF(B714="4 Bedrooms",G714,0)</f>
        <v>0</v>
      </c>
      <c r="CI596" s="1421"/>
      <c r="CJ596" s="1421"/>
      <c r="CK596" s="1421"/>
      <c r="CL596" s="1421"/>
      <c r="CM596" s="1421">
        <f t="shared" ref="CM596:CM620" si="12">IF(B714="5 Bedrooms",G714,0)</f>
        <v>0</v>
      </c>
      <c r="CN596" s="1421"/>
      <c r="CO596" s="1421"/>
      <c r="CP596" s="1421"/>
      <c r="CQ596" s="1421"/>
      <c r="CR596" s="6"/>
      <c r="CS596" s="1422">
        <f t="shared" ref="CS596:CS620" si="13">IF(AND(B714="SRO/Studio",AC714&lt;=0.3),G714,0)</f>
        <v>20</v>
      </c>
      <c r="CT596" s="1422"/>
      <c r="CU596" s="1422"/>
      <c r="CV596" s="1422"/>
      <c r="CW596" s="1422"/>
      <c r="CX596" s="1422">
        <f t="shared" ref="CX596:CX620" si="14">IF(AND(B714="1 Bedroom",AC714&lt;=0.3),G714,0)</f>
        <v>0</v>
      </c>
      <c r="CY596" s="1422"/>
      <c r="CZ596" s="1422"/>
      <c r="DA596" s="1422"/>
      <c r="DB596" s="1422"/>
      <c r="DC596" s="1422">
        <f t="shared" ref="DC596:DC620" si="15">IF(AND(B714="2 Bedrooms",AC714&lt;=0.3),G714,0)</f>
        <v>0</v>
      </c>
      <c r="DD596" s="1422"/>
      <c r="DE596" s="1422"/>
      <c r="DF596" s="1422"/>
      <c r="DG596" s="1422"/>
      <c r="DH596" s="1422">
        <f t="shared" ref="DH596:DH620" si="16">IF(AND(B714="3 Bedrooms",AC714&lt;=0.3),G714,0)</f>
        <v>0</v>
      </c>
      <c r="DI596" s="1422"/>
      <c r="DJ596" s="1422"/>
      <c r="DK596" s="1422"/>
      <c r="DL596" s="1422"/>
      <c r="DM596" s="1422">
        <f t="shared" ref="DM596:DM620" si="17">IF(AND(B714="4 Bedrooms",AC714&lt;=0.3),G714,0)</f>
        <v>0</v>
      </c>
      <c r="DN596" s="1422"/>
      <c r="DO596" s="1422"/>
      <c r="DP596" s="1422"/>
      <c r="DQ596" s="1422"/>
      <c r="DR596" s="1422">
        <f t="shared" ref="DR596:DR620" si="18">IF(AND(B714="5 Bedrooms",AC714&lt;=0.3),G714,0)</f>
        <v>0</v>
      </c>
      <c r="DS596" s="1422"/>
      <c r="DT596" s="1422"/>
      <c r="DU596" s="1422"/>
      <c r="DV596" s="1422"/>
      <c r="DX596" s="1418">
        <f t="shared" ref="DX596:DX620" si="19">IF(BN596&gt;0,O714," ")</f>
        <v>785</v>
      </c>
      <c r="DY596" s="1419"/>
      <c r="DZ596" s="1419"/>
      <c r="EA596" s="1419"/>
      <c r="EB596" s="1420"/>
      <c r="EC596" s="1418" t="str">
        <f t="shared" ref="EC596:EC620" si="20">IF(BS596&gt;0,O714," ")</f>
        <v xml:space="preserve"> </v>
      </c>
      <c r="ED596" s="1419"/>
      <c r="EE596" s="1419"/>
      <c r="EF596" s="1419"/>
      <c r="EG596" s="1420"/>
      <c r="EH596" s="1418" t="str">
        <f t="shared" ref="EH596:EH620" si="21">IF(BX596&gt;0,O714," ")</f>
        <v xml:space="preserve"> </v>
      </c>
      <c r="EI596" s="1419"/>
      <c r="EJ596" s="1419"/>
      <c r="EK596" s="1419"/>
      <c r="EL596" s="1420"/>
      <c r="EM596" s="1418" t="str">
        <f t="shared" ref="EM596:EM620" si="22">IF(CC596&gt;0,O714," ")</f>
        <v xml:space="preserve"> </v>
      </c>
      <c r="EN596" s="1419"/>
      <c r="EO596" s="1419"/>
      <c r="EP596" s="1419"/>
      <c r="EQ596" s="1420"/>
      <c r="ER596" s="1418" t="str">
        <f t="shared" ref="ER596:ER620" si="23">IF(CH596&gt;0,O714," ")</f>
        <v xml:space="preserve"> </v>
      </c>
      <c r="ES596" s="1419"/>
      <c r="ET596" s="1419"/>
      <c r="EU596" s="1419"/>
      <c r="EV596" s="1420"/>
      <c r="EW596" s="1418" t="str">
        <f t="shared" ref="EW596:EW620" si="24">IF(CM596&gt;0,O714," ")</f>
        <v xml:space="preserve"> </v>
      </c>
      <c r="EX596" s="1419"/>
      <c r="EY596" s="1419"/>
      <c r="EZ596" s="1419"/>
      <c r="FA596" s="1420"/>
    </row>
    <row r="597" spans="1:157" s="4" customFormat="1" ht="12.9"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8">
        <f t="shared" si="3"/>
        <v>0</v>
      </c>
      <c r="BF597" s="1420"/>
      <c r="BG597" s="1431">
        <f t="shared" si="4"/>
        <v>0</v>
      </c>
      <c r="BH597" s="1432"/>
      <c r="BI597" s="1418">
        <f t="shared" si="5"/>
        <v>1</v>
      </c>
      <c r="BJ597" s="1420"/>
      <c r="BK597" s="1431">
        <f t="shared" si="6"/>
        <v>10</v>
      </c>
      <c r="BL597" s="1432"/>
      <c r="BM597" s="3"/>
      <c r="BN597" s="1412">
        <f t="shared" si="7"/>
        <v>10</v>
      </c>
      <c r="BO597" s="1413"/>
      <c r="BP597" s="1413"/>
      <c r="BQ597" s="1413"/>
      <c r="BR597" s="1414"/>
      <c r="BS597" s="1421">
        <f t="shared" si="8"/>
        <v>0</v>
      </c>
      <c r="BT597" s="1421"/>
      <c r="BU597" s="1421"/>
      <c r="BV597" s="1421"/>
      <c r="BW597" s="1421"/>
      <c r="BX597" s="1421">
        <f t="shared" si="9"/>
        <v>0</v>
      </c>
      <c r="BY597" s="1421"/>
      <c r="BZ597" s="1421"/>
      <c r="CA597" s="1421"/>
      <c r="CB597" s="1421"/>
      <c r="CC597" s="1421">
        <f t="shared" si="10"/>
        <v>0</v>
      </c>
      <c r="CD597" s="1421"/>
      <c r="CE597" s="1421"/>
      <c r="CF597" s="1421"/>
      <c r="CG597" s="1421"/>
      <c r="CH597" s="1421">
        <f t="shared" si="11"/>
        <v>0</v>
      </c>
      <c r="CI597" s="1421"/>
      <c r="CJ597" s="1421"/>
      <c r="CK597" s="1421"/>
      <c r="CL597" s="1421"/>
      <c r="CM597" s="1421">
        <f t="shared" si="12"/>
        <v>0</v>
      </c>
      <c r="CN597" s="1421"/>
      <c r="CO597" s="1421"/>
      <c r="CP597" s="1421"/>
      <c r="CQ597" s="1421"/>
      <c r="CR597" s="6"/>
      <c r="CS597" s="1422">
        <f t="shared" si="13"/>
        <v>10</v>
      </c>
      <c r="CT597" s="1422"/>
      <c r="CU597" s="1422"/>
      <c r="CV597" s="1422"/>
      <c r="CW597" s="1422"/>
      <c r="CX597" s="1422">
        <f t="shared" si="14"/>
        <v>0</v>
      </c>
      <c r="CY597" s="1422"/>
      <c r="CZ597" s="1422"/>
      <c r="DA597" s="1422"/>
      <c r="DB597" s="1422"/>
      <c r="DC597" s="1422">
        <f t="shared" si="15"/>
        <v>0</v>
      </c>
      <c r="DD597" s="1422"/>
      <c r="DE597" s="1422"/>
      <c r="DF597" s="1422"/>
      <c r="DG597" s="1422"/>
      <c r="DH597" s="1422">
        <f t="shared" si="16"/>
        <v>0</v>
      </c>
      <c r="DI597" s="1422"/>
      <c r="DJ597" s="1422"/>
      <c r="DK597" s="1422"/>
      <c r="DL597" s="1422"/>
      <c r="DM597" s="1422">
        <f t="shared" si="17"/>
        <v>0</v>
      </c>
      <c r="DN597" s="1422"/>
      <c r="DO597" s="1422"/>
      <c r="DP597" s="1422"/>
      <c r="DQ597" s="1422"/>
      <c r="DR597" s="1422">
        <f t="shared" si="18"/>
        <v>0</v>
      </c>
      <c r="DS597" s="1422"/>
      <c r="DT597" s="1422"/>
      <c r="DU597" s="1422"/>
      <c r="DV597" s="1422"/>
      <c r="DX597" s="1418">
        <f t="shared" si="19"/>
        <v>785</v>
      </c>
      <c r="DY597" s="1419"/>
      <c r="DZ597" s="1419"/>
      <c r="EA597" s="1419"/>
      <c r="EB597" s="1420"/>
      <c r="EC597" s="1418" t="str">
        <f t="shared" si="20"/>
        <v xml:space="preserve"> </v>
      </c>
      <c r="ED597" s="1419"/>
      <c r="EE597" s="1419"/>
      <c r="EF597" s="1419"/>
      <c r="EG597" s="1420"/>
      <c r="EH597" s="1418" t="str">
        <f t="shared" si="21"/>
        <v xml:space="preserve"> </v>
      </c>
      <c r="EI597" s="1419"/>
      <c r="EJ597" s="1419"/>
      <c r="EK597" s="1419"/>
      <c r="EL597" s="1420"/>
      <c r="EM597" s="1418" t="str">
        <f t="shared" si="22"/>
        <v xml:space="preserve"> </v>
      </c>
      <c r="EN597" s="1419"/>
      <c r="EO597" s="1419"/>
      <c r="EP597" s="1419"/>
      <c r="EQ597" s="1420"/>
      <c r="ER597" s="1418" t="str">
        <f t="shared" si="23"/>
        <v xml:space="preserve"> </v>
      </c>
      <c r="ES597" s="1419"/>
      <c r="ET597" s="1419"/>
      <c r="EU597" s="1419"/>
      <c r="EV597" s="1420"/>
      <c r="EW597" s="1418" t="str">
        <f t="shared" si="24"/>
        <v xml:space="preserve"> </v>
      </c>
      <c r="EX597" s="1419"/>
      <c r="EY597" s="1419"/>
      <c r="EZ597" s="1419"/>
      <c r="FA597" s="1420"/>
    </row>
    <row r="598" spans="1:157" ht="12.9"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8">
        <f t="shared" si="3"/>
        <v>1</v>
      </c>
      <c r="BF598" s="1420"/>
      <c r="BG598" s="1431">
        <f t="shared" si="4"/>
        <v>5</v>
      </c>
      <c r="BH598" s="1432"/>
      <c r="BI598" s="1418">
        <f t="shared" si="5"/>
        <v>0</v>
      </c>
      <c r="BJ598" s="1420"/>
      <c r="BK598" s="1431">
        <f t="shared" si="6"/>
        <v>0</v>
      </c>
      <c r="BL598" s="1432"/>
      <c r="BM598" s="3"/>
      <c r="BN598" s="1412">
        <f t="shared" si="7"/>
        <v>5</v>
      </c>
      <c r="BO598" s="1413"/>
      <c r="BP598" s="1413"/>
      <c r="BQ598" s="1413"/>
      <c r="BR598" s="1414"/>
      <c r="BS598" s="1421">
        <f t="shared" si="8"/>
        <v>0</v>
      </c>
      <c r="BT598" s="1421"/>
      <c r="BU598" s="1421"/>
      <c r="BV598" s="1421"/>
      <c r="BW598" s="1421"/>
      <c r="BX598" s="1421">
        <f t="shared" si="9"/>
        <v>0</v>
      </c>
      <c r="BY598" s="1421"/>
      <c r="BZ598" s="1421"/>
      <c r="CA598" s="1421"/>
      <c r="CB598" s="1421"/>
      <c r="CC598" s="1421">
        <f t="shared" si="10"/>
        <v>0</v>
      </c>
      <c r="CD598" s="1421"/>
      <c r="CE598" s="1421"/>
      <c r="CF598" s="1421"/>
      <c r="CG598" s="1421"/>
      <c r="CH598" s="1421">
        <f t="shared" si="11"/>
        <v>0</v>
      </c>
      <c r="CI598" s="1421"/>
      <c r="CJ598" s="1421"/>
      <c r="CK598" s="1421"/>
      <c r="CL598" s="1421"/>
      <c r="CM598" s="1421">
        <f t="shared" si="12"/>
        <v>0</v>
      </c>
      <c r="CN598" s="1421"/>
      <c r="CO598" s="1421"/>
      <c r="CP598" s="1421"/>
      <c r="CQ598" s="1421"/>
      <c r="CR598" s="6"/>
      <c r="CS598" s="1422">
        <f t="shared" si="13"/>
        <v>0</v>
      </c>
      <c r="CT598" s="1422"/>
      <c r="CU598" s="1422"/>
      <c r="CV598" s="1422"/>
      <c r="CW598" s="1422"/>
      <c r="CX598" s="1422">
        <f t="shared" si="14"/>
        <v>0</v>
      </c>
      <c r="CY598" s="1422"/>
      <c r="CZ598" s="1422"/>
      <c r="DA598" s="1422"/>
      <c r="DB598" s="1422"/>
      <c r="DC598" s="1422">
        <f t="shared" si="15"/>
        <v>0</v>
      </c>
      <c r="DD598" s="1422"/>
      <c r="DE598" s="1422"/>
      <c r="DF598" s="1422"/>
      <c r="DG598" s="1422"/>
      <c r="DH598" s="1422">
        <f t="shared" si="16"/>
        <v>0</v>
      </c>
      <c r="DI598" s="1422"/>
      <c r="DJ598" s="1422"/>
      <c r="DK598" s="1422"/>
      <c r="DL598" s="1422"/>
      <c r="DM598" s="1422">
        <f t="shared" si="17"/>
        <v>0</v>
      </c>
      <c r="DN598" s="1422"/>
      <c r="DO598" s="1422"/>
      <c r="DP598" s="1422"/>
      <c r="DQ598" s="1422"/>
      <c r="DR598" s="1422">
        <f t="shared" si="18"/>
        <v>0</v>
      </c>
      <c r="DS598" s="1422"/>
      <c r="DT598" s="1422"/>
      <c r="DU598" s="1422"/>
      <c r="DV598" s="1422"/>
      <c r="DX598" s="1418">
        <f t="shared" si="19"/>
        <v>1080</v>
      </c>
      <c r="DY598" s="1419"/>
      <c r="DZ598" s="1419"/>
      <c r="EA598" s="1419"/>
      <c r="EB598" s="1420"/>
      <c r="EC598" s="1418" t="str">
        <f t="shared" si="20"/>
        <v xml:space="preserve"> </v>
      </c>
      <c r="ED598" s="1419"/>
      <c r="EE598" s="1419"/>
      <c r="EF598" s="1419"/>
      <c r="EG598" s="1420"/>
      <c r="EH598" s="1418" t="str">
        <f t="shared" si="21"/>
        <v xml:space="preserve"> </v>
      </c>
      <c r="EI598" s="1419"/>
      <c r="EJ598" s="1419"/>
      <c r="EK598" s="1419"/>
      <c r="EL598" s="1420"/>
      <c r="EM598" s="1418" t="str">
        <f t="shared" si="22"/>
        <v xml:space="preserve"> </v>
      </c>
      <c r="EN598" s="1419"/>
      <c r="EO598" s="1419"/>
      <c r="EP598" s="1419"/>
      <c r="EQ598" s="1420"/>
      <c r="ER598" s="1418" t="str">
        <f t="shared" si="23"/>
        <v xml:space="preserve"> </v>
      </c>
      <c r="ES598" s="1419"/>
      <c r="ET598" s="1419"/>
      <c r="EU598" s="1419"/>
      <c r="EV598" s="1420"/>
      <c r="EW598" s="1418" t="str">
        <f t="shared" si="24"/>
        <v xml:space="preserve"> </v>
      </c>
      <c r="EX598" s="1419"/>
      <c r="EY598" s="1419"/>
      <c r="EZ598" s="1419"/>
      <c r="FA598" s="1420"/>
    </row>
    <row r="599" spans="1:157" ht="12.9" customHeight="1">
      <c r="A599" s="22"/>
      <c r="B599" t="s">
        <v>589</v>
      </c>
      <c r="G599" s="1352"/>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8">
        <f t="shared" si="3"/>
        <v>1</v>
      </c>
      <c r="BF599" s="1420"/>
      <c r="BG599" s="1431">
        <f t="shared" si="4"/>
        <v>4</v>
      </c>
      <c r="BH599" s="1432"/>
      <c r="BI599" s="1418">
        <f t="shared" si="5"/>
        <v>0</v>
      </c>
      <c r="BJ599" s="1420"/>
      <c r="BK599" s="1431">
        <f t="shared" si="6"/>
        <v>0</v>
      </c>
      <c r="BL599" s="1432"/>
      <c r="BM599" s="3"/>
      <c r="BN599" s="1412">
        <f t="shared" si="7"/>
        <v>4</v>
      </c>
      <c r="BO599" s="1413"/>
      <c r="BP599" s="1413"/>
      <c r="BQ599" s="1413"/>
      <c r="BR599" s="1414"/>
      <c r="BS599" s="1421">
        <f t="shared" si="8"/>
        <v>0</v>
      </c>
      <c r="BT599" s="1421"/>
      <c r="BU599" s="1421"/>
      <c r="BV599" s="1421"/>
      <c r="BW599" s="1421"/>
      <c r="BX599" s="1421">
        <f t="shared" si="9"/>
        <v>0</v>
      </c>
      <c r="BY599" s="1421"/>
      <c r="BZ599" s="1421"/>
      <c r="CA599" s="1421"/>
      <c r="CB599" s="1421"/>
      <c r="CC599" s="1421">
        <f t="shared" si="10"/>
        <v>0</v>
      </c>
      <c r="CD599" s="1421"/>
      <c r="CE599" s="1421"/>
      <c r="CF599" s="1421"/>
      <c r="CG599" s="1421"/>
      <c r="CH599" s="1421">
        <f t="shared" si="11"/>
        <v>0</v>
      </c>
      <c r="CI599" s="1421"/>
      <c r="CJ599" s="1421"/>
      <c r="CK599" s="1421"/>
      <c r="CL599" s="1421"/>
      <c r="CM599" s="1421">
        <f t="shared" si="12"/>
        <v>0</v>
      </c>
      <c r="CN599" s="1421"/>
      <c r="CO599" s="1421"/>
      <c r="CP599" s="1421"/>
      <c r="CQ599" s="1421"/>
      <c r="CR599" s="6"/>
      <c r="CS599" s="1422">
        <f t="shared" si="13"/>
        <v>0</v>
      </c>
      <c r="CT599" s="1422"/>
      <c r="CU599" s="1422"/>
      <c r="CV599" s="1422"/>
      <c r="CW599" s="1422"/>
      <c r="CX599" s="1422">
        <f t="shared" si="14"/>
        <v>0</v>
      </c>
      <c r="CY599" s="1422"/>
      <c r="CZ599" s="1422"/>
      <c r="DA599" s="1422"/>
      <c r="DB599" s="1422"/>
      <c r="DC599" s="1422">
        <f t="shared" si="15"/>
        <v>0</v>
      </c>
      <c r="DD599" s="1422"/>
      <c r="DE599" s="1422"/>
      <c r="DF599" s="1422"/>
      <c r="DG599" s="1422"/>
      <c r="DH599" s="1422">
        <f t="shared" si="16"/>
        <v>0</v>
      </c>
      <c r="DI599" s="1422"/>
      <c r="DJ599" s="1422"/>
      <c r="DK599" s="1422"/>
      <c r="DL599" s="1422"/>
      <c r="DM599" s="1422">
        <f t="shared" si="17"/>
        <v>0</v>
      </c>
      <c r="DN599" s="1422"/>
      <c r="DO599" s="1422"/>
      <c r="DP599" s="1422"/>
      <c r="DQ599" s="1422"/>
      <c r="DR599" s="1422">
        <f t="shared" si="18"/>
        <v>0</v>
      </c>
      <c r="DS599" s="1422"/>
      <c r="DT599" s="1422"/>
      <c r="DU599" s="1422"/>
      <c r="DV599" s="1422"/>
      <c r="DX599" s="1418">
        <f t="shared" si="19"/>
        <v>1375</v>
      </c>
      <c r="DY599" s="1419"/>
      <c r="DZ599" s="1419"/>
      <c r="EA599" s="1419"/>
      <c r="EB599" s="1420"/>
      <c r="EC599" s="1418" t="str">
        <f t="shared" si="20"/>
        <v xml:space="preserve"> </v>
      </c>
      <c r="ED599" s="1419"/>
      <c r="EE599" s="1419"/>
      <c r="EF599" s="1419"/>
      <c r="EG599" s="1420"/>
      <c r="EH599" s="1418" t="str">
        <f t="shared" si="21"/>
        <v xml:space="preserve"> </v>
      </c>
      <c r="EI599" s="1419"/>
      <c r="EJ599" s="1419"/>
      <c r="EK599" s="1419"/>
      <c r="EL599" s="1420"/>
      <c r="EM599" s="1418" t="str">
        <f t="shared" si="22"/>
        <v xml:space="preserve"> </v>
      </c>
      <c r="EN599" s="1419"/>
      <c r="EO599" s="1419"/>
      <c r="EP599" s="1419"/>
      <c r="EQ599" s="1420"/>
      <c r="ER599" s="1418" t="str">
        <f t="shared" si="23"/>
        <v xml:space="preserve"> </v>
      </c>
      <c r="ES599" s="1419"/>
      <c r="ET599" s="1419"/>
      <c r="EU599" s="1419"/>
      <c r="EV599" s="1420"/>
      <c r="EW599" s="1418" t="str">
        <f t="shared" si="24"/>
        <v xml:space="preserve"> </v>
      </c>
      <c r="EX599" s="1419"/>
      <c r="EY599" s="1419"/>
      <c r="EZ599" s="1419"/>
      <c r="FA599" s="1420"/>
    </row>
    <row r="600" spans="1:157" ht="12.9"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8">
        <f t="shared" si="3"/>
        <v>0</v>
      </c>
      <c r="BF600" s="1420"/>
      <c r="BG600" s="1431">
        <f t="shared" si="4"/>
        <v>0</v>
      </c>
      <c r="BH600" s="1432"/>
      <c r="BI600" s="1418">
        <f t="shared" si="5"/>
        <v>1</v>
      </c>
      <c r="BJ600" s="1420"/>
      <c r="BK600" s="1431">
        <f t="shared" si="6"/>
        <v>20</v>
      </c>
      <c r="BL600" s="1432"/>
      <c r="BM600" s="3"/>
      <c r="BN600" s="1412">
        <f t="shared" si="7"/>
        <v>0</v>
      </c>
      <c r="BO600" s="1413"/>
      <c r="BP600" s="1413"/>
      <c r="BQ600" s="1413"/>
      <c r="BR600" s="1414"/>
      <c r="BS600" s="1421">
        <f t="shared" si="8"/>
        <v>20</v>
      </c>
      <c r="BT600" s="1421"/>
      <c r="BU600" s="1421"/>
      <c r="BV600" s="1421"/>
      <c r="BW600" s="1421"/>
      <c r="BX600" s="1421">
        <f t="shared" si="9"/>
        <v>0</v>
      </c>
      <c r="BY600" s="1421"/>
      <c r="BZ600" s="1421"/>
      <c r="CA600" s="1421"/>
      <c r="CB600" s="1421"/>
      <c r="CC600" s="1421">
        <f t="shared" si="10"/>
        <v>0</v>
      </c>
      <c r="CD600" s="1421"/>
      <c r="CE600" s="1421"/>
      <c r="CF600" s="1421"/>
      <c r="CG600" s="1421"/>
      <c r="CH600" s="1421">
        <f t="shared" si="11"/>
        <v>0</v>
      </c>
      <c r="CI600" s="1421"/>
      <c r="CJ600" s="1421"/>
      <c r="CK600" s="1421"/>
      <c r="CL600" s="1421"/>
      <c r="CM600" s="1421">
        <f t="shared" si="12"/>
        <v>0</v>
      </c>
      <c r="CN600" s="1421"/>
      <c r="CO600" s="1421"/>
      <c r="CP600" s="1421"/>
      <c r="CQ600" s="1421"/>
      <c r="CR600" s="6"/>
      <c r="CS600" s="1422">
        <f t="shared" si="13"/>
        <v>0</v>
      </c>
      <c r="CT600" s="1422"/>
      <c r="CU600" s="1422"/>
      <c r="CV600" s="1422"/>
      <c r="CW600" s="1422"/>
      <c r="CX600" s="1422">
        <f t="shared" si="14"/>
        <v>20</v>
      </c>
      <c r="CY600" s="1422"/>
      <c r="CZ600" s="1422"/>
      <c r="DA600" s="1422"/>
      <c r="DB600" s="1422"/>
      <c r="DC600" s="1422">
        <f t="shared" si="15"/>
        <v>0</v>
      </c>
      <c r="DD600" s="1422"/>
      <c r="DE600" s="1422"/>
      <c r="DF600" s="1422"/>
      <c r="DG600" s="1422"/>
      <c r="DH600" s="1422">
        <f t="shared" si="16"/>
        <v>0</v>
      </c>
      <c r="DI600" s="1422"/>
      <c r="DJ600" s="1422"/>
      <c r="DK600" s="1422"/>
      <c r="DL600" s="1422"/>
      <c r="DM600" s="1422">
        <f t="shared" si="17"/>
        <v>0</v>
      </c>
      <c r="DN600" s="1422"/>
      <c r="DO600" s="1422"/>
      <c r="DP600" s="1422"/>
      <c r="DQ600" s="1422"/>
      <c r="DR600" s="1422">
        <f t="shared" si="18"/>
        <v>0</v>
      </c>
      <c r="DS600" s="1422"/>
      <c r="DT600" s="1422"/>
      <c r="DU600" s="1422"/>
      <c r="DV600" s="1422"/>
      <c r="DX600" s="1418" t="str">
        <f t="shared" si="19"/>
        <v xml:space="preserve"> </v>
      </c>
      <c r="DY600" s="1419"/>
      <c r="DZ600" s="1419"/>
      <c r="EA600" s="1419"/>
      <c r="EB600" s="1420"/>
      <c r="EC600" s="1418">
        <f t="shared" si="20"/>
        <v>840</v>
      </c>
      <c r="ED600" s="1419"/>
      <c r="EE600" s="1419"/>
      <c r="EF600" s="1419"/>
      <c r="EG600" s="1420"/>
      <c r="EH600" s="1418" t="str">
        <f t="shared" si="21"/>
        <v xml:space="preserve"> </v>
      </c>
      <c r="EI600" s="1419"/>
      <c r="EJ600" s="1419"/>
      <c r="EK600" s="1419"/>
      <c r="EL600" s="1420"/>
      <c r="EM600" s="1418" t="str">
        <f t="shared" si="22"/>
        <v xml:space="preserve"> </v>
      </c>
      <c r="EN600" s="1419"/>
      <c r="EO600" s="1419"/>
      <c r="EP600" s="1419"/>
      <c r="EQ600" s="1420"/>
      <c r="ER600" s="1418" t="str">
        <f t="shared" si="23"/>
        <v xml:space="preserve"> </v>
      </c>
      <c r="ES600" s="1419"/>
      <c r="ET600" s="1419"/>
      <c r="EU600" s="1419"/>
      <c r="EV600" s="1420"/>
      <c r="EW600" s="1418" t="str">
        <f t="shared" si="24"/>
        <v xml:space="preserve"> </v>
      </c>
      <c r="EX600" s="1419"/>
      <c r="EY600" s="1419"/>
      <c r="EZ600" s="1419"/>
      <c r="FA600" s="1420"/>
    </row>
    <row r="601" spans="1:157" ht="12.9"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8">
        <f t="shared" si="3"/>
        <v>0</v>
      </c>
      <c r="BF601" s="1420"/>
      <c r="BG601" s="1431">
        <f t="shared" si="4"/>
        <v>0</v>
      </c>
      <c r="BH601" s="1432"/>
      <c r="BI601" s="1418">
        <f t="shared" si="5"/>
        <v>1</v>
      </c>
      <c r="BJ601" s="1420"/>
      <c r="BK601" s="1431">
        <f t="shared" si="6"/>
        <v>7</v>
      </c>
      <c r="BL601" s="1432"/>
      <c r="BM601" s="3"/>
      <c r="BN601" s="1412">
        <f t="shared" si="7"/>
        <v>0</v>
      </c>
      <c r="BO601" s="1413"/>
      <c r="BP601" s="1413"/>
      <c r="BQ601" s="1413"/>
      <c r="BR601" s="1414"/>
      <c r="BS601" s="1421">
        <f t="shared" si="8"/>
        <v>7</v>
      </c>
      <c r="BT601" s="1421"/>
      <c r="BU601" s="1421"/>
      <c r="BV601" s="1421"/>
      <c r="BW601" s="1421"/>
      <c r="BX601" s="1421">
        <f t="shared" si="9"/>
        <v>0</v>
      </c>
      <c r="BY601" s="1421"/>
      <c r="BZ601" s="1421"/>
      <c r="CA601" s="1421"/>
      <c r="CB601" s="1421"/>
      <c r="CC601" s="1421">
        <f t="shared" si="10"/>
        <v>0</v>
      </c>
      <c r="CD601" s="1421"/>
      <c r="CE601" s="1421"/>
      <c r="CF601" s="1421"/>
      <c r="CG601" s="1421"/>
      <c r="CH601" s="1421">
        <f t="shared" si="11"/>
        <v>0</v>
      </c>
      <c r="CI601" s="1421"/>
      <c r="CJ601" s="1421"/>
      <c r="CK601" s="1421"/>
      <c r="CL601" s="1421"/>
      <c r="CM601" s="1421">
        <f t="shared" si="12"/>
        <v>0</v>
      </c>
      <c r="CN601" s="1421"/>
      <c r="CO601" s="1421"/>
      <c r="CP601" s="1421"/>
      <c r="CQ601" s="1421"/>
      <c r="CR601" s="6"/>
      <c r="CS601" s="1422">
        <f t="shared" si="13"/>
        <v>0</v>
      </c>
      <c r="CT601" s="1422"/>
      <c r="CU601" s="1422"/>
      <c r="CV601" s="1422"/>
      <c r="CW601" s="1422"/>
      <c r="CX601" s="1422">
        <f t="shared" si="14"/>
        <v>7</v>
      </c>
      <c r="CY601" s="1422"/>
      <c r="CZ601" s="1422"/>
      <c r="DA601" s="1422"/>
      <c r="DB601" s="1422"/>
      <c r="DC601" s="1422">
        <f t="shared" si="15"/>
        <v>0</v>
      </c>
      <c r="DD601" s="1422"/>
      <c r="DE601" s="1422"/>
      <c r="DF601" s="1422"/>
      <c r="DG601" s="1422"/>
      <c r="DH601" s="1422">
        <f t="shared" si="16"/>
        <v>0</v>
      </c>
      <c r="DI601" s="1422"/>
      <c r="DJ601" s="1422"/>
      <c r="DK601" s="1422"/>
      <c r="DL601" s="1422"/>
      <c r="DM601" s="1422">
        <f t="shared" si="17"/>
        <v>0</v>
      </c>
      <c r="DN601" s="1422"/>
      <c r="DO601" s="1422"/>
      <c r="DP601" s="1422"/>
      <c r="DQ601" s="1422"/>
      <c r="DR601" s="1422">
        <f t="shared" si="18"/>
        <v>0</v>
      </c>
      <c r="DS601" s="1422"/>
      <c r="DT601" s="1422"/>
      <c r="DU601" s="1422"/>
      <c r="DV601" s="1422"/>
      <c r="DX601" s="1418" t="str">
        <f t="shared" si="19"/>
        <v xml:space="preserve"> </v>
      </c>
      <c r="DY601" s="1419"/>
      <c r="DZ601" s="1419"/>
      <c r="EA601" s="1419"/>
      <c r="EB601" s="1420"/>
      <c r="EC601" s="1418">
        <f t="shared" si="20"/>
        <v>840</v>
      </c>
      <c r="ED601" s="1419"/>
      <c r="EE601" s="1419"/>
      <c r="EF601" s="1419"/>
      <c r="EG601" s="1420"/>
      <c r="EH601" s="1418" t="str">
        <f t="shared" si="21"/>
        <v xml:space="preserve"> </v>
      </c>
      <c r="EI601" s="1419"/>
      <c r="EJ601" s="1419"/>
      <c r="EK601" s="1419"/>
      <c r="EL601" s="1420"/>
      <c r="EM601" s="1418" t="str">
        <f t="shared" si="22"/>
        <v xml:space="preserve"> </v>
      </c>
      <c r="EN601" s="1419"/>
      <c r="EO601" s="1419"/>
      <c r="EP601" s="1419"/>
      <c r="EQ601" s="1420"/>
      <c r="ER601" s="1418" t="str">
        <f t="shared" si="23"/>
        <v xml:space="preserve"> </v>
      </c>
      <c r="ES601" s="1419"/>
      <c r="ET601" s="1419"/>
      <c r="EU601" s="1419"/>
      <c r="EV601" s="1420"/>
      <c r="EW601" s="1418" t="str">
        <f t="shared" si="24"/>
        <v xml:space="preserve"> </v>
      </c>
      <c r="EX601" s="1419"/>
      <c r="EY601" s="1419"/>
      <c r="EZ601" s="1419"/>
      <c r="FA601" s="1420"/>
    </row>
    <row r="602" spans="1:157" ht="12.9"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8">
        <f t="shared" si="3"/>
        <v>1</v>
      </c>
      <c r="BF602" s="1420"/>
      <c r="BG602" s="1431">
        <f t="shared" si="4"/>
        <v>5</v>
      </c>
      <c r="BH602" s="1432"/>
      <c r="BI602" s="1418">
        <f t="shared" si="5"/>
        <v>0</v>
      </c>
      <c r="BJ602" s="1420"/>
      <c r="BK602" s="1431">
        <f t="shared" si="6"/>
        <v>0</v>
      </c>
      <c r="BL602" s="1432"/>
      <c r="BM602" s="3"/>
      <c r="BN602" s="1412">
        <f t="shared" si="7"/>
        <v>0</v>
      </c>
      <c r="BO602" s="1413"/>
      <c r="BP602" s="1413"/>
      <c r="BQ602" s="1413"/>
      <c r="BR602" s="1414"/>
      <c r="BS602" s="1421">
        <f t="shared" si="8"/>
        <v>5</v>
      </c>
      <c r="BT602" s="1421"/>
      <c r="BU602" s="1421"/>
      <c r="BV602" s="1421"/>
      <c r="BW602" s="1421"/>
      <c r="BX602" s="1421">
        <f t="shared" si="9"/>
        <v>0</v>
      </c>
      <c r="BY602" s="1421"/>
      <c r="BZ602" s="1421"/>
      <c r="CA602" s="1421"/>
      <c r="CB602" s="1421"/>
      <c r="CC602" s="1421">
        <f t="shared" si="10"/>
        <v>0</v>
      </c>
      <c r="CD602" s="1421"/>
      <c r="CE602" s="1421"/>
      <c r="CF602" s="1421"/>
      <c r="CG602" s="1421"/>
      <c r="CH602" s="1421">
        <f t="shared" si="11"/>
        <v>0</v>
      </c>
      <c r="CI602" s="1421"/>
      <c r="CJ602" s="1421"/>
      <c r="CK602" s="1421"/>
      <c r="CL602" s="1421"/>
      <c r="CM602" s="1421">
        <f t="shared" si="12"/>
        <v>0</v>
      </c>
      <c r="CN602" s="1421"/>
      <c r="CO602" s="1421"/>
      <c r="CP602" s="1421"/>
      <c r="CQ602" s="1421"/>
      <c r="CR602" s="6"/>
      <c r="CS602" s="1422">
        <f t="shared" si="13"/>
        <v>0</v>
      </c>
      <c r="CT602" s="1422"/>
      <c r="CU602" s="1422"/>
      <c r="CV602" s="1422"/>
      <c r="CW602" s="1422"/>
      <c r="CX602" s="1422">
        <f t="shared" si="14"/>
        <v>0</v>
      </c>
      <c r="CY602" s="1422"/>
      <c r="CZ602" s="1422"/>
      <c r="DA602" s="1422"/>
      <c r="DB602" s="1422"/>
      <c r="DC602" s="1422">
        <f t="shared" si="15"/>
        <v>0</v>
      </c>
      <c r="DD602" s="1422"/>
      <c r="DE602" s="1422"/>
      <c r="DF602" s="1422"/>
      <c r="DG602" s="1422"/>
      <c r="DH602" s="1422">
        <f t="shared" si="16"/>
        <v>0</v>
      </c>
      <c r="DI602" s="1422"/>
      <c r="DJ602" s="1422"/>
      <c r="DK602" s="1422"/>
      <c r="DL602" s="1422"/>
      <c r="DM602" s="1422">
        <f t="shared" si="17"/>
        <v>0</v>
      </c>
      <c r="DN602" s="1422"/>
      <c r="DO602" s="1422"/>
      <c r="DP602" s="1422"/>
      <c r="DQ602" s="1422"/>
      <c r="DR602" s="1422">
        <f t="shared" si="18"/>
        <v>0</v>
      </c>
      <c r="DS602" s="1422"/>
      <c r="DT602" s="1422"/>
      <c r="DU602" s="1422"/>
      <c r="DV602" s="1422"/>
      <c r="DX602" s="1418" t="str">
        <f t="shared" si="19"/>
        <v xml:space="preserve"> </v>
      </c>
      <c r="DY602" s="1419"/>
      <c r="DZ602" s="1419"/>
      <c r="EA602" s="1419"/>
      <c r="EB602" s="1420"/>
      <c r="EC602" s="1418">
        <f t="shared" si="20"/>
        <v>1156</v>
      </c>
      <c r="ED602" s="1419"/>
      <c r="EE602" s="1419"/>
      <c r="EF602" s="1419"/>
      <c r="EG602" s="1420"/>
      <c r="EH602" s="1418" t="str">
        <f t="shared" si="21"/>
        <v xml:space="preserve"> </v>
      </c>
      <c r="EI602" s="1419"/>
      <c r="EJ602" s="1419"/>
      <c r="EK602" s="1419"/>
      <c r="EL602" s="1420"/>
      <c r="EM602" s="1418" t="str">
        <f t="shared" si="22"/>
        <v xml:space="preserve"> </v>
      </c>
      <c r="EN602" s="1419"/>
      <c r="EO602" s="1419"/>
      <c r="EP602" s="1419"/>
      <c r="EQ602" s="1420"/>
      <c r="ER602" s="1418" t="str">
        <f t="shared" si="23"/>
        <v xml:space="preserve"> </v>
      </c>
      <c r="ES602" s="1419"/>
      <c r="ET602" s="1419"/>
      <c r="EU602" s="1419"/>
      <c r="EV602" s="1420"/>
      <c r="EW602" s="1418" t="str">
        <f t="shared" si="24"/>
        <v xml:space="preserve"> </v>
      </c>
      <c r="EX602" s="1419"/>
      <c r="EY602" s="1419"/>
      <c r="EZ602" s="1419"/>
      <c r="FA602" s="1420"/>
    </row>
    <row r="603" spans="1:157" ht="12.9" customHeight="1">
      <c r="A603" s="22"/>
      <c r="B603" t="s">
        <v>20</v>
      </c>
      <c r="N603" s="1353" t="s">
        <v>678</v>
      </c>
      <c r="O603" s="1353"/>
      <c r="T603" s="22"/>
      <c r="U603" t="s">
        <v>20</v>
      </c>
      <c r="AG603" s="1353" t="s">
        <v>678</v>
      </c>
      <c r="AH603" s="1353"/>
      <c r="AZ603" s="3"/>
      <c r="BA603" s="3"/>
      <c r="BB603" s="3"/>
      <c r="BC603" s="3"/>
      <c r="BD603" s="3"/>
      <c r="BE603" s="1418">
        <f t="shared" si="3"/>
        <v>1</v>
      </c>
      <c r="BF603" s="1420"/>
      <c r="BG603" s="1431">
        <f t="shared" si="4"/>
        <v>6</v>
      </c>
      <c r="BH603" s="1432"/>
      <c r="BI603" s="1418">
        <f t="shared" si="5"/>
        <v>0</v>
      </c>
      <c r="BJ603" s="1420"/>
      <c r="BK603" s="1431">
        <f t="shared" si="6"/>
        <v>0</v>
      </c>
      <c r="BL603" s="1432"/>
      <c r="BM603" s="3"/>
      <c r="BN603" s="1412">
        <f t="shared" si="7"/>
        <v>0</v>
      </c>
      <c r="BO603" s="1413"/>
      <c r="BP603" s="1413"/>
      <c r="BQ603" s="1413"/>
      <c r="BR603" s="1414"/>
      <c r="BS603" s="1421">
        <f t="shared" si="8"/>
        <v>6</v>
      </c>
      <c r="BT603" s="1421"/>
      <c r="BU603" s="1421"/>
      <c r="BV603" s="1421"/>
      <c r="BW603" s="1421"/>
      <c r="BX603" s="1421">
        <f t="shared" si="9"/>
        <v>0</v>
      </c>
      <c r="BY603" s="1421"/>
      <c r="BZ603" s="1421"/>
      <c r="CA603" s="1421"/>
      <c r="CB603" s="1421"/>
      <c r="CC603" s="1421">
        <f t="shared" si="10"/>
        <v>0</v>
      </c>
      <c r="CD603" s="1421"/>
      <c r="CE603" s="1421"/>
      <c r="CF603" s="1421"/>
      <c r="CG603" s="1421"/>
      <c r="CH603" s="1421">
        <f t="shared" si="11"/>
        <v>0</v>
      </c>
      <c r="CI603" s="1421"/>
      <c r="CJ603" s="1421"/>
      <c r="CK603" s="1421"/>
      <c r="CL603" s="1421"/>
      <c r="CM603" s="1421">
        <f t="shared" si="12"/>
        <v>0</v>
      </c>
      <c r="CN603" s="1421"/>
      <c r="CO603" s="1421"/>
      <c r="CP603" s="1421"/>
      <c r="CQ603" s="1421"/>
      <c r="CR603" s="6"/>
      <c r="CS603" s="1422">
        <f t="shared" si="13"/>
        <v>0</v>
      </c>
      <c r="CT603" s="1422"/>
      <c r="CU603" s="1422"/>
      <c r="CV603" s="1422"/>
      <c r="CW603" s="1422"/>
      <c r="CX603" s="1422">
        <f t="shared" si="14"/>
        <v>0</v>
      </c>
      <c r="CY603" s="1422"/>
      <c r="CZ603" s="1422"/>
      <c r="DA603" s="1422"/>
      <c r="DB603" s="1422"/>
      <c r="DC603" s="1422">
        <f t="shared" si="15"/>
        <v>0</v>
      </c>
      <c r="DD603" s="1422"/>
      <c r="DE603" s="1422"/>
      <c r="DF603" s="1422"/>
      <c r="DG603" s="1422"/>
      <c r="DH603" s="1422">
        <f t="shared" si="16"/>
        <v>0</v>
      </c>
      <c r="DI603" s="1422"/>
      <c r="DJ603" s="1422"/>
      <c r="DK603" s="1422"/>
      <c r="DL603" s="1422"/>
      <c r="DM603" s="1422">
        <f t="shared" si="17"/>
        <v>0</v>
      </c>
      <c r="DN603" s="1422"/>
      <c r="DO603" s="1422"/>
      <c r="DP603" s="1422"/>
      <c r="DQ603" s="1422"/>
      <c r="DR603" s="1422">
        <f t="shared" si="18"/>
        <v>0</v>
      </c>
      <c r="DS603" s="1422"/>
      <c r="DT603" s="1422"/>
      <c r="DU603" s="1422"/>
      <c r="DV603" s="1422"/>
      <c r="DX603" s="1418" t="str">
        <f t="shared" si="19"/>
        <v xml:space="preserve"> </v>
      </c>
      <c r="DY603" s="1419"/>
      <c r="DZ603" s="1419"/>
      <c r="EA603" s="1419"/>
      <c r="EB603" s="1420"/>
      <c r="EC603" s="1418">
        <f t="shared" si="20"/>
        <v>1472</v>
      </c>
      <c r="ED603" s="1419"/>
      <c r="EE603" s="1419"/>
      <c r="EF603" s="1419"/>
      <c r="EG603" s="1420"/>
      <c r="EH603" s="1418" t="str">
        <f t="shared" si="21"/>
        <v xml:space="preserve"> </v>
      </c>
      <c r="EI603" s="1419"/>
      <c r="EJ603" s="1419"/>
      <c r="EK603" s="1419"/>
      <c r="EL603" s="1420"/>
      <c r="EM603" s="1418" t="str">
        <f t="shared" si="22"/>
        <v xml:space="preserve"> </v>
      </c>
      <c r="EN603" s="1419"/>
      <c r="EO603" s="1419"/>
      <c r="EP603" s="1419"/>
      <c r="EQ603" s="1420"/>
      <c r="ER603" s="1418" t="str">
        <f t="shared" si="23"/>
        <v xml:space="preserve"> </v>
      </c>
      <c r="ES603" s="1419"/>
      <c r="ET603" s="1419"/>
      <c r="EU603" s="1419"/>
      <c r="EV603" s="1420"/>
      <c r="EW603" s="1418" t="str">
        <f t="shared" si="24"/>
        <v xml:space="preserve"> </v>
      </c>
      <c r="EX603" s="1419"/>
      <c r="EY603" s="1419"/>
      <c r="EZ603" s="1419"/>
      <c r="FA603" s="1420"/>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3"/>
        <v>0</v>
      </c>
      <c r="BF604" s="1420"/>
      <c r="BG604" s="1431">
        <f t="shared" si="4"/>
        <v>0</v>
      </c>
      <c r="BH604" s="1432"/>
      <c r="BI604" s="1418">
        <f t="shared" si="5"/>
        <v>0</v>
      </c>
      <c r="BJ604" s="1420"/>
      <c r="BK604" s="1431">
        <f t="shared" si="6"/>
        <v>0</v>
      </c>
      <c r="BL604" s="1432"/>
      <c r="BM604" s="3"/>
      <c r="BN604" s="1412">
        <f t="shared" si="7"/>
        <v>0</v>
      </c>
      <c r="BO604" s="1413"/>
      <c r="BP604" s="1413"/>
      <c r="BQ604" s="1413"/>
      <c r="BR604" s="1414"/>
      <c r="BS604" s="1421">
        <f t="shared" si="8"/>
        <v>9</v>
      </c>
      <c r="BT604" s="1421"/>
      <c r="BU604" s="1421"/>
      <c r="BV604" s="1421"/>
      <c r="BW604" s="1421"/>
      <c r="BX604" s="1421">
        <f t="shared" si="9"/>
        <v>0</v>
      </c>
      <c r="BY604" s="1421"/>
      <c r="BZ604" s="1421"/>
      <c r="CA604" s="1421"/>
      <c r="CB604" s="1421"/>
      <c r="CC604" s="1421">
        <f t="shared" si="10"/>
        <v>0</v>
      </c>
      <c r="CD604" s="1421"/>
      <c r="CE604" s="1421"/>
      <c r="CF604" s="1421"/>
      <c r="CG604" s="1421"/>
      <c r="CH604" s="1421">
        <f t="shared" si="11"/>
        <v>0</v>
      </c>
      <c r="CI604" s="1421"/>
      <c r="CJ604" s="1421"/>
      <c r="CK604" s="1421"/>
      <c r="CL604" s="1421"/>
      <c r="CM604" s="1421">
        <f t="shared" si="12"/>
        <v>0</v>
      </c>
      <c r="CN604" s="1421"/>
      <c r="CO604" s="1421"/>
      <c r="CP604" s="1421"/>
      <c r="CQ604" s="1421"/>
      <c r="CR604" s="6"/>
      <c r="CS604" s="1422">
        <f t="shared" si="13"/>
        <v>0</v>
      </c>
      <c r="CT604" s="1422"/>
      <c r="CU604" s="1422"/>
      <c r="CV604" s="1422"/>
      <c r="CW604" s="1422"/>
      <c r="CX604" s="1422">
        <f t="shared" si="14"/>
        <v>0</v>
      </c>
      <c r="CY604" s="1422"/>
      <c r="CZ604" s="1422"/>
      <c r="DA604" s="1422"/>
      <c r="DB604" s="1422"/>
      <c r="DC604" s="1422">
        <f t="shared" si="15"/>
        <v>0</v>
      </c>
      <c r="DD604" s="1422"/>
      <c r="DE604" s="1422"/>
      <c r="DF604" s="1422"/>
      <c r="DG604" s="1422"/>
      <c r="DH604" s="1422">
        <f t="shared" si="16"/>
        <v>0</v>
      </c>
      <c r="DI604" s="1422"/>
      <c r="DJ604" s="1422"/>
      <c r="DK604" s="1422"/>
      <c r="DL604" s="1422"/>
      <c r="DM604" s="1422">
        <f t="shared" si="17"/>
        <v>0</v>
      </c>
      <c r="DN604" s="1422"/>
      <c r="DO604" s="1422"/>
      <c r="DP604" s="1422"/>
      <c r="DQ604" s="1422"/>
      <c r="DR604" s="1422">
        <f t="shared" si="18"/>
        <v>0</v>
      </c>
      <c r="DS604" s="1422"/>
      <c r="DT604" s="1422"/>
      <c r="DU604" s="1422"/>
      <c r="DV604" s="1422"/>
      <c r="DX604" s="1418" t="str">
        <f t="shared" si="19"/>
        <v xml:space="preserve"> </v>
      </c>
      <c r="DY604" s="1419"/>
      <c r="DZ604" s="1419"/>
      <c r="EA604" s="1419"/>
      <c r="EB604" s="1420"/>
      <c r="EC604" s="1418">
        <f t="shared" si="20"/>
        <v>1788</v>
      </c>
      <c r="ED604" s="1419"/>
      <c r="EE604" s="1419"/>
      <c r="EF604" s="1419"/>
      <c r="EG604" s="1420"/>
      <c r="EH604" s="1418" t="str">
        <f t="shared" si="21"/>
        <v xml:space="preserve"> </v>
      </c>
      <c r="EI604" s="1419"/>
      <c r="EJ604" s="1419"/>
      <c r="EK604" s="1419"/>
      <c r="EL604" s="1420"/>
      <c r="EM604" s="1418" t="str">
        <f t="shared" si="22"/>
        <v xml:space="preserve"> </v>
      </c>
      <c r="EN604" s="1419"/>
      <c r="EO604" s="1419"/>
      <c r="EP604" s="1419"/>
      <c r="EQ604" s="1420"/>
      <c r="ER604" s="1418" t="str">
        <f t="shared" si="23"/>
        <v xml:space="preserve"> </v>
      </c>
      <c r="ES604" s="1419"/>
      <c r="ET604" s="1419"/>
      <c r="EU604" s="1419"/>
      <c r="EV604" s="1420"/>
      <c r="EW604" s="1418" t="str">
        <f t="shared" si="24"/>
        <v xml:space="preserve"> </v>
      </c>
      <c r="EX604" s="1419"/>
      <c r="EY604" s="1419"/>
      <c r="EZ604" s="1419"/>
      <c r="FA604" s="1420"/>
    </row>
    <row r="605" spans="1:157" s="4" customFormat="1" ht="12.9" customHeight="1">
      <c r="A605" s="55" t="s">
        <v>364</v>
      </c>
      <c r="B605" t="s">
        <v>472</v>
      </c>
      <c r="C605"/>
      <c r="D605"/>
      <c r="E605"/>
      <c r="F605"/>
      <c r="G605" s="1351">
        <f>C560</f>
        <v>0</v>
      </c>
      <c r="H605" s="1351"/>
      <c r="I605" s="1351"/>
      <c r="J605" s="1351"/>
      <c r="K605" s="1351"/>
      <c r="L605" s="1351"/>
      <c r="M605" s="1351"/>
      <c r="N605" s="1351"/>
      <c r="O605" s="1351"/>
      <c r="P605" s="1351"/>
      <c r="Q605" s="1351"/>
      <c r="R605" s="1351"/>
      <c r="S605"/>
      <c r="T605" s="55" t="s">
        <v>365</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8">
        <f t="shared" si="3"/>
        <v>0</v>
      </c>
      <c r="BF605" s="1420"/>
      <c r="BG605" s="1431">
        <f t="shared" si="4"/>
        <v>0</v>
      </c>
      <c r="BH605" s="1432"/>
      <c r="BI605" s="1418">
        <f t="shared" si="5"/>
        <v>1</v>
      </c>
      <c r="BJ605" s="1420"/>
      <c r="BK605" s="1431">
        <f t="shared" si="6"/>
        <v>3</v>
      </c>
      <c r="BL605" s="1432"/>
      <c r="BM605" s="3"/>
      <c r="BN605" s="1412">
        <f t="shared" si="7"/>
        <v>0</v>
      </c>
      <c r="BO605" s="1413"/>
      <c r="BP605" s="1413"/>
      <c r="BQ605" s="1413"/>
      <c r="BR605" s="1414"/>
      <c r="BS605" s="1421">
        <f t="shared" si="8"/>
        <v>0</v>
      </c>
      <c r="BT605" s="1421"/>
      <c r="BU605" s="1421"/>
      <c r="BV605" s="1421"/>
      <c r="BW605" s="1421"/>
      <c r="BX605" s="1421">
        <f t="shared" si="9"/>
        <v>3</v>
      </c>
      <c r="BY605" s="1421"/>
      <c r="BZ605" s="1421"/>
      <c r="CA605" s="1421"/>
      <c r="CB605" s="1421"/>
      <c r="CC605" s="1421">
        <f t="shared" si="10"/>
        <v>0</v>
      </c>
      <c r="CD605" s="1421"/>
      <c r="CE605" s="1421"/>
      <c r="CF605" s="1421"/>
      <c r="CG605" s="1421"/>
      <c r="CH605" s="1421">
        <f t="shared" si="11"/>
        <v>0</v>
      </c>
      <c r="CI605" s="1421"/>
      <c r="CJ605" s="1421"/>
      <c r="CK605" s="1421"/>
      <c r="CL605" s="1421"/>
      <c r="CM605" s="1421">
        <f t="shared" si="12"/>
        <v>0</v>
      </c>
      <c r="CN605" s="1421"/>
      <c r="CO605" s="1421"/>
      <c r="CP605" s="1421"/>
      <c r="CQ605" s="1421"/>
      <c r="CR605" s="6"/>
      <c r="CS605" s="1422">
        <f t="shared" si="13"/>
        <v>0</v>
      </c>
      <c r="CT605" s="1422"/>
      <c r="CU605" s="1422"/>
      <c r="CV605" s="1422"/>
      <c r="CW605" s="1422"/>
      <c r="CX605" s="1422">
        <f t="shared" si="14"/>
        <v>0</v>
      </c>
      <c r="CY605" s="1422"/>
      <c r="CZ605" s="1422"/>
      <c r="DA605" s="1422"/>
      <c r="DB605" s="1422"/>
      <c r="DC605" s="1422">
        <f t="shared" si="15"/>
        <v>3</v>
      </c>
      <c r="DD605" s="1422"/>
      <c r="DE605" s="1422"/>
      <c r="DF605" s="1422"/>
      <c r="DG605" s="1422"/>
      <c r="DH605" s="1422">
        <f t="shared" si="16"/>
        <v>0</v>
      </c>
      <c r="DI605" s="1422"/>
      <c r="DJ605" s="1422"/>
      <c r="DK605" s="1422"/>
      <c r="DL605" s="1422"/>
      <c r="DM605" s="1422">
        <f t="shared" si="17"/>
        <v>0</v>
      </c>
      <c r="DN605" s="1422"/>
      <c r="DO605" s="1422"/>
      <c r="DP605" s="1422"/>
      <c r="DQ605" s="1422"/>
      <c r="DR605" s="1422">
        <f t="shared" si="18"/>
        <v>0</v>
      </c>
      <c r="DS605" s="1422"/>
      <c r="DT605" s="1422"/>
      <c r="DU605" s="1422"/>
      <c r="DV605" s="1422"/>
      <c r="DX605" s="1418" t="str">
        <f t="shared" si="19"/>
        <v xml:space="preserve"> </v>
      </c>
      <c r="DY605" s="1419"/>
      <c r="DZ605" s="1419"/>
      <c r="EA605" s="1419"/>
      <c r="EB605" s="1420"/>
      <c r="EC605" s="1418" t="str">
        <f t="shared" si="20"/>
        <v xml:space="preserve"> </v>
      </c>
      <c r="ED605" s="1419"/>
      <c r="EE605" s="1419"/>
      <c r="EF605" s="1419"/>
      <c r="EG605" s="1420"/>
      <c r="EH605" s="1418">
        <f t="shared" si="21"/>
        <v>996</v>
      </c>
      <c r="EI605" s="1419"/>
      <c r="EJ605" s="1419"/>
      <c r="EK605" s="1419"/>
      <c r="EL605" s="1420"/>
      <c r="EM605" s="1418" t="str">
        <f t="shared" si="22"/>
        <v xml:space="preserve"> </v>
      </c>
      <c r="EN605" s="1419"/>
      <c r="EO605" s="1419"/>
      <c r="EP605" s="1419"/>
      <c r="EQ605" s="1420"/>
      <c r="ER605" s="1418" t="str">
        <f t="shared" si="23"/>
        <v xml:space="preserve"> </v>
      </c>
      <c r="ES605" s="1419"/>
      <c r="ET605" s="1419"/>
      <c r="EU605" s="1419"/>
      <c r="EV605" s="1420"/>
      <c r="EW605" s="1418" t="str">
        <f t="shared" si="24"/>
        <v xml:space="preserve"> </v>
      </c>
      <c r="EX605" s="1419"/>
      <c r="EY605" s="1419"/>
      <c r="EZ605" s="1419"/>
      <c r="FA605" s="1420"/>
    </row>
    <row r="606" spans="1:157" s="4" customFormat="1" ht="12.9"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8">
        <f t="shared" si="3"/>
        <v>0</v>
      </c>
      <c r="BF606" s="1420"/>
      <c r="BG606" s="1431">
        <f t="shared" si="4"/>
        <v>0</v>
      </c>
      <c r="BH606" s="1432"/>
      <c r="BI606" s="1418">
        <f t="shared" si="5"/>
        <v>1</v>
      </c>
      <c r="BJ606" s="1420"/>
      <c r="BK606" s="1431">
        <f t="shared" si="6"/>
        <v>12</v>
      </c>
      <c r="BL606" s="1432"/>
      <c r="BM606" s="3"/>
      <c r="BN606" s="1412">
        <f t="shared" si="7"/>
        <v>0</v>
      </c>
      <c r="BO606" s="1413"/>
      <c r="BP606" s="1413"/>
      <c r="BQ606" s="1413"/>
      <c r="BR606" s="1414"/>
      <c r="BS606" s="1421">
        <f t="shared" si="8"/>
        <v>0</v>
      </c>
      <c r="BT606" s="1421"/>
      <c r="BU606" s="1421"/>
      <c r="BV606" s="1421"/>
      <c r="BW606" s="1421"/>
      <c r="BX606" s="1421">
        <f t="shared" si="9"/>
        <v>12</v>
      </c>
      <c r="BY606" s="1421"/>
      <c r="BZ606" s="1421"/>
      <c r="CA606" s="1421"/>
      <c r="CB606" s="1421"/>
      <c r="CC606" s="1421">
        <f t="shared" si="10"/>
        <v>0</v>
      </c>
      <c r="CD606" s="1421"/>
      <c r="CE606" s="1421"/>
      <c r="CF606" s="1421"/>
      <c r="CG606" s="1421"/>
      <c r="CH606" s="1421">
        <f t="shared" si="11"/>
        <v>0</v>
      </c>
      <c r="CI606" s="1421"/>
      <c r="CJ606" s="1421"/>
      <c r="CK606" s="1421"/>
      <c r="CL606" s="1421"/>
      <c r="CM606" s="1421">
        <f t="shared" si="12"/>
        <v>0</v>
      </c>
      <c r="CN606" s="1421"/>
      <c r="CO606" s="1421"/>
      <c r="CP606" s="1421"/>
      <c r="CQ606" s="1421"/>
      <c r="CR606" s="6"/>
      <c r="CS606" s="1422">
        <f t="shared" si="13"/>
        <v>0</v>
      </c>
      <c r="CT606" s="1422"/>
      <c r="CU606" s="1422"/>
      <c r="CV606" s="1422"/>
      <c r="CW606" s="1422"/>
      <c r="CX606" s="1422">
        <f t="shared" si="14"/>
        <v>0</v>
      </c>
      <c r="CY606" s="1422"/>
      <c r="CZ606" s="1422"/>
      <c r="DA606" s="1422"/>
      <c r="DB606" s="1422"/>
      <c r="DC606" s="1422">
        <f t="shared" si="15"/>
        <v>12</v>
      </c>
      <c r="DD606" s="1422"/>
      <c r="DE606" s="1422"/>
      <c r="DF606" s="1422"/>
      <c r="DG606" s="1422"/>
      <c r="DH606" s="1422">
        <f t="shared" si="16"/>
        <v>0</v>
      </c>
      <c r="DI606" s="1422"/>
      <c r="DJ606" s="1422"/>
      <c r="DK606" s="1422"/>
      <c r="DL606" s="1422"/>
      <c r="DM606" s="1422">
        <f t="shared" si="17"/>
        <v>0</v>
      </c>
      <c r="DN606" s="1422"/>
      <c r="DO606" s="1422"/>
      <c r="DP606" s="1422"/>
      <c r="DQ606" s="1422"/>
      <c r="DR606" s="1422">
        <f t="shared" si="18"/>
        <v>0</v>
      </c>
      <c r="DS606" s="1422"/>
      <c r="DT606" s="1422"/>
      <c r="DU606" s="1422"/>
      <c r="DV606" s="1422"/>
      <c r="DX606" s="1418" t="str">
        <f t="shared" si="19"/>
        <v xml:space="preserve"> </v>
      </c>
      <c r="DY606" s="1419"/>
      <c r="DZ606" s="1419"/>
      <c r="EA606" s="1419"/>
      <c r="EB606" s="1420"/>
      <c r="EC606" s="1418" t="str">
        <f t="shared" si="20"/>
        <v xml:space="preserve"> </v>
      </c>
      <c r="ED606" s="1419"/>
      <c r="EE606" s="1419"/>
      <c r="EF606" s="1419"/>
      <c r="EG606" s="1420"/>
      <c r="EH606" s="1418">
        <f t="shared" si="21"/>
        <v>996</v>
      </c>
      <c r="EI606" s="1419"/>
      <c r="EJ606" s="1419"/>
      <c r="EK606" s="1419"/>
      <c r="EL606" s="1420"/>
      <c r="EM606" s="1418" t="str">
        <f t="shared" si="22"/>
        <v xml:space="preserve"> </v>
      </c>
      <c r="EN606" s="1419"/>
      <c r="EO606" s="1419"/>
      <c r="EP606" s="1419"/>
      <c r="EQ606" s="1420"/>
      <c r="ER606" s="1418" t="str">
        <f t="shared" si="23"/>
        <v xml:space="preserve"> </v>
      </c>
      <c r="ES606" s="1419"/>
      <c r="ET606" s="1419"/>
      <c r="EU606" s="1419"/>
      <c r="EV606" s="1420"/>
      <c r="EW606" s="1418" t="str">
        <f t="shared" si="24"/>
        <v xml:space="preserve"> </v>
      </c>
      <c r="EX606" s="1419"/>
      <c r="EY606" s="1419"/>
      <c r="EZ606" s="1419"/>
      <c r="FA606" s="1420"/>
    </row>
    <row r="607" spans="1:157" ht="12.9"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18">
        <f t="shared" si="3"/>
        <v>1</v>
      </c>
      <c r="BF607" s="1420"/>
      <c r="BG607" s="1431">
        <f t="shared" si="4"/>
        <v>3</v>
      </c>
      <c r="BH607" s="1432"/>
      <c r="BI607" s="1418">
        <f t="shared" si="5"/>
        <v>0</v>
      </c>
      <c r="BJ607" s="1420"/>
      <c r="BK607" s="1431">
        <f t="shared" si="6"/>
        <v>0</v>
      </c>
      <c r="BL607" s="1432"/>
      <c r="BM607" s="3"/>
      <c r="BN607" s="1412">
        <f t="shared" si="7"/>
        <v>0</v>
      </c>
      <c r="BO607" s="1413"/>
      <c r="BP607" s="1413"/>
      <c r="BQ607" s="1413"/>
      <c r="BR607" s="1414"/>
      <c r="BS607" s="1421">
        <f t="shared" si="8"/>
        <v>0</v>
      </c>
      <c r="BT607" s="1421"/>
      <c r="BU607" s="1421"/>
      <c r="BV607" s="1421"/>
      <c r="BW607" s="1421"/>
      <c r="BX607" s="1421">
        <f t="shared" si="9"/>
        <v>3</v>
      </c>
      <c r="BY607" s="1421"/>
      <c r="BZ607" s="1421"/>
      <c r="CA607" s="1421"/>
      <c r="CB607" s="1421"/>
      <c r="CC607" s="1421">
        <f t="shared" si="10"/>
        <v>0</v>
      </c>
      <c r="CD607" s="1421"/>
      <c r="CE607" s="1421"/>
      <c r="CF607" s="1421"/>
      <c r="CG607" s="1421"/>
      <c r="CH607" s="1421">
        <f t="shared" si="11"/>
        <v>0</v>
      </c>
      <c r="CI607" s="1421"/>
      <c r="CJ607" s="1421"/>
      <c r="CK607" s="1421"/>
      <c r="CL607" s="1421"/>
      <c r="CM607" s="1421">
        <f t="shared" si="12"/>
        <v>0</v>
      </c>
      <c r="CN607" s="1421"/>
      <c r="CO607" s="1421"/>
      <c r="CP607" s="1421"/>
      <c r="CQ607" s="1421"/>
      <c r="CR607" s="6"/>
      <c r="CS607" s="1422">
        <f t="shared" si="13"/>
        <v>0</v>
      </c>
      <c r="CT607" s="1422"/>
      <c r="CU607" s="1422"/>
      <c r="CV607" s="1422"/>
      <c r="CW607" s="1422"/>
      <c r="CX607" s="1422">
        <f t="shared" si="14"/>
        <v>0</v>
      </c>
      <c r="CY607" s="1422"/>
      <c r="CZ607" s="1422"/>
      <c r="DA607" s="1422"/>
      <c r="DB607" s="1422"/>
      <c r="DC607" s="1422">
        <f t="shared" si="15"/>
        <v>0</v>
      </c>
      <c r="DD607" s="1422"/>
      <c r="DE607" s="1422"/>
      <c r="DF607" s="1422"/>
      <c r="DG607" s="1422"/>
      <c r="DH607" s="1422">
        <f t="shared" si="16"/>
        <v>0</v>
      </c>
      <c r="DI607" s="1422"/>
      <c r="DJ607" s="1422"/>
      <c r="DK607" s="1422"/>
      <c r="DL607" s="1422"/>
      <c r="DM607" s="1422">
        <f t="shared" si="17"/>
        <v>0</v>
      </c>
      <c r="DN607" s="1422"/>
      <c r="DO607" s="1422"/>
      <c r="DP607" s="1422"/>
      <c r="DQ607" s="1422"/>
      <c r="DR607" s="1422">
        <f t="shared" si="18"/>
        <v>0</v>
      </c>
      <c r="DS607" s="1422"/>
      <c r="DT607" s="1422"/>
      <c r="DU607" s="1422"/>
      <c r="DV607" s="1422"/>
      <c r="DX607" s="1418" t="str">
        <f t="shared" si="19"/>
        <v xml:space="preserve"> </v>
      </c>
      <c r="DY607" s="1419"/>
      <c r="DZ607" s="1419"/>
      <c r="EA607" s="1419"/>
      <c r="EB607" s="1420"/>
      <c r="EC607" s="1418" t="str">
        <f t="shared" si="20"/>
        <v xml:space="preserve"> </v>
      </c>
      <c r="ED607" s="1419"/>
      <c r="EE607" s="1419"/>
      <c r="EF607" s="1419"/>
      <c r="EG607" s="1420"/>
      <c r="EH607" s="1418">
        <f t="shared" si="21"/>
        <v>1375</v>
      </c>
      <c r="EI607" s="1419"/>
      <c r="EJ607" s="1419"/>
      <c r="EK607" s="1419"/>
      <c r="EL607" s="1420"/>
      <c r="EM607" s="1418" t="str">
        <f t="shared" si="22"/>
        <v xml:space="preserve"> </v>
      </c>
      <c r="EN607" s="1419"/>
      <c r="EO607" s="1419"/>
      <c r="EP607" s="1419"/>
      <c r="EQ607" s="1420"/>
      <c r="ER607" s="1418" t="str">
        <f t="shared" si="23"/>
        <v xml:space="preserve"> </v>
      </c>
      <c r="ES607" s="1419"/>
      <c r="ET607" s="1419"/>
      <c r="EU607" s="1419"/>
      <c r="EV607" s="1420"/>
      <c r="EW607" s="1418" t="str">
        <f t="shared" si="24"/>
        <v xml:space="preserve"> </v>
      </c>
      <c r="EX607" s="1419"/>
      <c r="EY607" s="1419"/>
      <c r="EZ607" s="1419"/>
      <c r="FA607" s="1420"/>
    </row>
    <row r="608" spans="1:157" ht="12.9"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8">
        <f t="shared" si="3"/>
        <v>1</v>
      </c>
      <c r="BF608" s="1420"/>
      <c r="BG608" s="1431">
        <f t="shared" si="4"/>
        <v>3</v>
      </c>
      <c r="BH608" s="1432"/>
      <c r="BI608" s="1418">
        <f t="shared" si="5"/>
        <v>0</v>
      </c>
      <c r="BJ608" s="1420"/>
      <c r="BK608" s="1431">
        <f t="shared" si="6"/>
        <v>0</v>
      </c>
      <c r="BL608" s="1432"/>
      <c r="BM608" s="3"/>
      <c r="BN608" s="1412">
        <f t="shared" si="7"/>
        <v>0</v>
      </c>
      <c r="BO608" s="1413"/>
      <c r="BP608" s="1413"/>
      <c r="BQ608" s="1413"/>
      <c r="BR608" s="1414"/>
      <c r="BS608" s="1421">
        <f t="shared" si="8"/>
        <v>0</v>
      </c>
      <c r="BT608" s="1421"/>
      <c r="BU608" s="1421"/>
      <c r="BV608" s="1421"/>
      <c r="BW608" s="1421"/>
      <c r="BX608" s="1421">
        <f t="shared" si="9"/>
        <v>3</v>
      </c>
      <c r="BY608" s="1421"/>
      <c r="BZ608" s="1421"/>
      <c r="CA608" s="1421"/>
      <c r="CB608" s="1421"/>
      <c r="CC608" s="1421">
        <f t="shared" si="10"/>
        <v>0</v>
      </c>
      <c r="CD608" s="1421"/>
      <c r="CE608" s="1421"/>
      <c r="CF608" s="1421"/>
      <c r="CG608" s="1421"/>
      <c r="CH608" s="1421">
        <f t="shared" si="11"/>
        <v>0</v>
      </c>
      <c r="CI608" s="1421"/>
      <c r="CJ608" s="1421"/>
      <c r="CK608" s="1421"/>
      <c r="CL608" s="1421"/>
      <c r="CM608" s="1421">
        <f t="shared" si="12"/>
        <v>0</v>
      </c>
      <c r="CN608" s="1421"/>
      <c r="CO608" s="1421"/>
      <c r="CP608" s="1421"/>
      <c r="CQ608" s="1421"/>
      <c r="CR608" s="6"/>
      <c r="CS608" s="1422">
        <f t="shared" si="13"/>
        <v>0</v>
      </c>
      <c r="CT608" s="1422"/>
      <c r="CU608" s="1422"/>
      <c r="CV608" s="1422"/>
      <c r="CW608" s="1422"/>
      <c r="CX608" s="1422">
        <f t="shared" si="14"/>
        <v>0</v>
      </c>
      <c r="CY608" s="1422"/>
      <c r="CZ608" s="1422"/>
      <c r="DA608" s="1422"/>
      <c r="DB608" s="1422"/>
      <c r="DC608" s="1422">
        <f t="shared" si="15"/>
        <v>0</v>
      </c>
      <c r="DD608" s="1422"/>
      <c r="DE608" s="1422"/>
      <c r="DF608" s="1422"/>
      <c r="DG608" s="1422"/>
      <c r="DH608" s="1422">
        <f t="shared" si="16"/>
        <v>0</v>
      </c>
      <c r="DI608" s="1422"/>
      <c r="DJ608" s="1422"/>
      <c r="DK608" s="1422"/>
      <c r="DL608" s="1422"/>
      <c r="DM608" s="1422">
        <f t="shared" si="17"/>
        <v>0</v>
      </c>
      <c r="DN608" s="1422"/>
      <c r="DO608" s="1422"/>
      <c r="DP608" s="1422"/>
      <c r="DQ608" s="1422"/>
      <c r="DR608" s="1422">
        <f t="shared" si="18"/>
        <v>0</v>
      </c>
      <c r="DS608" s="1422"/>
      <c r="DT608" s="1422"/>
      <c r="DU608" s="1422"/>
      <c r="DV608" s="1422"/>
      <c r="DX608" s="1418" t="str">
        <f t="shared" si="19"/>
        <v xml:space="preserve"> </v>
      </c>
      <c r="DY608" s="1419"/>
      <c r="DZ608" s="1419"/>
      <c r="EA608" s="1419"/>
      <c r="EB608" s="1420"/>
      <c r="EC608" s="1418" t="str">
        <f t="shared" si="20"/>
        <v xml:space="preserve"> </v>
      </c>
      <c r="ED608" s="1419"/>
      <c r="EE608" s="1419"/>
      <c r="EF608" s="1419"/>
      <c r="EG608" s="1420"/>
      <c r="EH608" s="1418">
        <f t="shared" si="21"/>
        <v>1755</v>
      </c>
      <c r="EI608" s="1419"/>
      <c r="EJ608" s="1419"/>
      <c r="EK608" s="1419"/>
      <c r="EL608" s="1420"/>
      <c r="EM608" s="1418" t="str">
        <f t="shared" si="22"/>
        <v xml:space="preserve"> </v>
      </c>
      <c r="EN608" s="1419"/>
      <c r="EO608" s="1419"/>
      <c r="EP608" s="1419"/>
      <c r="EQ608" s="1420"/>
      <c r="ER608" s="1418" t="str">
        <f t="shared" si="23"/>
        <v xml:space="preserve"> </v>
      </c>
      <c r="ES608" s="1419"/>
      <c r="ET608" s="1419"/>
      <c r="EU608" s="1419"/>
      <c r="EV608" s="1420"/>
      <c r="EW608" s="1418" t="str">
        <f t="shared" si="24"/>
        <v xml:space="preserve"> </v>
      </c>
      <c r="EX608" s="1419"/>
      <c r="EY608" s="1419"/>
      <c r="EZ608" s="1419"/>
      <c r="FA608" s="1420"/>
    </row>
    <row r="609" spans="1:157" ht="12.9"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8">
        <f t="shared" si="3"/>
        <v>1</v>
      </c>
      <c r="BF609" s="1420"/>
      <c r="BG609" s="1431">
        <f t="shared" si="4"/>
        <v>6</v>
      </c>
      <c r="BH609" s="1432"/>
      <c r="BI609" s="1418">
        <f t="shared" si="5"/>
        <v>0</v>
      </c>
      <c r="BJ609" s="1420"/>
      <c r="BK609" s="1431">
        <f t="shared" si="6"/>
        <v>0</v>
      </c>
      <c r="BL609" s="1432"/>
      <c r="BM609" s="3"/>
      <c r="BN609" s="1412">
        <f t="shared" si="7"/>
        <v>0</v>
      </c>
      <c r="BO609" s="1413"/>
      <c r="BP609" s="1413"/>
      <c r="BQ609" s="1413"/>
      <c r="BR609" s="1414"/>
      <c r="BS609" s="1421">
        <f t="shared" si="8"/>
        <v>0</v>
      </c>
      <c r="BT609" s="1421"/>
      <c r="BU609" s="1421"/>
      <c r="BV609" s="1421"/>
      <c r="BW609" s="1421"/>
      <c r="BX609" s="1421">
        <f t="shared" si="9"/>
        <v>6</v>
      </c>
      <c r="BY609" s="1421"/>
      <c r="BZ609" s="1421"/>
      <c r="CA609" s="1421"/>
      <c r="CB609" s="1421"/>
      <c r="CC609" s="1421">
        <f t="shared" si="10"/>
        <v>0</v>
      </c>
      <c r="CD609" s="1421"/>
      <c r="CE609" s="1421"/>
      <c r="CF609" s="1421"/>
      <c r="CG609" s="1421"/>
      <c r="CH609" s="1421">
        <f t="shared" si="11"/>
        <v>0</v>
      </c>
      <c r="CI609" s="1421"/>
      <c r="CJ609" s="1421"/>
      <c r="CK609" s="1421"/>
      <c r="CL609" s="1421"/>
      <c r="CM609" s="1421">
        <f t="shared" si="12"/>
        <v>0</v>
      </c>
      <c r="CN609" s="1421"/>
      <c r="CO609" s="1421"/>
      <c r="CP609" s="1421"/>
      <c r="CQ609" s="1421"/>
      <c r="CR609" s="6"/>
      <c r="CS609" s="1422">
        <f t="shared" si="13"/>
        <v>0</v>
      </c>
      <c r="CT609" s="1422"/>
      <c r="CU609" s="1422"/>
      <c r="CV609" s="1422"/>
      <c r="CW609" s="1422"/>
      <c r="CX609" s="1422">
        <f t="shared" si="14"/>
        <v>0</v>
      </c>
      <c r="CY609" s="1422"/>
      <c r="CZ609" s="1422"/>
      <c r="DA609" s="1422"/>
      <c r="DB609" s="1422"/>
      <c r="DC609" s="1422">
        <f t="shared" si="15"/>
        <v>0</v>
      </c>
      <c r="DD609" s="1422"/>
      <c r="DE609" s="1422"/>
      <c r="DF609" s="1422"/>
      <c r="DG609" s="1422"/>
      <c r="DH609" s="1422">
        <f t="shared" si="16"/>
        <v>0</v>
      </c>
      <c r="DI609" s="1422"/>
      <c r="DJ609" s="1422"/>
      <c r="DK609" s="1422"/>
      <c r="DL609" s="1422"/>
      <c r="DM609" s="1422">
        <f t="shared" si="17"/>
        <v>0</v>
      </c>
      <c r="DN609" s="1422"/>
      <c r="DO609" s="1422"/>
      <c r="DP609" s="1422"/>
      <c r="DQ609" s="1422"/>
      <c r="DR609" s="1422">
        <f t="shared" si="18"/>
        <v>0</v>
      </c>
      <c r="DS609" s="1422"/>
      <c r="DT609" s="1422"/>
      <c r="DU609" s="1422"/>
      <c r="DV609" s="1422"/>
      <c r="DX609" s="1418" t="str">
        <f t="shared" si="19"/>
        <v xml:space="preserve"> </v>
      </c>
      <c r="DY609" s="1419"/>
      <c r="DZ609" s="1419"/>
      <c r="EA609" s="1419"/>
      <c r="EB609" s="1420"/>
      <c r="EC609" s="1418" t="str">
        <f t="shared" si="20"/>
        <v xml:space="preserve"> </v>
      </c>
      <c r="ED609" s="1419"/>
      <c r="EE609" s="1419"/>
      <c r="EF609" s="1419"/>
      <c r="EG609" s="1420"/>
      <c r="EH609" s="1418">
        <f t="shared" si="21"/>
        <v>1755</v>
      </c>
      <c r="EI609" s="1419"/>
      <c r="EJ609" s="1419"/>
      <c r="EK609" s="1419"/>
      <c r="EL609" s="1420"/>
      <c r="EM609" s="1418" t="str">
        <f t="shared" si="22"/>
        <v xml:space="preserve"> </v>
      </c>
      <c r="EN609" s="1419"/>
      <c r="EO609" s="1419"/>
      <c r="EP609" s="1419"/>
      <c r="EQ609" s="1420"/>
      <c r="ER609" s="1418" t="str">
        <f t="shared" si="23"/>
        <v xml:space="preserve"> </v>
      </c>
      <c r="ES609" s="1419"/>
      <c r="ET609" s="1419"/>
      <c r="EU609" s="1419"/>
      <c r="EV609" s="1420"/>
      <c r="EW609" s="1418" t="str">
        <f t="shared" si="24"/>
        <v xml:space="preserve"> </v>
      </c>
      <c r="EX609" s="1419"/>
      <c r="EY609" s="1419"/>
      <c r="EZ609" s="1419"/>
      <c r="FA609" s="1420"/>
    </row>
    <row r="610" spans="1:157" ht="12.9"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8">
        <f t="shared" si="3"/>
        <v>0</v>
      </c>
      <c r="BF610" s="1420"/>
      <c r="BG610" s="1431">
        <f t="shared" si="4"/>
        <v>0</v>
      </c>
      <c r="BH610" s="1432"/>
      <c r="BI610" s="1418">
        <f t="shared" si="5"/>
        <v>0</v>
      </c>
      <c r="BJ610" s="1420"/>
      <c r="BK610" s="1431">
        <f t="shared" si="6"/>
        <v>0</v>
      </c>
      <c r="BL610" s="1432"/>
      <c r="BM610" s="3"/>
      <c r="BN610" s="1412">
        <f t="shared" si="7"/>
        <v>0</v>
      </c>
      <c r="BO610" s="1413"/>
      <c r="BP610" s="1413"/>
      <c r="BQ610" s="1413"/>
      <c r="BR610" s="1414"/>
      <c r="BS610" s="1421">
        <f t="shared" si="8"/>
        <v>0</v>
      </c>
      <c r="BT610" s="1421"/>
      <c r="BU610" s="1421"/>
      <c r="BV610" s="1421"/>
      <c r="BW610" s="1421"/>
      <c r="BX610" s="1421">
        <f t="shared" si="9"/>
        <v>12</v>
      </c>
      <c r="BY610" s="1421"/>
      <c r="BZ610" s="1421"/>
      <c r="CA610" s="1421"/>
      <c r="CB610" s="1421"/>
      <c r="CC610" s="1421">
        <f t="shared" si="10"/>
        <v>0</v>
      </c>
      <c r="CD610" s="1421"/>
      <c r="CE610" s="1421"/>
      <c r="CF610" s="1421"/>
      <c r="CG610" s="1421"/>
      <c r="CH610" s="1421">
        <f t="shared" si="11"/>
        <v>0</v>
      </c>
      <c r="CI610" s="1421"/>
      <c r="CJ610" s="1421"/>
      <c r="CK610" s="1421"/>
      <c r="CL610" s="1421"/>
      <c r="CM610" s="1421">
        <f t="shared" si="12"/>
        <v>0</v>
      </c>
      <c r="CN610" s="1421"/>
      <c r="CO610" s="1421"/>
      <c r="CP610" s="1421"/>
      <c r="CQ610" s="1421"/>
      <c r="CR610" s="6"/>
      <c r="CS610" s="1422">
        <f t="shared" si="13"/>
        <v>0</v>
      </c>
      <c r="CT610" s="1422"/>
      <c r="CU610" s="1422"/>
      <c r="CV610" s="1422"/>
      <c r="CW610" s="1422"/>
      <c r="CX610" s="1422">
        <f t="shared" si="14"/>
        <v>0</v>
      </c>
      <c r="CY610" s="1422"/>
      <c r="CZ610" s="1422"/>
      <c r="DA610" s="1422"/>
      <c r="DB610" s="1422"/>
      <c r="DC610" s="1422">
        <f t="shared" si="15"/>
        <v>0</v>
      </c>
      <c r="DD610" s="1422"/>
      <c r="DE610" s="1422"/>
      <c r="DF610" s="1422"/>
      <c r="DG610" s="1422"/>
      <c r="DH610" s="1422">
        <f t="shared" si="16"/>
        <v>0</v>
      </c>
      <c r="DI610" s="1422"/>
      <c r="DJ610" s="1422"/>
      <c r="DK610" s="1422"/>
      <c r="DL610" s="1422"/>
      <c r="DM610" s="1422">
        <f t="shared" si="17"/>
        <v>0</v>
      </c>
      <c r="DN610" s="1422"/>
      <c r="DO610" s="1422"/>
      <c r="DP610" s="1422"/>
      <c r="DQ610" s="1422"/>
      <c r="DR610" s="1422">
        <f t="shared" si="18"/>
        <v>0</v>
      </c>
      <c r="DS610" s="1422"/>
      <c r="DT610" s="1422"/>
      <c r="DU610" s="1422"/>
      <c r="DV610" s="1422"/>
      <c r="DX610" s="1418" t="str">
        <f t="shared" si="19"/>
        <v xml:space="preserve"> </v>
      </c>
      <c r="DY610" s="1419"/>
      <c r="DZ610" s="1419"/>
      <c r="EA610" s="1419"/>
      <c r="EB610" s="1420"/>
      <c r="EC610" s="1418" t="str">
        <f t="shared" si="20"/>
        <v xml:space="preserve"> </v>
      </c>
      <c r="ED610" s="1419"/>
      <c r="EE610" s="1419"/>
      <c r="EF610" s="1419"/>
      <c r="EG610" s="1420"/>
      <c r="EH610" s="1418">
        <f t="shared" si="21"/>
        <v>2134</v>
      </c>
      <c r="EI610" s="1419"/>
      <c r="EJ610" s="1419"/>
      <c r="EK610" s="1419"/>
      <c r="EL610" s="1420"/>
      <c r="EM610" s="1418" t="str">
        <f t="shared" si="22"/>
        <v xml:space="preserve"> </v>
      </c>
      <c r="EN610" s="1419"/>
      <c r="EO610" s="1419"/>
      <c r="EP610" s="1419"/>
      <c r="EQ610" s="1420"/>
      <c r="ER610" s="1418" t="str">
        <f t="shared" si="23"/>
        <v xml:space="preserve"> </v>
      </c>
      <c r="ES610" s="1419"/>
      <c r="ET610" s="1419"/>
      <c r="EU610" s="1419"/>
      <c r="EV610" s="1420"/>
      <c r="EW610" s="1418" t="str">
        <f t="shared" si="24"/>
        <v xml:space="preserve"> </v>
      </c>
      <c r="EX610" s="1419"/>
      <c r="EY610" s="1419"/>
      <c r="EZ610" s="1419"/>
      <c r="FA610" s="1420"/>
    </row>
    <row r="611" spans="1:157" ht="12.9" customHeight="1">
      <c r="B611" t="s">
        <v>20</v>
      </c>
      <c r="N611" s="1353" t="s">
        <v>678</v>
      </c>
      <c r="O611" s="1353"/>
      <c r="U611" t="s">
        <v>20</v>
      </c>
      <c r="AG611" s="1353" t="s">
        <v>678</v>
      </c>
      <c r="AH611" s="1353"/>
      <c r="AZ611" s="3"/>
      <c r="BA611" s="3"/>
      <c r="BB611" s="3"/>
      <c r="BC611" s="3"/>
      <c r="BD611" s="3"/>
      <c r="BE611" s="1418">
        <f t="shared" si="3"/>
        <v>0</v>
      </c>
      <c r="BF611" s="1420"/>
      <c r="BG611" s="1431">
        <f t="shared" si="4"/>
        <v>0</v>
      </c>
      <c r="BH611" s="1432"/>
      <c r="BI611" s="1418">
        <f t="shared" si="5"/>
        <v>0</v>
      </c>
      <c r="BJ611" s="1420"/>
      <c r="BK611" s="1431">
        <f t="shared" si="6"/>
        <v>0</v>
      </c>
      <c r="BL611" s="1432"/>
      <c r="BM611" s="3"/>
      <c r="BN611" s="1412">
        <f t="shared" si="7"/>
        <v>0</v>
      </c>
      <c r="BO611" s="1413"/>
      <c r="BP611" s="1413"/>
      <c r="BQ611" s="1413"/>
      <c r="BR611" s="1414"/>
      <c r="BS611" s="1421">
        <f t="shared" si="8"/>
        <v>0</v>
      </c>
      <c r="BT611" s="1421"/>
      <c r="BU611" s="1421"/>
      <c r="BV611" s="1421"/>
      <c r="BW611" s="1421"/>
      <c r="BX611" s="1421">
        <f t="shared" si="9"/>
        <v>5</v>
      </c>
      <c r="BY611" s="1421"/>
      <c r="BZ611" s="1421"/>
      <c r="CA611" s="1421"/>
      <c r="CB611" s="1421"/>
      <c r="CC611" s="1421">
        <f t="shared" si="10"/>
        <v>0</v>
      </c>
      <c r="CD611" s="1421"/>
      <c r="CE611" s="1421"/>
      <c r="CF611" s="1421"/>
      <c r="CG611" s="1421"/>
      <c r="CH611" s="1421">
        <f t="shared" si="11"/>
        <v>0</v>
      </c>
      <c r="CI611" s="1421"/>
      <c r="CJ611" s="1421"/>
      <c r="CK611" s="1421"/>
      <c r="CL611" s="1421"/>
      <c r="CM611" s="1421">
        <f t="shared" si="12"/>
        <v>0</v>
      </c>
      <c r="CN611" s="1421"/>
      <c r="CO611" s="1421"/>
      <c r="CP611" s="1421"/>
      <c r="CQ611" s="1421"/>
      <c r="CR611" s="6"/>
      <c r="CS611" s="1422">
        <f t="shared" si="13"/>
        <v>0</v>
      </c>
      <c r="CT611" s="1422"/>
      <c r="CU611" s="1422"/>
      <c r="CV611" s="1422"/>
      <c r="CW611" s="1422"/>
      <c r="CX611" s="1422">
        <f t="shared" si="14"/>
        <v>0</v>
      </c>
      <c r="CY611" s="1422"/>
      <c r="CZ611" s="1422"/>
      <c r="DA611" s="1422"/>
      <c r="DB611" s="1422"/>
      <c r="DC611" s="1422">
        <f t="shared" si="15"/>
        <v>0</v>
      </c>
      <c r="DD611" s="1422"/>
      <c r="DE611" s="1422"/>
      <c r="DF611" s="1422"/>
      <c r="DG611" s="1422"/>
      <c r="DH611" s="1422">
        <f t="shared" si="16"/>
        <v>0</v>
      </c>
      <c r="DI611" s="1422"/>
      <c r="DJ611" s="1422"/>
      <c r="DK611" s="1422"/>
      <c r="DL611" s="1422"/>
      <c r="DM611" s="1422">
        <f t="shared" si="17"/>
        <v>0</v>
      </c>
      <c r="DN611" s="1422"/>
      <c r="DO611" s="1422"/>
      <c r="DP611" s="1422"/>
      <c r="DQ611" s="1422"/>
      <c r="DR611" s="1422">
        <f t="shared" si="18"/>
        <v>0</v>
      </c>
      <c r="DS611" s="1422"/>
      <c r="DT611" s="1422"/>
      <c r="DU611" s="1422"/>
      <c r="DV611" s="1422"/>
      <c r="DX611" s="1418" t="str">
        <f t="shared" si="19"/>
        <v xml:space="preserve"> </v>
      </c>
      <c r="DY611" s="1419"/>
      <c r="DZ611" s="1419"/>
      <c r="EA611" s="1419"/>
      <c r="EB611" s="1420"/>
      <c r="EC611" s="1418" t="str">
        <f t="shared" si="20"/>
        <v xml:space="preserve"> </v>
      </c>
      <c r="ED611" s="1419"/>
      <c r="EE611" s="1419"/>
      <c r="EF611" s="1419"/>
      <c r="EG611" s="1420"/>
      <c r="EH611" s="1418">
        <f t="shared" si="21"/>
        <v>2513</v>
      </c>
      <c r="EI611" s="1419"/>
      <c r="EJ611" s="1419"/>
      <c r="EK611" s="1419"/>
      <c r="EL611" s="1420"/>
      <c r="EM611" s="1418" t="str">
        <f t="shared" si="22"/>
        <v xml:space="preserve"> </v>
      </c>
      <c r="EN611" s="1419"/>
      <c r="EO611" s="1419"/>
      <c r="EP611" s="1419"/>
      <c r="EQ611" s="1420"/>
      <c r="ER611" s="1418" t="str">
        <f t="shared" si="23"/>
        <v xml:space="preserve"> </v>
      </c>
      <c r="ES611" s="1419"/>
      <c r="ET611" s="1419"/>
      <c r="EU611" s="1419"/>
      <c r="EV611" s="1420"/>
      <c r="EW611" s="1418" t="str">
        <f t="shared" si="24"/>
        <v xml:space="preserve"> </v>
      </c>
      <c r="EX611" s="1419"/>
      <c r="EY611" s="1419"/>
      <c r="EZ611" s="1419"/>
      <c r="FA611" s="1420"/>
    </row>
    <row r="612" spans="1:157" ht="12.9" customHeight="1">
      <c r="AZ612" s="3"/>
      <c r="BA612" s="3"/>
      <c r="BB612" s="3"/>
      <c r="BC612" s="3"/>
      <c r="BD612" s="3"/>
      <c r="BE612" s="1418">
        <f t="shared" si="3"/>
        <v>0</v>
      </c>
      <c r="BF612" s="1420"/>
      <c r="BG612" s="1431">
        <f t="shared" si="4"/>
        <v>0</v>
      </c>
      <c r="BH612" s="1432"/>
      <c r="BI612" s="1418">
        <f t="shared" si="5"/>
        <v>1</v>
      </c>
      <c r="BJ612" s="1420"/>
      <c r="BK612" s="1431">
        <f t="shared" si="6"/>
        <v>2</v>
      </c>
      <c r="BL612" s="1432"/>
      <c r="BM612" s="3"/>
      <c r="BN612" s="1412">
        <f t="shared" si="7"/>
        <v>0</v>
      </c>
      <c r="BO612" s="1413"/>
      <c r="BP612" s="1413"/>
      <c r="BQ612" s="1413"/>
      <c r="BR612" s="1414"/>
      <c r="BS612" s="1421">
        <f t="shared" si="8"/>
        <v>0</v>
      </c>
      <c r="BT612" s="1421"/>
      <c r="BU612" s="1421"/>
      <c r="BV612" s="1421"/>
      <c r="BW612" s="1421"/>
      <c r="BX612" s="1421">
        <f t="shared" si="9"/>
        <v>0</v>
      </c>
      <c r="BY612" s="1421"/>
      <c r="BZ612" s="1421"/>
      <c r="CA612" s="1421"/>
      <c r="CB612" s="1421"/>
      <c r="CC612" s="1421">
        <f t="shared" si="10"/>
        <v>2</v>
      </c>
      <c r="CD612" s="1421"/>
      <c r="CE612" s="1421"/>
      <c r="CF612" s="1421"/>
      <c r="CG612" s="1421"/>
      <c r="CH612" s="1421">
        <f t="shared" si="11"/>
        <v>0</v>
      </c>
      <c r="CI612" s="1421"/>
      <c r="CJ612" s="1421"/>
      <c r="CK612" s="1421"/>
      <c r="CL612" s="1421"/>
      <c r="CM612" s="1421">
        <f t="shared" si="12"/>
        <v>0</v>
      </c>
      <c r="CN612" s="1421"/>
      <c r="CO612" s="1421"/>
      <c r="CP612" s="1421"/>
      <c r="CQ612" s="1421"/>
      <c r="CR612" s="6"/>
      <c r="CS612" s="1422">
        <f t="shared" si="13"/>
        <v>0</v>
      </c>
      <c r="CT612" s="1422"/>
      <c r="CU612" s="1422"/>
      <c r="CV612" s="1422"/>
      <c r="CW612" s="1422"/>
      <c r="CX612" s="1422">
        <f t="shared" si="14"/>
        <v>0</v>
      </c>
      <c r="CY612" s="1422"/>
      <c r="CZ612" s="1422"/>
      <c r="DA612" s="1422"/>
      <c r="DB612" s="1422"/>
      <c r="DC612" s="1422">
        <f t="shared" si="15"/>
        <v>0</v>
      </c>
      <c r="DD612" s="1422"/>
      <c r="DE612" s="1422"/>
      <c r="DF612" s="1422"/>
      <c r="DG612" s="1422"/>
      <c r="DH612" s="1422">
        <f t="shared" si="16"/>
        <v>2</v>
      </c>
      <c r="DI612" s="1422"/>
      <c r="DJ612" s="1422"/>
      <c r="DK612" s="1422"/>
      <c r="DL612" s="1422"/>
      <c r="DM612" s="1422">
        <f t="shared" si="17"/>
        <v>0</v>
      </c>
      <c r="DN612" s="1422"/>
      <c r="DO612" s="1422"/>
      <c r="DP612" s="1422"/>
      <c r="DQ612" s="1422"/>
      <c r="DR612" s="1422">
        <f t="shared" si="18"/>
        <v>0</v>
      </c>
      <c r="DS612" s="1422"/>
      <c r="DT612" s="1422"/>
      <c r="DU612" s="1422"/>
      <c r="DV612" s="1422"/>
      <c r="DX612" s="1418" t="str">
        <f t="shared" si="19"/>
        <v xml:space="preserve"> </v>
      </c>
      <c r="DY612" s="1419"/>
      <c r="DZ612" s="1419"/>
      <c r="EA612" s="1419"/>
      <c r="EB612" s="1420"/>
      <c r="EC612" s="1418" t="str">
        <f t="shared" si="20"/>
        <v xml:space="preserve"> </v>
      </c>
      <c r="ED612" s="1419"/>
      <c r="EE612" s="1419"/>
      <c r="EF612" s="1419"/>
      <c r="EG612" s="1420"/>
      <c r="EH612" s="1418" t="str">
        <f t="shared" si="21"/>
        <v xml:space="preserve"> </v>
      </c>
      <c r="EI612" s="1419"/>
      <c r="EJ612" s="1419"/>
      <c r="EK612" s="1419"/>
      <c r="EL612" s="1420"/>
      <c r="EM612" s="1418">
        <f t="shared" si="22"/>
        <v>1141</v>
      </c>
      <c r="EN612" s="1419"/>
      <c r="EO612" s="1419"/>
      <c r="EP612" s="1419"/>
      <c r="EQ612" s="1420"/>
      <c r="ER612" s="1418" t="str">
        <f t="shared" si="23"/>
        <v xml:space="preserve"> </v>
      </c>
      <c r="ES612" s="1419"/>
      <c r="ET612" s="1419"/>
      <c r="EU612" s="1419"/>
      <c r="EV612" s="1420"/>
      <c r="EW612" s="1418" t="str">
        <f t="shared" si="24"/>
        <v xml:space="preserve"> </v>
      </c>
      <c r="EX612" s="1419"/>
      <c r="EY612" s="1419"/>
      <c r="EZ612" s="1419"/>
      <c r="FA612" s="1420"/>
    </row>
    <row r="613" spans="1:157" ht="12.9"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5"/>
      <c r="AU613" s="935"/>
      <c r="AV613" s="935"/>
      <c r="AW613" s="935"/>
      <c r="AX613" s="935"/>
      <c r="AY613" s="935"/>
      <c r="AZ613" s="3"/>
      <c r="BA613" s="3"/>
      <c r="BB613" s="3"/>
      <c r="BC613" s="3"/>
      <c r="BD613" s="3"/>
      <c r="BE613" s="1418">
        <f t="shared" si="3"/>
        <v>0</v>
      </c>
      <c r="BF613" s="1420"/>
      <c r="BG613" s="1431">
        <f t="shared" si="4"/>
        <v>0</v>
      </c>
      <c r="BH613" s="1432"/>
      <c r="BI613" s="1418">
        <f t="shared" si="5"/>
        <v>1</v>
      </c>
      <c r="BJ613" s="1420"/>
      <c r="BK613" s="1431">
        <f t="shared" si="6"/>
        <v>13</v>
      </c>
      <c r="BL613" s="1432"/>
      <c r="BM613" s="3"/>
      <c r="BN613" s="1412">
        <f t="shared" si="7"/>
        <v>0</v>
      </c>
      <c r="BO613" s="1413"/>
      <c r="BP613" s="1413"/>
      <c r="BQ613" s="1413"/>
      <c r="BR613" s="1414"/>
      <c r="BS613" s="1421">
        <f t="shared" si="8"/>
        <v>0</v>
      </c>
      <c r="BT613" s="1421"/>
      <c r="BU613" s="1421"/>
      <c r="BV613" s="1421"/>
      <c r="BW613" s="1421"/>
      <c r="BX613" s="1421">
        <f t="shared" si="9"/>
        <v>0</v>
      </c>
      <c r="BY613" s="1421"/>
      <c r="BZ613" s="1421"/>
      <c r="CA613" s="1421"/>
      <c r="CB613" s="1421"/>
      <c r="CC613" s="1421">
        <f t="shared" si="10"/>
        <v>13</v>
      </c>
      <c r="CD613" s="1421"/>
      <c r="CE613" s="1421"/>
      <c r="CF613" s="1421"/>
      <c r="CG613" s="1421"/>
      <c r="CH613" s="1421">
        <f t="shared" si="11"/>
        <v>0</v>
      </c>
      <c r="CI613" s="1421"/>
      <c r="CJ613" s="1421"/>
      <c r="CK613" s="1421"/>
      <c r="CL613" s="1421"/>
      <c r="CM613" s="1421">
        <f t="shared" si="12"/>
        <v>0</v>
      </c>
      <c r="CN613" s="1421"/>
      <c r="CO613" s="1421"/>
      <c r="CP613" s="1421"/>
      <c r="CQ613" s="1421"/>
      <c r="CR613" s="6"/>
      <c r="CS613" s="1422">
        <f t="shared" si="13"/>
        <v>0</v>
      </c>
      <c r="CT613" s="1422"/>
      <c r="CU613" s="1422"/>
      <c r="CV613" s="1422"/>
      <c r="CW613" s="1422"/>
      <c r="CX613" s="1422">
        <f t="shared" si="14"/>
        <v>0</v>
      </c>
      <c r="CY613" s="1422"/>
      <c r="CZ613" s="1422"/>
      <c r="DA613" s="1422"/>
      <c r="DB613" s="1422"/>
      <c r="DC613" s="1422">
        <f t="shared" si="15"/>
        <v>0</v>
      </c>
      <c r="DD613" s="1422"/>
      <c r="DE613" s="1422"/>
      <c r="DF613" s="1422"/>
      <c r="DG613" s="1422"/>
      <c r="DH613" s="1422">
        <f t="shared" si="16"/>
        <v>13</v>
      </c>
      <c r="DI613" s="1422"/>
      <c r="DJ613" s="1422"/>
      <c r="DK613" s="1422"/>
      <c r="DL613" s="1422"/>
      <c r="DM613" s="1422">
        <f t="shared" si="17"/>
        <v>0</v>
      </c>
      <c r="DN613" s="1422"/>
      <c r="DO613" s="1422"/>
      <c r="DP613" s="1422"/>
      <c r="DQ613" s="1422"/>
      <c r="DR613" s="1422">
        <f t="shared" si="18"/>
        <v>0</v>
      </c>
      <c r="DS613" s="1422"/>
      <c r="DT613" s="1422"/>
      <c r="DU613" s="1422"/>
      <c r="DV613" s="1422"/>
      <c r="DX613" s="1418" t="str">
        <f t="shared" si="19"/>
        <v xml:space="preserve"> </v>
      </c>
      <c r="DY613" s="1419"/>
      <c r="DZ613" s="1419"/>
      <c r="EA613" s="1419"/>
      <c r="EB613" s="1420"/>
      <c r="EC613" s="1418" t="str">
        <f t="shared" si="20"/>
        <v xml:space="preserve"> </v>
      </c>
      <c r="ED613" s="1419"/>
      <c r="EE613" s="1419"/>
      <c r="EF613" s="1419"/>
      <c r="EG613" s="1420"/>
      <c r="EH613" s="1418" t="str">
        <f t="shared" si="21"/>
        <v xml:space="preserve"> </v>
      </c>
      <c r="EI613" s="1419"/>
      <c r="EJ613" s="1419"/>
      <c r="EK613" s="1419"/>
      <c r="EL613" s="1420"/>
      <c r="EM613" s="1418">
        <f t="shared" si="22"/>
        <v>1141</v>
      </c>
      <c r="EN613" s="1419"/>
      <c r="EO613" s="1419"/>
      <c r="EP613" s="1419"/>
      <c r="EQ613" s="1420"/>
      <c r="ER613" s="1418" t="str">
        <f t="shared" si="23"/>
        <v xml:space="preserve"> </v>
      </c>
      <c r="ES613" s="1419"/>
      <c r="ET613" s="1419"/>
      <c r="EU613" s="1419"/>
      <c r="EV613" s="1420"/>
      <c r="EW613" s="1418" t="str">
        <f t="shared" si="24"/>
        <v xml:space="preserve"> </v>
      </c>
      <c r="EX613" s="1419"/>
      <c r="EY613" s="1419"/>
      <c r="EZ613" s="1419"/>
      <c r="FA613" s="1420"/>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5"/>
      <c r="AU614" s="935"/>
      <c r="AV614" s="935"/>
      <c r="AW614" s="935"/>
      <c r="AX614" s="935"/>
      <c r="AY614" s="935"/>
      <c r="AZ614" s="3"/>
      <c r="BA614" s="3"/>
      <c r="BB614" s="3"/>
      <c r="BC614" s="3"/>
      <c r="BD614" s="3"/>
      <c r="BE614" s="1418">
        <f t="shared" si="3"/>
        <v>1</v>
      </c>
      <c r="BF614" s="1420"/>
      <c r="BG614" s="1431">
        <f t="shared" si="4"/>
        <v>3</v>
      </c>
      <c r="BH614" s="1432"/>
      <c r="BI614" s="1418">
        <f t="shared" si="5"/>
        <v>0</v>
      </c>
      <c r="BJ614" s="1420"/>
      <c r="BK614" s="1431">
        <f t="shared" si="6"/>
        <v>0</v>
      </c>
      <c r="BL614" s="1432"/>
      <c r="BM614" s="3"/>
      <c r="BN614" s="1412">
        <f t="shared" si="7"/>
        <v>0</v>
      </c>
      <c r="BO614" s="1413"/>
      <c r="BP614" s="1413"/>
      <c r="BQ614" s="1413"/>
      <c r="BR614" s="1414"/>
      <c r="BS614" s="1421">
        <f t="shared" si="8"/>
        <v>0</v>
      </c>
      <c r="BT614" s="1421"/>
      <c r="BU614" s="1421"/>
      <c r="BV614" s="1421"/>
      <c r="BW614" s="1421"/>
      <c r="BX614" s="1421">
        <f t="shared" si="9"/>
        <v>0</v>
      </c>
      <c r="BY614" s="1421"/>
      <c r="BZ614" s="1421"/>
      <c r="CA614" s="1421"/>
      <c r="CB614" s="1421"/>
      <c r="CC614" s="1421">
        <f t="shared" si="10"/>
        <v>3</v>
      </c>
      <c r="CD614" s="1421"/>
      <c r="CE614" s="1421"/>
      <c r="CF614" s="1421"/>
      <c r="CG614" s="1421"/>
      <c r="CH614" s="1421">
        <f t="shared" si="11"/>
        <v>0</v>
      </c>
      <c r="CI614" s="1421"/>
      <c r="CJ614" s="1421"/>
      <c r="CK614" s="1421"/>
      <c r="CL614" s="1421"/>
      <c r="CM614" s="1421">
        <f t="shared" si="12"/>
        <v>0</v>
      </c>
      <c r="CN614" s="1421"/>
      <c r="CO614" s="1421"/>
      <c r="CP614" s="1421"/>
      <c r="CQ614" s="1421"/>
      <c r="CR614" s="6"/>
      <c r="CS614" s="1422">
        <f t="shared" si="13"/>
        <v>0</v>
      </c>
      <c r="CT614" s="1422"/>
      <c r="CU614" s="1422"/>
      <c r="CV614" s="1422"/>
      <c r="CW614" s="1422"/>
      <c r="CX614" s="1422">
        <f t="shared" si="14"/>
        <v>0</v>
      </c>
      <c r="CY614" s="1422"/>
      <c r="CZ614" s="1422"/>
      <c r="DA614" s="1422"/>
      <c r="DB614" s="1422"/>
      <c r="DC614" s="1422">
        <f t="shared" si="15"/>
        <v>0</v>
      </c>
      <c r="DD614" s="1422"/>
      <c r="DE614" s="1422"/>
      <c r="DF614" s="1422"/>
      <c r="DG614" s="1422"/>
      <c r="DH614" s="1422">
        <f t="shared" si="16"/>
        <v>0</v>
      </c>
      <c r="DI614" s="1422"/>
      <c r="DJ614" s="1422"/>
      <c r="DK614" s="1422"/>
      <c r="DL614" s="1422"/>
      <c r="DM614" s="1422">
        <f t="shared" si="17"/>
        <v>0</v>
      </c>
      <c r="DN614" s="1422"/>
      <c r="DO614" s="1422"/>
      <c r="DP614" s="1422"/>
      <c r="DQ614" s="1422"/>
      <c r="DR614" s="1422">
        <f t="shared" si="18"/>
        <v>0</v>
      </c>
      <c r="DS614" s="1422"/>
      <c r="DT614" s="1422"/>
      <c r="DU614" s="1422"/>
      <c r="DV614" s="1422"/>
      <c r="DX614" s="1418" t="str">
        <f t="shared" si="19"/>
        <v xml:space="preserve"> </v>
      </c>
      <c r="DY614" s="1419"/>
      <c r="DZ614" s="1419"/>
      <c r="EA614" s="1419"/>
      <c r="EB614" s="1420"/>
      <c r="EC614" s="1418" t="str">
        <f t="shared" si="20"/>
        <v xml:space="preserve"> </v>
      </c>
      <c r="ED614" s="1419"/>
      <c r="EE614" s="1419"/>
      <c r="EF614" s="1419"/>
      <c r="EG614" s="1420"/>
      <c r="EH614" s="1418" t="str">
        <f t="shared" si="21"/>
        <v xml:space="preserve"> </v>
      </c>
      <c r="EI614" s="1419"/>
      <c r="EJ614" s="1419"/>
      <c r="EK614" s="1419"/>
      <c r="EL614" s="1420"/>
      <c r="EM614" s="1418">
        <f t="shared" si="22"/>
        <v>1579</v>
      </c>
      <c r="EN614" s="1419"/>
      <c r="EO614" s="1419"/>
      <c r="EP614" s="1419"/>
      <c r="EQ614" s="1420"/>
      <c r="ER614" s="1418" t="str">
        <f t="shared" si="23"/>
        <v xml:space="preserve"> </v>
      </c>
      <c r="ES614" s="1419"/>
      <c r="ET614" s="1419"/>
      <c r="EU614" s="1419"/>
      <c r="EV614" s="1420"/>
      <c r="EW614" s="1418" t="str">
        <f t="shared" si="24"/>
        <v xml:space="preserve"> </v>
      </c>
      <c r="EX614" s="1419"/>
      <c r="EY614" s="1419"/>
      <c r="EZ614" s="1419"/>
      <c r="FA614" s="1420"/>
    </row>
    <row r="615" spans="1:157" ht="12.9" customHeight="1">
      <c r="AZ615" s="3"/>
      <c r="BA615" s="3"/>
      <c r="BB615" s="3"/>
      <c r="BC615" s="3"/>
      <c r="BD615" s="3"/>
      <c r="BE615" s="1418">
        <f t="shared" si="3"/>
        <v>1</v>
      </c>
      <c r="BF615" s="1420"/>
      <c r="BG615" s="1431">
        <f t="shared" si="4"/>
        <v>2</v>
      </c>
      <c r="BH615" s="1432"/>
      <c r="BI615" s="1418">
        <f t="shared" si="5"/>
        <v>0</v>
      </c>
      <c r="BJ615" s="1420"/>
      <c r="BK615" s="1431">
        <f t="shared" si="6"/>
        <v>0</v>
      </c>
      <c r="BL615" s="1432"/>
      <c r="BM615" s="3"/>
      <c r="BN615" s="1412">
        <f t="shared" si="7"/>
        <v>0</v>
      </c>
      <c r="BO615" s="1413"/>
      <c r="BP615" s="1413"/>
      <c r="BQ615" s="1413"/>
      <c r="BR615" s="1414"/>
      <c r="BS615" s="1421">
        <f t="shared" si="8"/>
        <v>0</v>
      </c>
      <c r="BT615" s="1421"/>
      <c r="BU615" s="1421"/>
      <c r="BV615" s="1421"/>
      <c r="BW615" s="1421"/>
      <c r="BX615" s="1421">
        <f t="shared" si="9"/>
        <v>0</v>
      </c>
      <c r="BY615" s="1421"/>
      <c r="BZ615" s="1421"/>
      <c r="CA615" s="1421"/>
      <c r="CB615" s="1421"/>
      <c r="CC615" s="1421">
        <f t="shared" si="10"/>
        <v>2</v>
      </c>
      <c r="CD615" s="1421"/>
      <c r="CE615" s="1421"/>
      <c r="CF615" s="1421"/>
      <c r="CG615" s="1421"/>
      <c r="CH615" s="1421">
        <f t="shared" si="11"/>
        <v>0</v>
      </c>
      <c r="CI615" s="1421"/>
      <c r="CJ615" s="1421"/>
      <c r="CK615" s="1421"/>
      <c r="CL615" s="1421"/>
      <c r="CM615" s="1421">
        <f t="shared" si="12"/>
        <v>0</v>
      </c>
      <c r="CN615" s="1421"/>
      <c r="CO615" s="1421"/>
      <c r="CP615" s="1421"/>
      <c r="CQ615" s="1421"/>
      <c r="CR615" s="6"/>
      <c r="CS615" s="1422">
        <f t="shared" si="13"/>
        <v>0</v>
      </c>
      <c r="CT615" s="1422"/>
      <c r="CU615" s="1422"/>
      <c r="CV615" s="1422"/>
      <c r="CW615" s="1422"/>
      <c r="CX615" s="1422">
        <f t="shared" si="14"/>
        <v>0</v>
      </c>
      <c r="CY615" s="1422"/>
      <c r="CZ615" s="1422"/>
      <c r="DA615" s="1422"/>
      <c r="DB615" s="1422"/>
      <c r="DC615" s="1422">
        <f t="shared" si="15"/>
        <v>0</v>
      </c>
      <c r="DD615" s="1422"/>
      <c r="DE615" s="1422"/>
      <c r="DF615" s="1422"/>
      <c r="DG615" s="1422"/>
      <c r="DH615" s="1422">
        <f t="shared" si="16"/>
        <v>0</v>
      </c>
      <c r="DI615" s="1422"/>
      <c r="DJ615" s="1422"/>
      <c r="DK615" s="1422"/>
      <c r="DL615" s="1422"/>
      <c r="DM615" s="1422">
        <f t="shared" si="17"/>
        <v>0</v>
      </c>
      <c r="DN615" s="1422"/>
      <c r="DO615" s="1422"/>
      <c r="DP615" s="1422"/>
      <c r="DQ615" s="1422"/>
      <c r="DR615" s="1422">
        <f t="shared" si="18"/>
        <v>0</v>
      </c>
      <c r="DS615" s="1422"/>
      <c r="DT615" s="1422"/>
      <c r="DU615" s="1422"/>
      <c r="DV615" s="1422"/>
      <c r="DX615" s="1418" t="str">
        <f t="shared" si="19"/>
        <v xml:space="preserve"> </v>
      </c>
      <c r="DY615" s="1419"/>
      <c r="DZ615" s="1419"/>
      <c r="EA615" s="1419"/>
      <c r="EB615" s="1420"/>
      <c r="EC615" s="1418" t="str">
        <f t="shared" si="20"/>
        <v xml:space="preserve"> </v>
      </c>
      <c r="ED615" s="1419"/>
      <c r="EE615" s="1419"/>
      <c r="EF615" s="1419"/>
      <c r="EG615" s="1420"/>
      <c r="EH615" s="1418" t="str">
        <f t="shared" si="21"/>
        <v xml:space="preserve"> </v>
      </c>
      <c r="EI615" s="1419"/>
      <c r="EJ615" s="1419"/>
      <c r="EK615" s="1419"/>
      <c r="EL615" s="1420"/>
      <c r="EM615" s="1418">
        <f t="shared" si="22"/>
        <v>2017</v>
      </c>
      <c r="EN615" s="1419"/>
      <c r="EO615" s="1419"/>
      <c r="EP615" s="1419"/>
      <c r="EQ615" s="1420"/>
      <c r="ER615" s="1418" t="str">
        <f t="shared" si="23"/>
        <v xml:space="preserve"> </v>
      </c>
      <c r="ES615" s="1419"/>
      <c r="ET615" s="1419"/>
      <c r="EU615" s="1419"/>
      <c r="EV615" s="1420"/>
      <c r="EW615" s="1418" t="str">
        <f t="shared" si="24"/>
        <v xml:space="preserve"> </v>
      </c>
      <c r="EX615" s="1419"/>
      <c r="EY615" s="1419"/>
      <c r="EZ615" s="1419"/>
      <c r="FA615" s="1420"/>
    </row>
    <row r="616" spans="1:157" ht="12.9" customHeight="1">
      <c r="A616" s="2" t="s">
        <v>321</v>
      </c>
      <c r="B616" s="2"/>
      <c r="C616" s="2" t="s">
        <v>21</v>
      </c>
      <c r="AZ616" s="3"/>
      <c r="BA616" s="3"/>
      <c r="BB616" s="3"/>
      <c r="BC616" s="3"/>
      <c r="BD616" s="3"/>
      <c r="BE616" s="1418">
        <f t="shared" si="3"/>
        <v>1</v>
      </c>
      <c r="BF616" s="1420"/>
      <c r="BG616" s="1431">
        <f t="shared" si="4"/>
        <v>7</v>
      </c>
      <c r="BH616" s="1432"/>
      <c r="BI616" s="1418">
        <f t="shared" si="5"/>
        <v>0</v>
      </c>
      <c r="BJ616" s="1420"/>
      <c r="BK616" s="1431">
        <f t="shared" si="6"/>
        <v>0</v>
      </c>
      <c r="BL616" s="1432"/>
      <c r="BM616" s="3"/>
      <c r="BN616" s="1412">
        <f t="shared" si="7"/>
        <v>0</v>
      </c>
      <c r="BO616" s="1413"/>
      <c r="BP616" s="1413"/>
      <c r="BQ616" s="1413"/>
      <c r="BR616" s="1414"/>
      <c r="BS616" s="1421">
        <f t="shared" si="8"/>
        <v>0</v>
      </c>
      <c r="BT616" s="1421"/>
      <c r="BU616" s="1421"/>
      <c r="BV616" s="1421"/>
      <c r="BW616" s="1421"/>
      <c r="BX616" s="1421">
        <f t="shared" si="9"/>
        <v>0</v>
      </c>
      <c r="BY616" s="1421"/>
      <c r="BZ616" s="1421"/>
      <c r="CA616" s="1421"/>
      <c r="CB616" s="1421"/>
      <c r="CC616" s="1421">
        <f t="shared" si="10"/>
        <v>7</v>
      </c>
      <c r="CD616" s="1421"/>
      <c r="CE616" s="1421"/>
      <c r="CF616" s="1421"/>
      <c r="CG616" s="1421"/>
      <c r="CH616" s="1421">
        <f t="shared" si="11"/>
        <v>0</v>
      </c>
      <c r="CI616" s="1421"/>
      <c r="CJ616" s="1421"/>
      <c r="CK616" s="1421"/>
      <c r="CL616" s="1421"/>
      <c r="CM616" s="1421">
        <f t="shared" si="12"/>
        <v>0</v>
      </c>
      <c r="CN616" s="1421"/>
      <c r="CO616" s="1421"/>
      <c r="CP616" s="1421"/>
      <c r="CQ616" s="1421"/>
      <c r="CR616" s="6"/>
      <c r="CS616" s="1422">
        <f t="shared" si="13"/>
        <v>0</v>
      </c>
      <c r="CT616" s="1422"/>
      <c r="CU616" s="1422"/>
      <c r="CV616" s="1422"/>
      <c r="CW616" s="1422"/>
      <c r="CX616" s="1422">
        <f t="shared" si="14"/>
        <v>0</v>
      </c>
      <c r="CY616" s="1422"/>
      <c r="CZ616" s="1422"/>
      <c r="DA616" s="1422"/>
      <c r="DB616" s="1422"/>
      <c r="DC616" s="1422">
        <f t="shared" si="15"/>
        <v>0</v>
      </c>
      <c r="DD616" s="1422"/>
      <c r="DE616" s="1422"/>
      <c r="DF616" s="1422"/>
      <c r="DG616" s="1422"/>
      <c r="DH616" s="1422">
        <f t="shared" si="16"/>
        <v>0</v>
      </c>
      <c r="DI616" s="1422"/>
      <c r="DJ616" s="1422"/>
      <c r="DK616" s="1422"/>
      <c r="DL616" s="1422"/>
      <c r="DM616" s="1422">
        <f t="shared" si="17"/>
        <v>0</v>
      </c>
      <c r="DN616" s="1422"/>
      <c r="DO616" s="1422"/>
      <c r="DP616" s="1422"/>
      <c r="DQ616" s="1422"/>
      <c r="DR616" s="1422">
        <f t="shared" si="18"/>
        <v>0</v>
      </c>
      <c r="DS616" s="1422"/>
      <c r="DT616" s="1422"/>
      <c r="DU616" s="1422"/>
      <c r="DV616" s="1422"/>
      <c r="DX616" s="1418" t="str">
        <f t="shared" si="19"/>
        <v xml:space="preserve"> </v>
      </c>
      <c r="DY616" s="1419"/>
      <c r="DZ616" s="1419"/>
      <c r="EA616" s="1419"/>
      <c r="EB616" s="1420"/>
      <c r="EC616" s="1418" t="str">
        <f t="shared" si="20"/>
        <v xml:space="preserve"> </v>
      </c>
      <c r="ED616" s="1419"/>
      <c r="EE616" s="1419"/>
      <c r="EF616" s="1419"/>
      <c r="EG616" s="1420"/>
      <c r="EH616" s="1418" t="str">
        <f t="shared" si="21"/>
        <v xml:space="preserve"> </v>
      </c>
      <c r="EI616" s="1419"/>
      <c r="EJ616" s="1419"/>
      <c r="EK616" s="1419"/>
      <c r="EL616" s="1420"/>
      <c r="EM616" s="1418">
        <f t="shared" si="22"/>
        <v>2017</v>
      </c>
      <c r="EN616" s="1419"/>
      <c r="EO616" s="1419"/>
      <c r="EP616" s="1419"/>
      <c r="EQ616" s="1420"/>
      <c r="ER616" s="1418" t="str">
        <f t="shared" si="23"/>
        <v xml:space="preserve"> </v>
      </c>
      <c r="ES616" s="1419"/>
      <c r="ET616" s="1419"/>
      <c r="EU616" s="1419"/>
      <c r="EV616" s="1420"/>
      <c r="EW616" s="1418" t="str">
        <f t="shared" si="24"/>
        <v xml:space="preserve"> </v>
      </c>
      <c r="EX616" s="1419"/>
      <c r="EY616" s="1419"/>
      <c r="EZ616" s="1419"/>
      <c r="FA616" s="1420"/>
    </row>
    <row r="617" spans="1:157" ht="12.9" customHeight="1">
      <c r="A617" s="2"/>
      <c r="B617" s="2"/>
      <c r="C617" s="2"/>
      <c r="AZ617" s="3"/>
      <c r="BA617" s="3"/>
      <c r="BB617" s="3"/>
      <c r="BC617" s="3"/>
      <c r="BD617" s="3"/>
      <c r="BE617" s="1418">
        <f t="shared" si="3"/>
        <v>0</v>
      </c>
      <c r="BF617" s="1420"/>
      <c r="BG617" s="1431">
        <f t="shared" si="4"/>
        <v>0</v>
      </c>
      <c r="BH617" s="1432"/>
      <c r="BI617" s="1418">
        <f t="shared" si="5"/>
        <v>0</v>
      </c>
      <c r="BJ617" s="1420"/>
      <c r="BK617" s="1431">
        <f t="shared" si="6"/>
        <v>0</v>
      </c>
      <c r="BL617" s="1432"/>
      <c r="BM617" s="3"/>
      <c r="BN617" s="1412">
        <f t="shared" si="7"/>
        <v>0</v>
      </c>
      <c r="BO617" s="1413"/>
      <c r="BP617" s="1413"/>
      <c r="BQ617" s="1413"/>
      <c r="BR617" s="1414"/>
      <c r="BS617" s="1421">
        <f t="shared" si="8"/>
        <v>0</v>
      </c>
      <c r="BT617" s="1421"/>
      <c r="BU617" s="1421"/>
      <c r="BV617" s="1421"/>
      <c r="BW617" s="1421"/>
      <c r="BX617" s="1421">
        <f t="shared" si="9"/>
        <v>0</v>
      </c>
      <c r="BY617" s="1421"/>
      <c r="BZ617" s="1421"/>
      <c r="CA617" s="1421"/>
      <c r="CB617" s="1421"/>
      <c r="CC617" s="1421">
        <f t="shared" si="10"/>
        <v>12</v>
      </c>
      <c r="CD617" s="1421"/>
      <c r="CE617" s="1421"/>
      <c r="CF617" s="1421"/>
      <c r="CG617" s="1421"/>
      <c r="CH617" s="1421">
        <f t="shared" si="11"/>
        <v>0</v>
      </c>
      <c r="CI617" s="1421"/>
      <c r="CJ617" s="1421"/>
      <c r="CK617" s="1421"/>
      <c r="CL617" s="1421"/>
      <c r="CM617" s="1421">
        <f t="shared" si="12"/>
        <v>0</v>
      </c>
      <c r="CN617" s="1421"/>
      <c r="CO617" s="1421"/>
      <c r="CP617" s="1421"/>
      <c r="CQ617" s="1421"/>
      <c r="CR617" s="6"/>
      <c r="CS617" s="1422">
        <f t="shared" si="13"/>
        <v>0</v>
      </c>
      <c r="CT617" s="1422"/>
      <c r="CU617" s="1422"/>
      <c r="CV617" s="1422"/>
      <c r="CW617" s="1422"/>
      <c r="CX617" s="1422">
        <f t="shared" si="14"/>
        <v>0</v>
      </c>
      <c r="CY617" s="1422"/>
      <c r="CZ617" s="1422"/>
      <c r="DA617" s="1422"/>
      <c r="DB617" s="1422"/>
      <c r="DC617" s="1422">
        <f t="shared" si="15"/>
        <v>0</v>
      </c>
      <c r="DD617" s="1422"/>
      <c r="DE617" s="1422"/>
      <c r="DF617" s="1422"/>
      <c r="DG617" s="1422"/>
      <c r="DH617" s="1422">
        <f t="shared" si="16"/>
        <v>0</v>
      </c>
      <c r="DI617" s="1422"/>
      <c r="DJ617" s="1422"/>
      <c r="DK617" s="1422"/>
      <c r="DL617" s="1422"/>
      <c r="DM617" s="1422">
        <f t="shared" si="17"/>
        <v>0</v>
      </c>
      <c r="DN617" s="1422"/>
      <c r="DO617" s="1422"/>
      <c r="DP617" s="1422"/>
      <c r="DQ617" s="1422"/>
      <c r="DR617" s="1422">
        <f t="shared" si="18"/>
        <v>0</v>
      </c>
      <c r="DS617" s="1422"/>
      <c r="DT617" s="1422"/>
      <c r="DU617" s="1422"/>
      <c r="DV617" s="1422"/>
      <c r="DX617" s="1418" t="str">
        <f t="shared" si="19"/>
        <v xml:space="preserve"> </v>
      </c>
      <c r="DY617" s="1419"/>
      <c r="DZ617" s="1419"/>
      <c r="EA617" s="1419"/>
      <c r="EB617" s="1420"/>
      <c r="EC617" s="1418" t="str">
        <f t="shared" si="20"/>
        <v xml:space="preserve"> </v>
      </c>
      <c r="ED617" s="1419"/>
      <c r="EE617" s="1419"/>
      <c r="EF617" s="1419"/>
      <c r="EG617" s="1420"/>
      <c r="EH617" s="1418" t="str">
        <f t="shared" si="21"/>
        <v xml:space="preserve"> </v>
      </c>
      <c r="EI617" s="1419"/>
      <c r="EJ617" s="1419"/>
      <c r="EK617" s="1419"/>
      <c r="EL617" s="1420"/>
      <c r="EM617" s="1418">
        <f t="shared" si="22"/>
        <v>2455</v>
      </c>
      <c r="EN617" s="1419"/>
      <c r="EO617" s="1419"/>
      <c r="EP617" s="1419"/>
      <c r="EQ617" s="1420"/>
      <c r="ER617" s="1418" t="str">
        <f t="shared" si="23"/>
        <v xml:space="preserve"> </v>
      </c>
      <c r="ES617" s="1419"/>
      <c r="ET617" s="1419"/>
      <c r="EU617" s="1419"/>
      <c r="EV617" s="1420"/>
      <c r="EW617" s="1418" t="str">
        <f t="shared" si="24"/>
        <v xml:space="preserve"> </v>
      </c>
      <c r="EX617" s="1419"/>
      <c r="EY617" s="1419"/>
      <c r="EZ617" s="1419"/>
      <c r="FA617" s="1420"/>
    </row>
    <row r="618" spans="1:157" ht="12.9" customHeight="1">
      <c r="C618" s="2" t="s">
        <v>2528</v>
      </c>
      <c r="AZ618" s="3"/>
      <c r="BA618" s="3"/>
      <c r="BB618" s="3"/>
      <c r="BC618" s="3"/>
      <c r="BD618" s="3"/>
      <c r="BE618" s="1418">
        <f t="shared" si="3"/>
        <v>0</v>
      </c>
      <c r="BF618" s="1420"/>
      <c r="BG618" s="1431">
        <f t="shared" si="4"/>
        <v>0</v>
      </c>
      <c r="BH618" s="1432"/>
      <c r="BI618" s="1418">
        <f t="shared" si="5"/>
        <v>0</v>
      </c>
      <c r="BJ618" s="1420"/>
      <c r="BK618" s="1431">
        <f t="shared" si="6"/>
        <v>0</v>
      </c>
      <c r="BL618" s="1432"/>
      <c r="BM618" s="3"/>
      <c r="BN618" s="1412">
        <f t="shared" si="7"/>
        <v>0</v>
      </c>
      <c r="BO618" s="1413"/>
      <c r="BP618" s="1413"/>
      <c r="BQ618" s="1413"/>
      <c r="BR618" s="1414"/>
      <c r="BS618" s="1421">
        <f t="shared" si="8"/>
        <v>0</v>
      </c>
      <c r="BT618" s="1421"/>
      <c r="BU618" s="1421"/>
      <c r="BV618" s="1421"/>
      <c r="BW618" s="1421"/>
      <c r="BX618" s="1421">
        <f t="shared" si="9"/>
        <v>0</v>
      </c>
      <c r="BY618" s="1421"/>
      <c r="BZ618" s="1421"/>
      <c r="CA618" s="1421"/>
      <c r="CB618" s="1421"/>
      <c r="CC618" s="1421">
        <f t="shared" si="10"/>
        <v>5</v>
      </c>
      <c r="CD618" s="1421"/>
      <c r="CE618" s="1421"/>
      <c r="CF618" s="1421"/>
      <c r="CG618" s="1421"/>
      <c r="CH618" s="1421">
        <f t="shared" si="11"/>
        <v>0</v>
      </c>
      <c r="CI618" s="1421"/>
      <c r="CJ618" s="1421"/>
      <c r="CK618" s="1421"/>
      <c r="CL618" s="1421"/>
      <c r="CM618" s="1421">
        <f t="shared" si="12"/>
        <v>0</v>
      </c>
      <c r="CN618" s="1421"/>
      <c r="CO618" s="1421"/>
      <c r="CP618" s="1421"/>
      <c r="CQ618" s="1421"/>
      <c r="CR618" s="6"/>
      <c r="CS618" s="1422">
        <f t="shared" si="13"/>
        <v>0</v>
      </c>
      <c r="CT618" s="1422"/>
      <c r="CU618" s="1422"/>
      <c r="CV618" s="1422"/>
      <c r="CW618" s="1422"/>
      <c r="CX618" s="1422">
        <f t="shared" si="14"/>
        <v>0</v>
      </c>
      <c r="CY618" s="1422"/>
      <c r="CZ618" s="1422"/>
      <c r="DA618" s="1422"/>
      <c r="DB618" s="1422"/>
      <c r="DC618" s="1422">
        <f t="shared" si="15"/>
        <v>0</v>
      </c>
      <c r="DD618" s="1422"/>
      <c r="DE618" s="1422"/>
      <c r="DF618" s="1422"/>
      <c r="DG618" s="1422"/>
      <c r="DH618" s="1422">
        <f t="shared" si="16"/>
        <v>0</v>
      </c>
      <c r="DI618" s="1422"/>
      <c r="DJ618" s="1422"/>
      <c r="DK618" s="1422"/>
      <c r="DL618" s="1422"/>
      <c r="DM618" s="1422">
        <f t="shared" si="17"/>
        <v>0</v>
      </c>
      <c r="DN618" s="1422"/>
      <c r="DO618" s="1422"/>
      <c r="DP618" s="1422"/>
      <c r="DQ618" s="1422"/>
      <c r="DR618" s="1422">
        <f t="shared" si="18"/>
        <v>0</v>
      </c>
      <c r="DS618" s="1422"/>
      <c r="DT618" s="1422"/>
      <c r="DU618" s="1422"/>
      <c r="DV618" s="1422"/>
      <c r="DX618" s="1418" t="str">
        <f t="shared" si="19"/>
        <v xml:space="preserve"> </v>
      </c>
      <c r="DY618" s="1419"/>
      <c r="DZ618" s="1419"/>
      <c r="EA618" s="1419"/>
      <c r="EB618" s="1420"/>
      <c r="EC618" s="1418" t="str">
        <f t="shared" si="20"/>
        <v xml:space="preserve"> </v>
      </c>
      <c r="ED618" s="1419"/>
      <c r="EE618" s="1419"/>
      <c r="EF618" s="1419"/>
      <c r="EG618" s="1420"/>
      <c r="EH618" s="1418" t="str">
        <f t="shared" si="21"/>
        <v xml:space="preserve"> </v>
      </c>
      <c r="EI618" s="1419"/>
      <c r="EJ618" s="1419"/>
      <c r="EK618" s="1419"/>
      <c r="EL618" s="1420"/>
      <c r="EM618" s="1418">
        <f t="shared" si="22"/>
        <v>2893</v>
      </c>
      <c r="EN618" s="1419"/>
      <c r="EO618" s="1419"/>
      <c r="EP618" s="1419"/>
      <c r="EQ618" s="1420"/>
      <c r="ER618" s="1418" t="str">
        <f t="shared" si="23"/>
        <v xml:space="preserve"> </v>
      </c>
      <c r="ES618" s="1419"/>
      <c r="ET618" s="1419"/>
      <c r="EU618" s="1419"/>
      <c r="EV618" s="1420"/>
      <c r="EW618" s="1418" t="str">
        <f t="shared" si="24"/>
        <v xml:space="preserve"> </v>
      </c>
      <c r="EX618" s="1419"/>
      <c r="EY618" s="1419"/>
      <c r="EZ618" s="1419"/>
      <c r="FA618" s="1420"/>
    </row>
    <row r="619" spans="1:157" ht="12.9" customHeight="1">
      <c r="B619" s="546"/>
      <c r="C619" s="2"/>
      <c r="AZ619" s="3"/>
      <c r="BA619" s="3"/>
      <c r="BB619" s="3"/>
      <c r="BC619" s="3"/>
      <c r="BD619" s="3"/>
      <c r="BE619" s="1418">
        <f t="shared" si="3"/>
        <v>0</v>
      </c>
      <c r="BF619" s="1420"/>
      <c r="BG619" s="1431">
        <f t="shared" si="4"/>
        <v>0</v>
      </c>
      <c r="BH619" s="1432"/>
      <c r="BI619" s="1418">
        <f t="shared" si="5"/>
        <v>0</v>
      </c>
      <c r="BJ619" s="1420"/>
      <c r="BK619" s="1431">
        <f t="shared" si="6"/>
        <v>0</v>
      </c>
      <c r="BL619" s="1432"/>
      <c r="BM619" s="3"/>
      <c r="BN619" s="1412">
        <f t="shared" si="7"/>
        <v>0</v>
      </c>
      <c r="BO619" s="1413"/>
      <c r="BP619" s="1413"/>
      <c r="BQ619" s="1413"/>
      <c r="BR619" s="1414"/>
      <c r="BS619" s="1421">
        <f t="shared" si="8"/>
        <v>0</v>
      </c>
      <c r="BT619" s="1421"/>
      <c r="BU619" s="1421"/>
      <c r="BV619" s="1421"/>
      <c r="BW619" s="1421"/>
      <c r="BX619" s="1421">
        <f t="shared" si="9"/>
        <v>0</v>
      </c>
      <c r="BY619" s="1421"/>
      <c r="BZ619" s="1421"/>
      <c r="CA619" s="1421"/>
      <c r="CB619" s="1421"/>
      <c r="CC619" s="1421">
        <f t="shared" si="10"/>
        <v>0</v>
      </c>
      <c r="CD619" s="1421"/>
      <c r="CE619" s="1421"/>
      <c r="CF619" s="1421"/>
      <c r="CG619" s="1421"/>
      <c r="CH619" s="1421">
        <f t="shared" si="11"/>
        <v>0</v>
      </c>
      <c r="CI619" s="1421"/>
      <c r="CJ619" s="1421"/>
      <c r="CK619" s="1421"/>
      <c r="CL619" s="1421"/>
      <c r="CM619" s="1421">
        <f t="shared" si="12"/>
        <v>0</v>
      </c>
      <c r="CN619" s="1421"/>
      <c r="CO619" s="1421"/>
      <c r="CP619" s="1421"/>
      <c r="CQ619" s="1421"/>
      <c r="CR619" s="6"/>
      <c r="CS619" s="1422">
        <f t="shared" si="13"/>
        <v>0</v>
      </c>
      <c r="CT619" s="1422"/>
      <c r="CU619" s="1422"/>
      <c r="CV619" s="1422"/>
      <c r="CW619" s="1422"/>
      <c r="CX619" s="1422">
        <f t="shared" si="14"/>
        <v>0</v>
      </c>
      <c r="CY619" s="1422"/>
      <c r="CZ619" s="1422"/>
      <c r="DA619" s="1422"/>
      <c r="DB619" s="1422"/>
      <c r="DC619" s="1422">
        <f t="shared" si="15"/>
        <v>0</v>
      </c>
      <c r="DD619" s="1422"/>
      <c r="DE619" s="1422"/>
      <c r="DF619" s="1422"/>
      <c r="DG619" s="1422"/>
      <c r="DH619" s="1422">
        <f t="shared" si="16"/>
        <v>0</v>
      </c>
      <c r="DI619" s="1422"/>
      <c r="DJ619" s="1422"/>
      <c r="DK619" s="1422"/>
      <c r="DL619" s="1422"/>
      <c r="DM619" s="1422">
        <f t="shared" si="17"/>
        <v>0</v>
      </c>
      <c r="DN619" s="1422"/>
      <c r="DO619" s="1422"/>
      <c r="DP619" s="1422"/>
      <c r="DQ619" s="1422"/>
      <c r="DR619" s="1422">
        <f t="shared" si="18"/>
        <v>0</v>
      </c>
      <c r="DS619" s="1422"/>
      <c r="DT619" s="1422"/>
      <c r="DU619" s="1422"/>
      <c r="DV619" s="1422"/>
      <c r="DX619" s="1418" t="str">
        <f t="shared" si="19"/>
        <v xml:space="preserve"> </v>
      </c>
      <c r="DY619" s="1419"/>
      <c r="DZ619" s="1419"/>
      <c r="EA619" s="1419"/>
      <c r="EB619" s="1420"/>
      <c r="EC619" s="1418" t="str">
        <f t="shared" si="20"/>
        <v xml:space="preserve"> </v>
      </c>
      <c r="ED619" s="1419"/>
      <c r="EE619" s="1419"/>
      <c r="EF619" s="1419"/>
      <c r="EG619" s="1420"/>
      <c r="EH619" s="1418" t="str">
        <f t="shared" si="21"/>
        <v xml:space="preserve"> </v>
      </c>
      <c r="EI619" s="1419"/>
      <c r="EJ619" s="1419"/>
      <c r="EK619" s="1419"/>
      <c r="EL619" s="1420"/>
      <c r="EM619" s="1418" t="str">
        <f t="shared" si="22"/>
        <v xml:space="preserve"> </v>
      </c>
      <c r="EN619" s="1419"/>
      <c r="EO619" s="1419"/>
      <c r="EP619" s="1419"/>
      <c r="EQ619" s="1420"/>
      <c r="ER619" s="1418" t="str">
        <f t="shared" si="23"/>
        <v xml:space="preserve"> </v>
      </c>
      <c r="ES619" s="1419"/>
      <c r="ET619" s="1419"/>
      <c r="EU619" s="1419"/>
      <c r="EV619" s="1420"/>
      <c r="EW619" s="1418" t="str">
        <f t="shared" si="24"/>
        <v xml:space="preserve"> </v>
      </c>
      <c r="EX619" s="1419"/>
      <c r="EY619" s="1419"/>
      <c r="EZ619" s="1419"/>
      <c r="FA619" s="1420"/>
    </row>
    <row r="620" spans="1:157" ht="12.9" customHeight="1">
      <c r="B620" s="1371" t="s">
        <v>2530</v>
      </c>
      <c r="C620" s="1371"/>
      <c r="D620" s="1371"/>
      <c r="E620" s="1371"/>
      <c r="F620" s="1371"/>
      <c r="G620" s="1371"/>
      <c r="H620" s="1371"/>
      <c r="I620" s="1371"/>
      <c r="J620" s="1371"/>
      <c r="K620" s="1371"/>
      <c r="L620" s="1371"/>
      <c r="M620" s="1370" t="s">
        <v>2531</v>
      </c>
      <c r="N620" s="1370"/>
      <c r="O620" s="1370"/>
      <c r="P620" s="1370"/>
      <c r="Q620" s="1370" t="s">
        <v>2115</v>
      </c>
      <c r="R620" s="1370"/>
      <c r="S620" s="1370"/>
      <c r="T620" s="1370" t="s">
        <v>2113</v>
      </c>
      <c r="U620" s="1370"/>
      <c r="V620" s="1370"/>
      <c r="W620" s="1369" t="s">
        <v>462</v>
      </c>
      <c r="X620" s="1369"/>
      <c r="Y620" s="1369"/>
      <c r="Z620" s="1374" t="s">
        <v>2560</v>
      </c>
      <c r="AA620" s="1374"/>
      <c r="AB620" s="1375"/>
      <c r="AC620" s="1612" t="s">
        <v>1935</v>
      </c>
      <c r="AD620" s="1613"/>
      <c r="AE620" s="1614"/>
      <c r="AF620" s="1739" t="s">
        <v>2313</v>
      </c>
      <c r="AG620" s="1374"/>
      <c r="AH620" s="1374"/>
      <c r="AI620" s="1374"/>
      <c r="AJ620" s="1375"/>
      <c r="AK620" s="1602" t="s">
        <v>2314</v>
      </c>
      <c r="AL620" s="1603"/>
      <c r="AM620" s="1603"/>
      <c r="AN620" s="1604"/>
      <c r="AO620" s="1370" t="s">
        <v>463</v>
      </c>
      <c r="AP620" s="1370"/>
      <c r="AQ620" s="1370"/>
      <c r="AR620" s="1370"/>
      <c r="AS620" s="1370"/>
      <c r="AZ620" s="3"/>
      <c r="BA620" s="3"/>
      <c r="BB620" s="3"/>
      <c r="BC620" s="3"/>
      <c r="BD620" s="3"/>
      <c r="BE620" s="1418">
        <f t="shared" si="3"/>
        <v>0</v>
      </c>
      <c r="BF620" s="1420"/>
      <c r="BG620" s="1431">
        <f t="shared" si="4"/>
        <v>0</v>
      </c>
      <c r="BH620" s="1432"/>
      <c r="BI620" s="1418">
        <f t="shared" si="5"/>
        <v>0</v>
      </c>
      <c r="BJ620" s="1420"/>
      <c r="BK620" s="1431">
        <f t="shared" si="6"/>
        <v>0</v>
      </c>
      <c r="BL620" s="1432"/>
      <c r="BM620" s="3"/>
      <c r="BN620" s="1412">
        <f t="shared" si="7"/>
        <v>0</v>
      </c>
      <c r="BO620" s="1413"/>
      <c r="BP620" s="1413"/>
      <c r="BQ620" s="1413"/>
      <c r="BR620" s="1414"/>
      <c r="BS620" s="1421">
        <f t="shared" si="8"/>
        <v>0</v>
      </c>
      <c r="BT620" s="1421"/>
      <c r="BU620" s="1421"/>
      <c r="BV620" s="1421"/>
      <c r="BW620" s="1421"/>
      <c r="BX620" s="1421">
        <f t="shared" si="9"/>
        <v>0</v>
      </c>
      <c r="BY620" s="1421"/>
      <c r="BZ620" s="1421"/>
      <c r="CA620" s="1421"/>
      <c r="CB620" s="1421"/>
      <c r="CC620" s="1421">
        <f t="shared" si="10"/>
        <v>0</v>
      </c>
      <c r="CD620" s="1421"/>
      <c r="CE620" s="1421"/>
      <c r="CF620" s="1421"/>
      <c r="CG620" s="1421"/>
      <c r="CH620" s="1421">
        <f t="shared" si="11"/>
        <v>0</v>
      </c>
      <c r="CI620" s="1421"/>
      <c r="CJ620" s="1421"/>
      <c r="CK620" s="1421"/>
      <c r="CL620" s="1421"/>
      <c r="CM620" s="1421">
        <f t="shared" si="12"/>
        <v>0</v>
      </c>
      <c r="CN620" s="1421"/>
      <c r="CO620" s="1421"/>
      <c r="CP620" s="1421"/>
      <c r="CQ620" s="1421"/>
      <c r="CR620" s="6"/>
      <c r="CS620" s="1422">
        <f t="shared" si="13"/>
        <v>0</v>
      </c>
      <c r="CT620" s="1422"/>
      <c r="CU620" s="1422"/>
      <c r="CV620" s="1422"/>
      <c r="CW620" s="1422"/>
      <c r="CX620" s="1422">
        <f t="shared" si="14"/>
        <v>0</v>
      </c>
      <c r="CY620" s="1422"/>
      <c r="CZ620" s="1422"/>
      <c r="DA620" s="1422"/>
      <c r="DB620" s="1422"/>
      <c r="DC620" s="1422">
        <f t="shared" si="15"/>
        <v>0</v>
      </c>
      <c r="DD620" s="1422"/>
      <c r="DE620" s="1422"/>
      <c r="DF620" s="1422"/>
      <c r="DG620" s="1422"/>
      <c r="DH620" s="1422">
        <f t="shared" si="16"/>
        <v>0</v>
      </c>
      <c r="DI620" s="1422"/>
      <c r="DJ620" s="1422"/>
      <c r="DK620" s="1422"/>
      <c r="DL620" s="1422"/>
      <c r="DM620" s="1422">
        <f t="shared" si="17"/>
        <v>0</v>
      </c>
      <c r="DN620" s="1422"/>
      <c r="DO620" s="1422"/>
      <c r="DP620" s="1422"/>
      <c r="DQ620" s="1422"/>
      <c r="DR620" s="1422">
        <f t="shared" si="18"/>
        <v>0</v>
      </c>
      <c r="DS620" s="1422"/>
      <c r="DT620" s="1422"/>
      <c r="DU620" s="1422"/>
      <c r="DV620" s="1422"/>
      <c r="DX620" s="1418" t="str">
        <f t="shared" si="19"/>
        <v xml:space="preserve"> </v>
      </c>
      <c r="DY620" s="1419"/>
      <c r="DZ620" s="1419"/>
      <c r="EA620" s="1419"/>
      <c r="EB620" s="1420"/>
      <c r="EC620" s="1418" t="str">
        <f t="shared" si="20"/>
        <v xml:space="preserve"> </v>
      </c>
      <c r="ED620" s="1419"/>
      <c r="EE620" s="1419"/>
      <c r="EF620" s="1419"/>
      <c r="EG620" s="1420"/>
      <c r="EH620" s="1418" t="str">
        <f t="shared" si="21"/>
        <v xml:space="preserve"> </v>
      </c>
      <c r="EI620" s="1419"/>
      <c r="EJ620" s="1419"/>
      <c r="EK620" s="1419"/>
      <c r="EL620" s="1420"/>
      <c r="EM620" s="1418" t="str">
        <f t="shared" si="22"/>
        <v xml:space="preserve"> </v>
      </c>
      <c r="EN620" s="1419"/>
      <c r="EO620" s="1419"/>
      <c r="EP620" s="1419"/>
      <c r="EQ620" s="1420"/>
      <c r="ER620" s="1418" t="str">
        <f t="shared" si="23"/>
        <v xml:space="preserve"> </v>
      </c>
      <c r="ES620" s="1419"/>
      <c r="ET620" s="1419"/>
      <c r="EU620" s="1419"/>
      <c r="EV620" s="1420"/>
      <c r="EW620" s="1418" t="str">
        <f t="shared" si="24"/>
        <v xml:space="preserve"> </v>
      </c>
      <c r="EX620" s="1419"/>
      <c r="EY620" s="1419"/>
      <c r="EZ620" s="1419"/>
      <c r="FA620" s="1420"/>
    </row>
    <row r="621" spans="1:157" ht="12.9"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6"/>
      <c r="AA621" s="1376"/>
      <c r="AB621" s="1377"/>
      <c r="AC621" s="1615"/>
      <c r="AD621" s="1616"/>
      <c r="AE621" s="1617"/>
      <c r="AF621" s="1740"/>
      <c r="AG621" s="1376"/>
      <c r="AH621" s="1376"/>
      <c r="AI621" s="1376"/>
      <c r="AJ621" s="1377"/>
      <c r="AK621" s="1605"/>
      <c r="AL621" s="1606"/>
      <c r="AM621" s="1606"/>
      <c r="AN621" s="1607"/>
      <c r="AO621" s="1370"/>
      <c r="AP621" s="1370"/>
      <c r="AQ621" s="1370"/>
      <c r="AR621" s="1370"/>
      <c r="AS621" s="1370"/>
      <c r="AZ621" s="3"/>
      <c r="BA621" s="3"/>
      <c r="BB621" s="3"/>
      <c r="BC621" s="3"/>
      <c r="BD621" s="3"/>
      <c r="BE621" s="3"/>
      <c r="BF621" s="3"/>
      <c r="BG621" s="1418">
        <f>SUM(BG596:BH620)</f>
        <v>44</v>
      </c>
      <c r="BH621" s="1420"/>
      <c r="BI621" s="3"/>
      <c r="BJ621" s="3"/>
      <c r="BK621" s="1418">
        <f>SUM(BK596:BL620)</f>
        <v>87</v>
      </c>
      <c r="BL621" s="1420"/>
      <c r="BM621" s="3"/>
      <c r="BN621" s="1418">
        <f>SUM(BN596:BR620)</f>
        <v>39</v>
      </c>
      <c r="BO621" s="1419"/>
      <c r="BP621" s="1419"/>
      <c r="BQ621" s="1419"/>
      <c r="BR621" s="1420"/>
      <c r="BS621" s="1423">
        <f>SUM(BS596:BW620)</f>
        <v>47</v>
      </c>
      <c r="BT621" s="1423"/>
      <c r="BU621" s="1423"/>
      <c r="BV621" s="1423"/>
      <c r="BW621" s="1423"/>
      <c r="BX621" s="1423">
        <f>SUM(BX596:CB620)</f>
        <v>44</v>
      </c>
      <c r="BY621" s="1423"/>
      <c r="BZ621" s="1423"/>
      <c r="CA621" s="1423"/>
      <c r="CB621" s="1423"/>
      <c r="CC621" s="1423">
        <f>SUM(CC596:CG620)</f>
        <v>44</v>
      </c>
      <c r="CD621" s="1423"/>
      <c r="CE621" s="1423"/>
      <c r="CF621" s="1423"/>
      <c r="CG621" s="1423"/>
      <c r="CH621" s="1423">
        <f>SUM(CH596:CL620)</f>
        <v>0</v>
      </c>
      <c r="CI621" s="1423"/>
      <c r="CJ621" s="1423"/>
      <c r="CK621" s="1423"/>
      <c r="CL621" s="1423"/>
      <c r="CM621" s="1423">
        <f>SUM(CM596:CQ620)</f>
        <v>0</v>
      </c>
      <c r="CN621" s="1423"/>
      <c r="CO621" s="1423"/>
      <c r="CP621" s="1423"/>
      <c r="CQ621" s="1423"/>
      <c r="CR621" s="385"/>
      <c r="CS621" s="1423">
        <f>SUM(CS596:CW620)</f>
        <v>30</v>
      </c>
      <c r="CT621" s="1423"/>
      <c r="CU621" s="1423"/>
      <c r="CV621" s="1423"/>
      <c r="CW621" s="1423"/>
      <c r="CX621" s="1423">
        <f>SUM(CX596:DB620)</f>
        <v>27</v>
      </c>
      <c r="CY621" s="1423"/>
      <c r="CZ621" s="1423"/>
      <c r="DA621" s="1423"/>
      <c r="DB621" s="1423"/>
      <c r="DC621" s="1423">
        <f>SUM(DC596:DG620)</f>
        <v>15</v>
      </c>
      <c r="DD621" s="1423"/>
      <c r="DE621" s="1423"/>
      <c r="DF621" s="1423"/>
      <c r="DG621" s="1423"/>
      <c r="DH621" s="1423">
        <f>SUM(DH596:DL620)</f>
        <v>15</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4025</v>
      </c>
      <c r="DY621" s="1423"/>
      <c r="DZ621" s="1423"/>
      <c r="EA621" s="1423"/>
      <c r="EB621" s="1423"/>
      <c r="EC621" s="1423">
        <f>SUM(EC596:EG620)</f>
        <v>6096</v>
      </c>
      <c r="ED621" s="1423"/>
      <c r="EE621" s="1423"/>
      <c r="EF621" s="1423"/>
      <c r="EG621" s="1423"/>
      <c r="EH621" s="1423">
        <f>SUM(EH596:EL620)</f>
        <v>11524</v>
      </c>
      <c r="EI621" s="1423"/>
      <c r="EJ621" s="1423"/>
      <c r="EK621" s="1423"/>
      <c r="EL621" s="1423"/>
      <c r="EM621" s="1423">
        <f>SUM(EM596:EQ620)</f>
        <v>13243</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2.9"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8"/>
      <c r="AA622" s="1378"/>
      <c r="AB622" s="1379"/>
      <c r="AC622" s="1618"/>
      <c r="AD622" s="1619"/>
      <c r="AE622" s="1620"/>
      <c r="AF622" s="1741"/>
      <c r="AG622" s="1378"/>
      <c r="AH622" s="1378"/>
      <c r="AI622" s="1378"/>
      <c r="AJ622" s="1379"/>
      <c r="AK622" s="1608"/>
      <c r="AL622" s="1609"/>
      <c r="AM622" s="1609"/>
      <c r="AN622" s="1610"/>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8">
        <f>BN621+BS621+BX621+CC621+CH621+CM621</f>
        <v>174</v>
      </c>
      <c r="CN622" s="1419"/>
      <c r="CO622" s="1419"/>
      <c r="CP622" s="1419"/>
      <c r="CQ622" s="1420"/>
      <c r="CR622" s="385"/>
      <c r="CS622" s="3"/>
      <c r="CT622" s="3"/>
      <c r="CU622" s="3"/>
      <c r="CV622" s="3"/>
      <c r="CW622" s="3"/>
      <c r="CX622" s="3"/>
      <c r="CY622" s="3"/>
      <c r="CZ622" s="3"/>
      <c r="DA622" s="3"/>
      <c r="DB622" s="3"/>
      <c r="DC622" s="3"/>
      <c r="DD622" s="3"/>
      <c r="DE622" s="3"/>
      <c r="DF622" s="3"/>
    </row>
    <row r="623" spans="1:157" ht="12.9" customHeight="1">
      <c r="B623" s="51" t="s">
        <v>113</v>
      </c>
      <c r="C623" s="1372" t="s">
        <v>2646</v>
      </c>
      <c r="D623" s="1372"/>
      <c r="E623" s="1372"/>
      <c r="F623" s="1372"/>
      <c r="G623" s="1372"/>
      <c r="H623" s="1372"/>
      <c r="I623" s="1372"/>
      <c r="J623" s="1372"/>
      <c r="K623" s="1372"/>
      <c r="L623" s="1373"/>
      <c r="M623" s="1392" t="s">
        <v>2547</v>
      </c>
      <c r="N623" s="1392"/>
      <c r="O623" s="1392"/>
      <c r="P623" s="1392"/>
      <c r="Q623" s="1384">
        <f>17*12</f>
        <v>204</v>
      </c>
      <c r="R623" s="1384"/>
      <c r="S623" s="1385"/>
      <c r="T623" s="1383">
        <f>40*12</f>
        <v>480</v>
      </c>
      <c r="U623" s="1384"/>
      <c r="V623" s="1385"/>
      <c r="W623" s="1356">
        <v>6.93E-2</v>
      </c>
      <c r="X623" s="1357"/>
      <c r="Y623" s="1358"/>
      <c r="Z623" s="1380" t="s">
        <v>2559</v>
      </c>
      <c r="AA623" s="1381"/>
      <c r="AB623" s="1382"/>
      <c r="AC623" s="1433">
        <v>1</v>
      </c>
      <c r="AD623" s="1434"/>
      <c r="AE623" s="1435"/>
      <c r="AF623" s="1366">
        <f>12*PMT(W623/12,T623,-AO623)</f>
        <v>639848.72178988671</v>
      </c>
      <c r="AG623" s="1367"/>
      <c r="AH623" s="1367"/>
      <c r="AI623" s="1367"/>
      <c r="AJ623" s="1368"/>
      <c r="AK623" s="1428"/>
      <c r="AL623" s="1429"/>
      <c r="AM623" s="1429"/>
      <c r="AN623" s="1430"/>
      <c r="AO623" s="1427">
        <v>8651000</v>
      </c>
      <c r="AP623" s="1427"/>
      <c r="AQ623" s="1427"/>
      <c r="AR623" s="1427"/>
      <c r="AS623" s="1427"/>
      <c r="AT623" s="3"/>
      <c r="AU623" s="3"/>
      <c r="AV623" s="3"/>
      <c r="AW623" s="3"/>
      <c r="AX623" s="3"/>
      <c r="AY623" s="3"/>
      <c r="AZ623" s="3"/>
      <c r="BA623" s="3" t="s">
        <v>1327</v>
      </c>
      <c r="BB623" s="3"/>
      <c r="BC623" s="3"/>
      <c r="BD623" s="3"/>
      <c r="BE623" s="3"/>
      <c r="BF623" s="3"/>
      <c r="BG623" s="3"/>
      <c r="BH623" s="3"/>
      <c r="BI623" s="3"/>
      <c r="BJ623" s="3"/>
      <c r="BK623" s="3"/>
      <c r="BL623" s="3"/>
      <c r="BM623" s="3"/>
      <c r="BR623" s="896">
        <f>BN621*1</f>
        <v>39</v>
      </c>
      <c r="BS623" s="3"/>
      <c r="BT623" s="3"/>
      <c r="BU623" s="3"/>
      <c r="BV623" s="3"/>
      <c r="BW623" s="896">
        <f>BS621*1</f>
        <v>47</v>
      </c>
      <c r="BX623" s="3"/>
      <c r="BY623" s="3"/>
      <c r="BZ623" s="3"/>
      <c r="CA623" s="3"/>
      <c r="CB623" s="896">
        <f>BX621*2</f>
        <v>88</v>
      </c>
      <c r="CC623" s="3"/>
      <c r="CD623" s="3"/>
      <c r="CE623" s="3"/>
      <c r="CF623" s="3"/>
      <c r="CG623" s="896">
        <f>CC621*3</f>
        <v>132</v>
      </c>
      <c r="CH623" s="3"/>
      <c r="CI623" s="3"/>
      <c r="CJ623" s="3"/>
      <c r="CK623" s="3"/>
      <c r="CL623" s="896">
        <f>CH621*4</f>
        <v>0</v>
      </c>
      <c r="CM623" s="3"/>
      <c r="CN623" s="3"/>
      <c r="CO623" s="3"/>
      <c r="CP623" s="3"/>
      <c r="CQ623" s="896">
        <f>CM621*5</f>
        <v>0</v>
      </c>
      <c r="CS623" s="896">
        <f>BR623+BW623+CB623+CG623+CL623+CQ623</f>
        <v>306</v>
      </c>
      <c r="CT623" s="57" t="s">
        <v>2125</v>
      </c>
      <c r="CU623" s="3"/>
      <c r="CV623" s="3"/>
      <c r="CW623" s="3"/>
      <c r="CX623" s="3"/>
      <c r="CY623" s="3"/>
      <c r="CZ623" s="3"/>
      <c r="DA623" s="3"/>
      <c r="DB623" s="3"/>
      <c r="DC623" s="3"/>
      <c r="DD623" s="3"/>
      <c r="DE623" s="3"/>
      <c r="DF623" s="3"/>
    </row>
    <row r="624" spans="1:157" ht="12.9" customHeight="1">
      <c r="B624" s="52" t="s">
        <v>114</v>
      </c>
      <c r="C624" s="1372" t="s">
        <v>2647</v>
      </c>
      <c r="D624" s="1372"/>
      <c r="E624" s="1372"/>
      <c r="F624" s="1372"/>
      <c r="G624" s="1372"/>
      <c r="H624" s="1372"/>
      <c r="I624" s="1372"/>
      <c r="J624" s="1372"/>
      <c r="K624" s="1372"/>
      <c r="L624" s="1373"/>
      <c r="M624" s="1392" t="s">
        <v>2547</v>
      </c>
      <c r="N624" s="1392"/>
      <c r="O624" s="1392"/>
      <c r="P624" s="1392"/>
      <c r="Q624" s="1383">
        <f>Q623</f>
        <v>204</v>
      </c>
      <c r="R624" s="1384"/>
      <c r="S624" s="1385"/>
      <c r="T624" s="1383">
        <f>T623</f>
        <v>480</v>
      </c>
      <c r="U624" s="1384"/>
      <c r="V624" s="1385"/>
      <c r="W624" s="1356">
        <v>6.93E-2</v>
      </c>
      <c r="X624" s="1357"/>
      <c r="Y624" s="1358"/>
      <c r="Z624" s="1380" t="s">
        <v>2559</v>
      </c>
      <c r="AA624" s="1381"/>
      <c r="AB624" s="1382"/>
      <c r="AC624" s="1433">
        <v>1</v>
      </c>
      <c r="AD624" s="1434"/>
      <c r="AE624" s="1435"/>
      <c r="AF624" s="1366">
        <f>12*PMT(W624/12,T624,-AO624)</f>
        <v>1257952.4980005077</v>
      </c>
      <c r="AG624" s="1367"/>
      <c r="AH624" s="1367"/>
      <c r="AI624" s="1367"/>
      <c r="AJ624" s="1368"/>
      <c r="AK624" s="1428"/>
      <c r="AL624" s="1429"/>
      <c r="AM624" s="1429"/>
      <c r="AN624" s="1430"/>
      <c r="AO624" s="1424">
        <v>17008000</v>
      </c>
      <c r="AP624" s="1425"/>
      <c r="AQ624" s="1425"/>
      <c r="AR624" s="1425"/>
      <c r="AS624" s="1426"/>
      <c r="AT624" s="1200"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5">DX596*(BN596/$BN$621)</f>
        <v>402.56410256410254</v>
      </c>
      <c r="DY624" s="1410"/>
      <c r="DZ624" s="1410"/>
      <c r="EA624" s="1410"/>
      <c r="EB624" s="1410"/>
      <c r="EC624" s="1410" t="e">
        <f t="shared" ref="EC624:EC648" si="26">EC596*(BS596/$BS$621)</f>
        <v>#VALUE!</v>
      </c>
      <c r="ED624" s="1410"/>
      <c r="EE624" s="1410"/>
      <c r="EF624" s="1410"/>
      <c r="EG624" s="1410"/>
      <c r="EH624" s="1410" t="e">
        <f t="shared" ref="EH624:EH648" si="27">EH596*(BX596/$BX$621)</f>
        <v>#VALUE!</v>
      </c>
      <c r="EI624" s="1410"/>
      <c r="EJ624" s="1410"/>
      <c r="EK624" s="1410"/>
      <c r="EL624" s="1410"/>
      <c r="EM624" s="1410" t="e">
        <f t="shared" ref="EM624:EM648" si="28">EM596*(CC596/$CC$621)</f>
        <v>#VALUE!</v>
      </c>
      <c r="EN624" s="1410"/>
      <c r="EO624" s="1410"/>
      <c r="EP624" s="1410"/>
      <c r="EQ624" s="1410"/>
      <c r="ER624" s="1410" t="e">
        <f t="shared" ref="ER624:ER648" si="29">ER596*(CH596/$CH$621)</f>
        <v>#VALUE!</v>
      </c>
      <c r="ES624" s="1410"/>
      <c r="ET624" s="1410"/>
      <c r="EU624" s="1410"/>
      <c r="EV624" s="1410"/>
      <c r="EW624" s="1410" t="e">
        <f t="shared" ref="EW624:EW648" si="30">EW596*(CM596/$CM$621)</f>
        <v>#VALUE!</v>
      </c>
      <c r="EX624" s="1410"/>
      <c r="EY624" s="1410"/>
      <c r="EZ624" s="1410"/>
      <c r="FA624" s="1410"/>
    </row>
    <row r="625" spans="1:157" ht="12.9" customHeight="1">
      <c r="B625" s="52" t="s">
        <v>120</v>
      </c>
      <c r="C625" s="1372" t="s">
        <v>2625</v>
      </c>
      <c r="D625" s="1372"/>
      <c r="E625" s="1372"/>
      <c r="F625" s="1372"/>
      <c r="G625" s="1372"/>
      <c r="H625" s="1372"/>
      <c r="I625" s="1372"/>
      <c r="J625" s="1372"/>
      <c r="K625" s="1372"/>
      <c r="L625" s="1373"/>
      <c r="M625" s="1392" t="s">
        <v>2543</v>
      </c>
      <c r="N625" s="1392"/>
      <c r="O625" s="1392"/>
      <c r="P625" s="1392"/>
      <c r="Q625" s="1383">
        <v>660</v>
      </c>
      <c r="R625" s="1384"/>
      <c r="S625" s="1385"/>
      <c r="T625" s="1383"/>
      <c r="U625" s="1384"/>
      <c r="V625" s="1385"/>
      <c r="W625" s="1356">
        <v>0.03</v>
      </c>
      <c r="X625" s="1357"/>
      <c r="Y625" s="1358"/>
      <c r="Z625" s="1380" t="s">
        <v>466</v>
      </c>
      <c r="AA625" s="1381"/>
      <c r="AB625" s="1382"/>
      <c r="AC625" s="1433">
        <v>3</v>
      </c>
      <c r="AD625" s="1434"/>
      <c r="AE625" s="1435"/>
      <c r="AF625" s="1366"/>
      <c r="AG625" s="1367"/>
      <c r="AH625" s="1367"/>
      <c r="AI625" s="1367"/>
      <c r="AJ625" s="1368"/>
      <c r="AK625" s="1428"/>
      <c r="AL625" s="1429"/>
      <c r="AM625" s="1429"/>
      <c r="AN625" s="1430"/>
      <c r="AO625" s="1424">
        <f>AM552</f>
        <v>12950000</v>
      </c>
      <c r="AP625" s="1425"/>
      <c r="AQ625" s="1425"/>
      <c r="AR625" s="1425"/>
      <c r="AS625" s="1426"/>
      <c r="AT625" s="1200" t="str">
        <f t="shared" ref="AT625:AT634" si="3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5"/>
        <v>201.28205128205127</v>
      </c>
      <c r="DY625" s="1410"/>
      <c r="DZ625" s="1410"/>
      <c r="EA625" s="1410"/>
      <c r="EB625" s="1410"/>
      <c r="EC625" s="1410" t="e">
        <f t="shared" si="26"/>
        <v>#VALUE!</v>
      </c>
      <c r="ED625" s="1410"/>
      <c r="EE625" s="1410"/>
      <c r="EF625" s="1410"/>
      <c r="EG625" s="1410"/>
      <c r="EH625" s="1410" t="e">
        <f t="shared" si="27"/>
        <v>#VALUE!</v>
      </c>
      <c r="EI625" s="1410"/>
      <c r="EJ625" s="1410"/>
      <c r="EK625" s="1410"/>
      <c r="EL625" s="1410"/>
      <c r="EM625" s="1410" t="e">
        <f t="shared" si="28"/>
        <v>#VALUE!</v>
      </c>
      <c r="EN625" s="1410"/>
      <c r="EO625" s="1410"/>
      <c r="EP625" s="1410"/>
      <c r="EQ625" s="1410"/>
      <c r="ER625" s="1410" t="e">
        <f t="shared" si="29"/>
        <v>#VALUE!</v>
      </c>
      <c r="ES625" s="1410"/>
      <c r="ET625" s="1410"/>
      <c r="EU625" s="1410"/>
      <c r="EV625" s="1410"/>
      <c r="EW625" s="1410" t="e">
        <f t="shared" si="30"/>
        <v>#VALUE!</v>
      </c>
      <c r="EX625" s="1410"/>
      <c r="EY625" s="1410"/>
      <c r="EZ625" s="1410"/>
      <c r="FA625" s="1410"/>
    </row>
    <row r="626" spans="1:157" ht="12.9" customHeight="1">
      <c r="B626" s="52" t="s">
        <v>590</v>
      </c>
      <c r="C626" s="1349" t="s">
        <v>2626</v>
      </c>
      <c r="D626" s="1349"/>
      <c r="E626" s="1349"/>
      <c r="F626" s="1349"/>
      <c r="G626" s="1349"/>
      <c r="H626" s="1349"/>
      <c r="I626" s="1349"/>
      <c r="J626" s="1349"/>
      <c r="K626" s="1349"/>
      <c r="L626" s="1670"/>
      <c r="M626" s="1392" t="s">
        <v>2543</v>
      </c>
      <c r="N626" s="1392"/>
      <c r="O626" s="1392"/>
      <c r="P626" s="1392"/>
      <c r="Q626" s="1383">
        <v>660</v>
      </c>
      <c r="R626" s="1384"/>
      <c r="S626" s="1385"/>
      <c r="T626" s="1383"/>
      <c r="U626" s="1384"/>
      <c r="V626" s="1385"/>
      <c r="W626" s="1356">
        <v>0.03</v>
      </c>
      <c r="X626" s="1357"/>
      <c r="Y626" s="1358"/>
      <c r="Z626" s="1380" t="s">
        <v>466</v>
      </c>
      <c r="AA626" s="1381"/>
      <c r="AB626" s="1382"/>
      <c r="AC626" s="1433">
        <v>2</v>
      </c>
      <c r="AD626" s="1434"/>
      <c r="AE626" s="1435"/>
      <c r="AF626" s="1366"/>
      <c r="AG626" s="1367"/>
      <c r="AH626" s="1367"/>
      <c r="AI626" s="1367"/>
      <c r="AJ626" s="1368"/>
      <c r="AK626" s="1428"/>
      <c r="AL626" s="1429"/>
      <c r="AM626" s="1429"/>
      <c r="AN626" s="1430"/>
      <c r="AO626" s="1424">
        <f>AM553+1000000</f>
        <v>11200000</v>
      </c>
      <c r="AP626" s="1425"/>
      <c r="AQ626" s="1425"/>
      <c r="AR626" s="1425"/>
      <c r="AS626" s="1426"/>
      <c r="AT626" s="1200" t="str">
        <f t="shared" si="31"/>
        <v/>
      </c>
      <c r="AU626" s="3"/>
      <c r="AV626" s="3"/>
      <c r="AW626" s="3"/>
      <c r="AX626" s="3"/>
      <c r="AY626" s="3"/>
      <c r="AZ626" s="34"/>
      <c r="BA626" s="3" t="s">
        <v>2559</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f t="shared" si="25"/>
        <v>138.46153846153845</v>
      </c>
      <c r="DY626" s="1410"/>
      <c r="DZ626" s="1410"/>
      <c r="EA626" s="1410"/>
      <c r="EB626" s="1410"/>
      <c r="EC626" s="1410" t="e">
        <f t="shared" si="26"/>
        <v>#VALUE!</v>
      </c>
      <c r="ED626" s="1410"/>
      <c r="EE626" s="1410"/>
      <c r="EF626" s="1410"/>
      <c r="EG626" s="1410"/>
      <c r="EH626" s="1410" t="e">
        <f t="shared" si="27"/>
        <v>#VALUE!</v>
      </c>
      <c r="EI626" s="1410"/>
      <c r="EJ626" s="1410"/>
      <c r="EK626" s="1410"/>
      <c r="EL626" s="1410"/>
      <c r="EM626" s="1410" t="e">
        <f t="shared" si="28"/>
        <v>#VALUE!</v>
      </c>
      <c r="EN626" s="1410"/>
      <c r="EO626" s="1410"/>
      <c r="EP626" s="1410"/>
      <c r="EQ626" s="1410"/>
      <c r="ER626" s="1410" t="e">
        <f t="shared" si="29"/>
        <v>#VALUE!</v>
      </c>
      <c r="ES626" s="1410"/>
      <c r="ET626" s="1410"/>
      <c r="EU626" s="1410"/>
      <c r="EV626" s="1410"/>
      <c r="EW626" s="1410" t="e">
        <f t="shared" si="30"/>
        <v>#VALUE!</v>
      </c>
      <c r="EX626" s="1410"/>
      <c r="EY626" s="1410"/>
      <c r="EZ626" s="1410"/>
      <c r="FA626" s="1410"/>
    </row>
    <row r="627" spans="1:157" ht="12.9" customHeight="1">
      <c r="B627" s="52" t="s">
        <v>787</v>
      </c>
      <c r="C627" s="1372" t="s">
        <v>2776</v>
      </c>
      <c r="D627" s="1349"/>
      <c r="E627" s="1349"/>
      <c r="F627" s="1349"/>
      <c r="G627" s="1349"/>
      <c r="H627" s="1349"/>
      <c r="I627" s="1349"/>
      <c r="J627" s="1349"/>
      <c r="K627" s="1349"/>
      <c r="L627" s="1670"/>
      <c r="M627" s="1392" t="s">
        <v>2532</v>
      </c>
      <c r="N627" s="1392"/>
      <c r="O627" s="1392"/>
      <c r="P627" s="1392"/>
      <c r="Q627" s="1383">
        <v>660</v>
      </c>
      <c r="R627" s="1384"/>
      <c r="S627" s="1385"/>
      <c r="T627" s="1383"/>
      <c r="U627" s="1384"/>
      <c r="V627" s="1385"/>
      <c r="W627" s="1356"/>
      <c r="X627" s="1357"/>
      <c r="Y627" s="1358"/>
      <c r="Z627" s="1380" t="s">
        <v>466</v>
      </c>
      <c r="AA627" s="1381"/>
      <c r="AB627" s="1382"/>
      <c r="AC627" s="1433"/>
      <c r="AD627" s="1434"/>
      <c r="AE627" s="1435"/>
      <c r="AF627" s="1366"/>
      <c r="AG627" s="1367"/>
      <c r="AH627" s="1367"/>
      <c r="AI627" s="1367"/>
      <c r="AJ627" s="1368"/>
      <c r="AK627" s="1428"/>
      <c r="AL627" s="1429"/>
      <c r="AM627" s="1429"/>
      <c r="AN627" s="1430"/>
      <c r="AO627" s="1424">
        <f>AM554</f>
        <v>1084363</v>
      </c>
      <c r="AP627" s="1425"/>
      <c r="AQ627" s="1425"/>
      <c r="AR627" s="1425"/>
      <c r="AS627" s="1426"/>
      <c r="AT627" s="1200"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1</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f t="shared" si="25"/>
        <v>141.02564102564102</v>
      </c>
      <c r="DY627" s="1410"/>
      <c r="DZ627" s="1410"/>
      <c r="EA627" s="1410"/>
      <c r="EB627" s="1410"/>
      <c r="EC627" s="1410" t="e">
        <f t="shared" si="26"/>
        <v>#VALUE!</v>
      </c>
      <c r="ED627" s="1410"/>
      <c r="EE627" s="1410"/>
      <c r="EF627" s="1410"/>
      <c r="EG627" s="1410"/>
      <c r="EH627" s="1410" t="e">
        <f t="shared" si="27"/>
        <v>#VALUE!</v>
      </c>
      <c r="EI627" s="1410"/>
      <c r="EJ627" s="1410"/>
      <c r="EK627" s="1410"/>
      <c r="EL627" s="1410"/>
      <c r="EM627" s="1410" t="e">
        <f t="shared" si="28"/>
        <v>#VALUE!</v>
      </c>
      <c r="EN627" s="1410"/>
      <c r="EO627" s="1410"/>
      <c r="EP627" s="1410"/>
      <c r="EQ627" s="1410"/>
      <c r="ER627" s="1410" t="e">
        <f t="shared" si="29"/>
        <v>#VALUE!</v>
      </c>
      <c r="ES627" s="1410"/>
      <c r="ET627" s="1410"/>
      <c r="EU627" s="1410"/>
      <c r="EV627" s="1410"/>
      <c r="EW627" s="1410" t="e">
        <f t="shared" si="30"/>
        <v>#VALUE!</v>
      </c>
      <c r="EX627" s="1410"/>
      <c r="EY627" s="1410"/>
      <c r="EZ627" s="1410"/>
      <c r="FA627" s="1410"/>
    </row>
    <row r="628" spans="1:157" ht="12.9" customHeight="1">
      <c r="B628" s="52" t="s">
        <v>593</v>
      </c>
      <c r="C628" s="1372" t="s">
        <v>1921</v>
      </c>
      <c r="D628" s="1349"/>
      <c r="E628" s="1349"/>
      <c r="F628" s="1349"/>
      <c r="G628" s="1349"/>
      <c r="H628" s="1349"/>
      <c r="I628" s="1349"/>
      <c r="J628" s="1349"/>
      <c r="K628" s="1349"/>
      <c r="L628" s="1670"/>
      <c r="M628" s="1392" t="s">
        <v>2534</v>
      </c>
      <c r="N628" s="1392"/>
      <c r="O628" s="1392"/>
      <c r="P628" s="1392"/>
      <c r="Q628" s="1383"/>
      <c r="R628" s="1384"/>
      <c r="S628" s="1385"/>
      <c r="T628" s="1383"/>
      <c r="U628" s="1384"/>
      <c r="V628" s="1385"/>
      <c r="W628" s="1356"/>
      <c r="X628" s="1357"/>
      <c r="Y628" s="1358"/>
      <c r="Z628" s="1380" t="s">
        <v>466</v>
      </c>
      <c r="AA628" s="1381"/>
      <c r="AB628" s="1382"/>
      <c r="AC628" s="1433"/>
      <c r="AD628" s="1434"/>
      <c r="AE628" s="1435"/>
      <c r="AF628" s="1366"/>
      <c r="AG628" s="1367"/>
      <c r="AH628" s="1367"/>
      <c r="AI628" s="1367"/>
      <c r="AJ628" s="1368"/>
      <c r="AK628" s="1428"/>
      <c r="AL628" s="1429"/>
      <c r="AM628" s="1429"/>
      <c r="AN628" s="1430"/>
      <c r="AO628" s="1424">
        <v>15913597</v>
      </c>
      <c r="AP628" s="1425"/>
      <c r="AQ628" s="1425"/>
      <c r="AR628" s="1425"/>
      <c r="AS628" s="1426"/>
      <c r="AT628" s="1200" t="str">
        <f t="shared" si="31"/>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8"/>
      <c r="CV628" s="3"/>
      <c r="CW628" s="3"/>
      <c r="CX628" s="3"/>
      <c r="CY628" s="3"/>
      <c r="CZ628" s="3"/>
      <c r="DA628" s="3"/>
      <c r="DB628" s="3"/>
      <c r="DC628" s="3"/>
      <c r="DD628" s="3"/>
      <c r="DE628" s="3"/>
      <c r="DF628" s="3"/>
      <c r="DX628" s="1410" t="e">
        <f t="shared" si="25"/>
        <v>#VALUE!</v>
      </c>
      <c r="DY628" s="1410"/>
      <c r="DZ628" s="1410"/>
      <c r="EA628" s="1410"/>
      <c r="EB628" s="1410"/>
      <c r="EC628" s="1410">
        <f t="shared" si="26"/>
        <v>357.44680851063828</v>
      </c>
      <c r="ED628" s="1410"/>
      <c r="EE628" s="1410"/>
      <c r="EF628" s="1410"/>
      <c r="EG628" s="1410"/>
      <c r="EH628" s="1410" t="e">
        <f t="shared" si="27"/>
        <v>#VALUE!</v>
      </c>
      <c r="EI628" s="1410"/>
      <c r="EJ628" s="1410"/>
      <c r="EK628" s="1410"/>
      <c r="EL628" s="1410"/>
      <c r="EM628" s="1410" t="e">
        <f t="shared" si="28"/>
        <v>#VALUE!</v>
      </c>
      <c r="EN628" s="1410"/>
      <c r="EO628" s="1410"/>
      <c r="EP628" s="1410"/>
      <c r="EQ628" s="1410"/>
      <c r="ER628" s="1410" t="e">
        <f t="shared" si="29"/>
        <v>#VALUE!</v>
      </c>
      <c r="ES628" s="1410"/>
      <c r="ET628" s="1410"/>
      <c r="EU628" s="1410"/>
      <c r="EV628" s="1410"/>
      <c r="EW628" s="1410" t="e">
        <f t="shared" si="30"/>
        <v>#VALUE!</v>
      </c>
      <c r="EX628" s="1410"/>
      <c r="EY628" s="1410"/>
      <c r="EZ628" s="1410"/>
      <c r="FA628" s="1410"/>
    </row>
    <row r="629" spans="1:157" ht="12.9" customHeight="1">
      <c r="B629" s="52" t="s">
        <v>464</v>
      </c>
      <c r="C629" s="1349" t="str">
        <f>C556</f>
        <v>City of Sunnyvale - Land Value</v>
      </c>
      <c r="D629" s="1349"/>
      <c r="E629" s="1349"/>
      <c r="F629" s="1349"/>
      <c r="G629" s="1349"/>
      <c r="H629" s="1349"/>
      <c r="I629" s="1349"/>
      <c r="J629" s="1349"/>
      <c r="K629" s="1349"/>
      <c r="L629" s="1349"/>
      <c r="M629" s="1392" t="s">
        <v>2554</v>
      </c>
      <c r="N629" s="1392"/>
      <c r="O629" s="1392"/>
      <c r="P629" s="1392"/>
      <c r="Q629" s="1383"/>
      <c r="R629" s="1384"/>
      <c r="S629" s="1385"/>
      <c r="T629" s="1383"/>
      <c r="U629" s="1384"/>
      <c r="V629" s="1385"/>
      <c r="W629" s="1356"/>
      <c r="X629" s="1357"/>
      <c r="Y629" s="1358"/>
      <c r="Z629" s="1380" t="s">
        <v>1327</v>
      </c>
      <c r="AA629" s="1381"/>
      <c r="AB629" s="1382"/>
      <c r="AC629" s="1433"/>
      <c r="AD629" s="1434"/>
      <c r="AE629" s="1435"/>
      <c r="AF629" s="1366"/>
      <c r="AG629" s="1367"/>
      <c r="AH629" s="1367"/>
      <c r="AI629" s="1367"/>
      <c r="AJ629" s="1368"/>
      <c r="AK629" s="1428"/>
      <c r="AL629" s="1429"/>
      <c r="AM629" s="1429"/>
      <c r="AN629" s="1430"/>
      <c r="AO629" s="1424">
        <f>AM556</f>
        <v>13550000</v>
      </c>
      <c r="AP629" s="1425"/>
      <c r="AQ629" s="1425"/>
      <c r="AR629" s="1425"/>
      <c r="AS629" s="1426"/>
      <c r="AT629" s="1200" t="str">
        <f t="shared" si="31"/>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5"/>
        <v>#VALUE!</v>
      </c>
      <c r="DY629" s="1410"/>
      <c r="DZ629" s="1410"/>
      <c r="EA629" s="1410"/>
      <c r="EB629" s="1410"/>
      <c r="EC629" s="1410">
        <f t="shared" si="26"/>
        <v>125.1063829787234</v>
      </c>
      <c r="ED629" s="1410"/>
      <c r="EE629" s="1410"/>
      <c r="EF629" s="1410"/>
      <c r="EG629" s="1410"/>
      <c r="EH629" s="1410" t="e">
        <f t="shared" si="27"/>
        <v>#VALUE!</v>
      </c>
      <c r="EI629" s="1410"/>
      <c r="EJ629" s="1410"/>
      <c r="EK629" s="1410"/>
      <c r="EL629" s="1410"/>
      <c r="EM629" s="1410" t="e">
        <f t="shared" si="28"/>
        <v>#VALUE!</v>
      </c>
      <c r="EN629" s="1410"/>
      <c r="EO629" s="1410"/>
      <c r="EP629" s="1410"/>
      <c r="EQ629" s="1410"/>
      <c r="ER629" s="1410" t="e">
        <f t="shared" si="29"/>
        <v>#VALUE!</v>
      </c>
      <c r="ES629" s="1410"/>
      <c r="ET629" s="1410"/>
      <c r="EU629" s="1410"/>
      <c r="EV629" s="1410"/>
      <c r="EW629" s="1410" t="e">
        <f t="shared" si="30"/>
        <v>#VALUE!</v>
      </c>
      <c r="EX629" s="1410"/>
      <c r="EY629" s="1410"/>
      <c r="EZ629" s="1410"/>
      <c r="FA629" s="1410"/>
    </row>
    <row r="630" spans="1:157" ht="12.9" customHeight="1">
      <c r="B630" s="52" t="s">
        <v>465</v>
      </c>
      <c r="C630" s="1349" t="str">
        <f>C557</f>
        <v>GP Equity</v>
      </c>
      <c r="D630" s="1349"/>
      <c r="E630" s="1349"/>
      <c r="F630" s="1349"/>
      <c r="G630" s="1349"/>
      <c r="H630" s="1349"/>
      <c r="I630" s="1349"/>
      <c r="J630" s="1349"/>
      <c r="K630" s="1349"/>
      <c r="L630" s="1349"/>
      <c r="M630" s="1392" t="s">
        <v>2537</v>
      </c>
      <c r="N630" s="1392"/>
      <c r="O630" s="1392"/>
      <c r="P630" s="1392"/>
      <c r="Q630" s="1383"/>
      <c r="R630" s="1384"/>
      <c r="S630" s="1385"/>
      <c r="T630" s="1383"/>
      <c r="U630" s="1384"/>
      <c r="V630" s="1385"/>
      <c r="W630" s="1356"/>
      <c r="X630" s="1357"/>
      <c r="Y630" s="1358"/>
      <c r="Z630" s="1380" t="s">
        <v>1327</v>
      </c>
      <c r="AA630" s="1381"/>
      <c r="AB630" s="1382"/>
      <c r="AC630" s="1433"/>
      <c r="AD630" s="1434"/>
      <c r="AE630" s="1435"/>
      <c r="AF630" s="1366"/>
      <c r="AG630" s="1367"/>
      <c r="AH630" s="1367"/>
      <c r="AI630" s="1367"/>
      <c r="AJ630" s="1368"/>
      <c r="AK630" s="1428"/>
      <c r="AL630" s="1429"/>
      <c r="AM630" s="1429"/>
      <c r="AN630" s="1430"/>
      <c r="AO630" s="1424">
        <f>AM557</f>
        <v>100</v>
      </c>
      <c r="AP630" s="1425"/>
      <c r="AQ630" s="1425"/>
      <c r="AR630" s="1425"/>
      <c r="AS630" s="1426"/>
      <c r="AT630" s="1200" t="str">
        <f t="shared" si="31"/>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3"/>
      <c r="BP630" s="1593"/>
      <c r="BQ630" s="1593"/>
      <c r="BR630" s="1432"/>
      <c r="BS630" s="1415">
        <f>SUM(BS626:BW629)</f>
        <v>0</v>
      </c>
      <c r="BT630" s="1416"/>
      <c r="BU630" s="1416"/>
      <c r="BV630" s="1416"/>
      <c r="BW630" s="1417"/>
      <c r="BX630" s="1415">
        <f>SUM(BX626:CB629)</f>
        <v>1</v>
      </c>
      <c r="BY630" s="1416"/>
      <c r="BZ630" s="1416"/>
      <c r="CA630" s="1416"/>
      <c r="CB630" s="1417"/>
      <c r="CC630" s="1415">
        <f>SUM(CC626:CG629)</f>
        <v>1</v>
      </c>
      <c r="CD630" s="1416"/>
      <c r="CE630" s="1416"/>
      <c r="CF630" s="1416"/>
      <c r="CG630" s="1417"/>
      <c r="CH630" s="1415">
        <f>SUM(CH626:CL629)</f>
        <v>0</v>
      </c>
      <c r="CI630" s="1416"/>
      <c r="CJ630" s="1416"/>
      <c r="CK630" s="1416"/>
      <c r="CL630" s="1417"/>
      <c r="CM630" s="1415">
        <f>SUM(CM626:CQ629)</f>
        <v>0</v>
      </c>
      <c r="CN630" s="1416"/>
      <c r="CO630" s="1416"/>
      <c r="CP630" s="1416"/>
      <c r="CQ630" s="1417"/>
      <c r="CS630" s="896">
        <f>BN630+BS630+BX630+CC630+CH630+CM630</f>
        <v>2</v>
      </c>
      <c r="CT630" s="57" t="s">
        <v>2122</v>
      </c>
      <c r="CU630" s="3"/>
      <c r="CV630" s="3"/>
      <c r="CW630" s="3"/>
      <c r="CX630" s="3"/>
      <c r="CY630" s="3"/>
      <c r="CZ630" s="3"/>
      <c r="DA630" s="3"/>
      <c r="DB630" s="3"/>
      <c r="DC630" s="3"/>
      <c r="DD630" s="3"/>
      <c r="DE630" s="3"/>
      <c r="DF630" s="3"/>
      <c r="DX630" s="1410" t="e">
        <f t="shared" si="25"/>
        <v>#VALUE!</v>
      </c>
      <c r="DY630" s="1410"/>
      <c r="DZ630" s="1410"/>
      <c r="EA630" s="1410"/>
      <c r="EB630" s="1410"/>
      <c r="EC630" s="1410">
        <f t="shared" si="26"/>
        <v>122.97872340425532</v>
      </c>
      <c r="ED630" s="1410"/>
      <c r="EE630" s="1410"/>
      <c r="EF630" s="1410"/>
      <c r="EG630" s="1410"/>
      <c r="EH630" s="1410" t="e">
        <f t="shared" si="27"/>
        <v>#VALUE!</v>
      </c>
      <c r="EI630" s="1410"/>
      <c r="EJ630" s="1410"/>
      <c r="EK630" s="1410"/>
      <c r="EL630" s="1410"/>
      <c r="EM630" s="1410" t="e">
        <f t="shared" si="28"/>
        <v>#VALUE!</v>
      </c>
      <c r="EN630" s="1410"/>
      <c r="EO630" s="1410"/>
      <c r="EP630" s="1410"/>
      <c r="EQ630" s="1410"/>
      <c r="ER630" s="1410" t="e">
        <f t="shared" si="29"/>
        <v>#VALUE!</v>
      </c>
      <c r="ES630" s="1410"/>
      <c r="ET630" s="1410"/>
      <c r="EU630" s="1410"/>
      <c r="EV630" s="1410"/>
      <c r="EW630" s="1410" t="e">
        <f t="shared" si="30"/>
        <v>#VALUE!</v>
      </c>
      <c r="EX630" s="1410"/>
      <c r="EY630" s="1410"/>
      <c r="EZ630" s="1410"/>
      <c r="FA630" s="1410"/>
    </row>
    <row r="631" spans="1:157" ht="12.9" customHeight="1">
      <c r="B631" s="52" t="s">
        <v>470</v>
      </c>
      <c r="C631" s="1349"/>
      <c r="D631" s="1349"/>
      <c r="E631" s="1349"/>
      <c r="F631" s="1349"/>
      <c r="G631" s="1349"/>
      <c r="H631" s="1349"/>
      <c r="I631" s="1349"/>
      <c r="J631" s="1349"/>
      <c r="K631" s="1349"/>
      <c r="L631" s="1349"/>
      <c r="M631" s="1392" t="s">
        <v>1327</v>
      </c>
      <c r="N631" s="1392"/>
      <c r="O631" s="1392"/>
      <c r="P631" s="1392"/>
      <c r="Q631" s="1383"/>
      <c r="R631" s="1384"/>
      <c r="S631" s="1385"/>
      <c r="T631" s="1383"/>
      <c r="U631" s="1384"/>
      <c r="V631" s="1385"/>
      <c r="W631" s="1356"/>
      <c r="X631" s="1357"/>
      <c r="Y631" s="1358"/>
      <c r="Z631" s="1380" t="s">
        <v>1327</v>
      </c>
      <c r="AA631" s="1381"/>
      <c r="AB631" s="1382"/>
      <c r="AC631" s="1433"/>
      <c r="AD631" s="1434"/>
      <c r="AE631" s="1435"/>
      <c r="AF631" s="1366"/>
      <c r="AG631" s="1367"/>
      <c r="AH631" s="1367"/>
      <c r="AI631" s="1367"/>
      <c r="AJ631" s="1368"/>
      <c r="AK631" s="1428"/>
      <c r="AL631" s="1429"/>
      <c r="AM631" s="1429"/>
      <c r="AN631" s="1430"/>
      <c r="AO631" s="1424"/>
      <c r="AP631" s="1425"/>
      <c r="AQ631" s="1425"/>
      <c r="AR631" s="1425"/>
      <c r="AS631" s="1426"/>
      <c r="AT631" s="1200" t="str">
        <f t="shared" si="31"/>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0</v>
      </c>
      <c r="BX631" s="3"/>
      <c r="BY631" s="3"/>
      <c r="BZ631" s="3"/>
      <c r="CA631" s="3"/>
      <c r="CB631" s="896">
        <f>BX630*2</f>
        <v>2</v>
      </c>
      <c r="CC631" s="3"/>
      <c r="CD631" s="3"/>
      <c r="CE631" s="3"/>
      <c r="CF631" s="3"/>
      <c r="CG631" s="896">
        <f>CC630*3</f>
        <v>3</v>
      </c>
      <c r="CH631" s="3"/>
      <c r="CI631" s="3"/>
      <c r="CJ631" s="3"/>
      <c r="CK631" s="3"/>
      <c r="CL631" s="896">
        <f>CH630*4</f>
        <v>0</v>
      </c>
      <c r="CM631" s="3"/>
      <c r="CN631" s="3"/>
      <c r="CO631" s="3"/>
      <c r="CP631" s="3"/>
      <c r="CQ631" s="896">
        <f>CM630*5</f>
        <v>0</v>
      </c>
      <c r="CS631" s="896">
        <f>BR631+BW631+CB631+CG631+CL631+CQ631</f>
        <v>5</v>
      </c>
      <c r="CT631" s="57" t="s">
        <v>2124</v>
      </c>
      <c r="CU631" s="3"/>
      <c r="CV631" s="3"/>
      <c r="CW631" s="3"/>
      <c r="CX631" s="3"/>
      <c r="CY631" s="3"/>
      <c r="CZ631" s="3"/>
      <c r="DA631" s="3"/>
      <c r="DB631" s="3"/>
      <c r="DC631" s="3"/>
      <c r="DD631" s="3"/>
      <c r="DE631" s="3"/>
      <c r="DF631" s="3"/>
      <c r="DX631" s="1410" t="e">
        <f t="shared" si="25"/>
        <v>#VALUE!</v>
      </c>
      <c r="DY631" s="1410"/>
      <c r="DZ631" s="1410"/>
      <c r="EA631" s="1410"/>
      <c r="EB631" s="1410"/>
      <c r="EC631" s="1410">
        <f t="shared" si="26"/>
        <v>187.91489361702125</v>
      </c>
      <c r="ED631" s="1410"/>
      <c r="EE631" s="1410"/>
      <c r="EF631" s="1410"/>
      <c r="EG631" s="1410"/>
      <c r="EH631" s="1410" t="e">
        <f t="shared" si="27"/>
        <v>#VALUE!</v>
      </c>
      <c r="EI631" s="1410"/>
      <c r="EJ631" s="1410"/>
      <c r="EK631" s="1410"/>
      <c r="EL631" s="1410"/>
      <c r="EM631" s="1410" t="e">
        <f t="shared" si="28"/>
        <v>#VALUE!</v>
      </c>
      <c r="EN631" s="1410"/>
      <c r="EO631" s="1410"/>
      <c r="EP631" s="1410"/>
      <c r="EQ631" s="1410"/>
      <c r="ER631" s="1410" t="e">
        <f t="shared" si="29"/>
        <v>#VALUE!</v>
      </c>
      <c r="ES631" s="1410"/>
      <c r="ET631" s="1410"/>
      <c r="EU631" s="1410"/>
      <c r="EV631" s="1410"/>
      <c r="EW631" s="1410" t="e">
        <f t="shared" si="30"/>
        <v>#VALUE!</v>
      </c>
      <c r="EX631" s="1410"/>
      <c r="EY631" s="1410"/>
      <c r="EZ631" s="1410"/>
      <c r="FA631" s="1410"/>
    </row>
    <row r="632" spans="1:157" ht="12.9" customHeight="1">
      <c r="B632" s="52" t="s">
        <v>655</v>
      </c>
      <c r="C632" s="1349"/>
      <c r="D632" s="1349"/>
      <c r="E632" s="1349"/>
      <c r="F632" s="1349"/>
      <c r="G632" s="1349"/>
      <c r="H632" s="1349"/>
      <c r="I632" s="1349"/>
      <c r="J632" s="1349"/>
      <c r="K632" s="1349"/>
      <c r="L632" s="1349"/>
      <c r="M632" s="1392" t="s">
        <v>1327</v>
      </c>
      <c r="N632" s="1392"/>
      <c r="O632" s="1392"/>
      <c r="P632" s="1392"/>
      <c r="Q632" s="1383"/>
      <c r="R632" s="1384"/>
      <c r="S632" s="1385"/>
      <c r="T632" s="1383"/>
      <c r="U632" s="1384"/>
      <c r="V632" s="1385"/>
      <c r="W632" s="1356"/>
      <c r="X632" s="1357"/>
      <c r="Y632" s="1358"/>
      <c r="Z632" s="1380" t="s">
        <v>1327</v>
      </c>
      <c r="AA632" s="1381"/>
      <c r="AB632" s="1382"/>
      <c r="AC632" s="1433"/>
      <c r="AD632" s="1434"/>
      <c r="AE632" s="1435"/>
      <c r="AF632" s="1366"/>
      <c r="AG632" s="1367"/>
      <c r="AH632" s="1367"/>
      <c r="AI632" s="1367"/>
      <c r="AJ632" s="1368"/>
      <c r="AK632" s="1428"/>
      <c r="AL632" s="1429"/>
      <c r="AM632" s="1429"/>
      <c r="AN632" s="1430"/>
      <c r="AO632" s="1424"/>
      <c r="AP632" s="1425"/>
      <c r="AQ632" s="1425"/>
      <c r="AR632" s="1425"/>
      <c r="AS632" s="1426"/>
      <c r="AT632" s="1200"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5"/>
        <v>#VALUE!</v>
      </c>
      <c r="DY632" s="1410"/>
      <c r="DZ632" s="1410"/>
      <c r="EA632" s="1410"/>
      <c r="EB632" s="1410"/>
      <c r="EC632" s="1410">
        <f t="shared" si="26"/>
        <v>342.38297872340428</v>
      </c>
      <c r="ED632" s="1410"/>
      <c r="EE632" s="1410"/>
      <c r="EF632" s="1410"/>
      <c r="EG632" s="1410"/>
      <c r="EH632" s="1410" t="e">
        <f t="shared" si="27"/>
        <v>#VALUE!</v>
      </c>
      <c r="EI632" s="1410"/>
      <c r="EJ632" s="1410"/>
      <c r="EK632" s="1410"/>
      <c r="EL632" s="1410"/>
      <c r="EM632" s="1410" t="e">
        <f t="shared" si="28"/>
        <v>#VALUE!</v>
      </c>
      <c r="EN632" s="1410"/>
      <c r="EO632" s="1410"/>
      <c r="EP632" s="1410"/>
      <c r="EQ632" s="1410"/>
      <c r="ER632" s="1410" t="e">
        <f t="shared" si="29"/>
        <v>#VALUE!</v>
      </c>
      <c r="ES632" s="1410"/>
      <c r="ET632" s="1410"/>
      <c r="EU632" s="1410"/>
      <c r="EV632" s="1410"/>
      <c r="EW632" s="1410" t="e">
        <f t="shared" si="30"/>
        <v>#VALUE!</v>
      </c>
      <c r="EX632" s="1410"/>
      <c r="EY632" s="1410"/>
      <c r="EZ632" s="1410"/>
      <c r="FA632" s="1410"/>
    </row>
    <row r="633" spans="1:157" ht="12.9" customHeight="1">
      <c r="B633" s="52" t="s">
        <v>364</v>
      </c>
      <c r="C633" s="1349"/>
      <c r="D633" s="1349"/>
      <c r="E633" s="1349"/>
      <c r="F633" s="1349"/>
      <c r="G633" s="1349"/>
      <c r="H633" s="1349"/>
      <c r="I633" s="1349"/>
      <c r="J633" s="1349"/>
      <c r="K633" s="1349"/>
      <c r="L633" s="1349"/>
      <c r="M633" s="1392" t="s">
        <v>1327</v>
      </c>
      <c r="N633" s="1392"/>
      <c r="O633" s="1392"/>
      <c r="P633" s="1392"/>
      <c r="Q633" s="1383"/>
      <c r="R633" s="1384"/>
      <c r="S633" s="1385"/>
      <c r="T633" s="1383"/>
      <c r="U633" s="1384"/>
      <c r="V633" s="1385"/>
      <c r="W633" s="1356"/>
      <c r="X633" s="1357"/>
      <c r="Y633" s="1358"/>
      <c r="Z633" s="1380" t="s">
        <v>1327</v>
      </c>
      <c r="AA633" s="1381"/>
      <c r="AB633" s="1382"/>
      <c r="AC633" s="1433"/>
      <c r="AD633" s="1434"/>
      <c r="AE633" s="1435"/>
      <c r="AF633" s="1366"/>
      <c r="AG633" s="1367"/>
      <c r="AH633" s="1367"/>
      <c r="AI633" s="1367"/>
      <c r="AJ633" s="1368"/>
      <c r="AK633" s="1428"/>
      <c r="AL633" s="1429"/>
      <c r="AM633" s="1429"/>
      <c r="AN633" s="1430"/>
      <c r="AO633" s="1424"/>
      <c r="AP633" s="1425"/>
      <c r="AQ633" s="1425"/>
      <c r="AR633" s="1425"/>
      <c r="AS633" s="1426"/>
      <c r="AT633" s="1200"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10" t="e">
        <f t="shared" si="25"/>
        <v>#VALUE!</v>
      </c>
      <c r="DY633" s="1410"/>
      <c r="DZ633" s="1410"/>
      <c r="EA633" s="1410"/>
      <c r="EB633" s="1410"/>
      <c r="EC633" s="1410" t="e">
        <f t="shared" si="26"/>
        <v>#VALUE!</v>
      </c>
      <c r="ED633" s="1410"/>
      <c r="EE633" s="1410"/>
      <c r="EF633" s="1410"/>
      <c r="EG633" s="1410"/>
      <c r="EH633" s="1410">
        <f t="shared" si="27"/>
        <v>67.909090909090907</v>
      </c>
      <c r="EI633" s="1410"/>
      <c r="EJ633" s="1410"/>
      <c r="EK633" s="1410"/>
      <c r="EL633" s="1410"/>
      <c r="EM633" s="1410" t="e">
        <f t="shared" si="28"/>
        <v>#VALUE!</v>
      </c>
      <c r="EN633" s="1410"/>
      <c r="EO633" s="1410"/>
      <c r="EP633" s="1410"/>
      <c r="EQ633" s="1410"/>
      <c r="ER633" s="1410" t="e">
        <f t="shared" si="29"/>
        <v>#VALUE!</v>
      </c>
      <c r="ES633" s="1410"/>
      <c r="ET633" s="1410"/>
      <c r="EU633" s="1410"/>
      <c r="EV633" s="1410"/>
      <c r="EW633" s="1410" t="e">
        <f t="shared" si="30"/>
        <v>#VALUE!</v>
      </c>
      <c r="EX633" s="1410"/>
      <c r="EY633" s="1410"/>
      <c r="EZ633" s="1410"/>
      <c r="FA633" s="1410"/>
    </row>
    <row r="634" spans="1:157" ht="12.9" customHeight="1">
      <c r="B634" s="52" t="s">
        <v>365</v>
      </c>
      <c r="C634" s="1349"/>
      <c r="D634" s="1349"/>
      <c r="E634" s="1349"/>
      <c r="F634" s="1349"/>
      <c r="G634" s="1349"/>
      <c r="H634" s="1349"/>
      <c r="I634" s="1349"/>
      <c r="J634" s="1349"/>
      <c r="K634" s="1349"/>
      <c r="L634" s="1349"/>
      <c r="M634" s="1392" t="s">
        <v>1327</v>
      </c>
      <c r="N634" s="1392"/>
      <c r="O634" s="1392"/>
      <c r="P634" s="1392"/>
      <c r="Q634" s="1383"/>
      <c r="R634" s="1384"/>
      <c r="S634" s="1385"/>
      <c r="T634" s="1383"/>
      <c r="U634" s="1384"/>
      <c r="V634" s="1385"/>
      <c r="W634" s="1356"/>
      <c r="X634" s="1357"/>
      <c r="Y634" s="1358"/>
      <c r="Z634" s="1380" t="s">
        <v>1327</v>
      </c>
      <c r="AA634" s="1381"/>
      <c r="AB634" s="1382"/>
      <c r="AC634" s="1433"/>
      <c r="AD634" s="1434"/>
      <c r="AE634" s="1435"/>
      <c r="AF634" s="1366"/>
      <c r="AG634" s="1367"/>
      <c r="AH634" s="1367"/>
      <c r="AI634" s="1367"/>
      <c r="AJ634" s="1368"/>
      <c r="AK634" s="1428"/>
      <c r="AL634" s="1429"/>
      <c r="AM634" s="1429"/>
      <c r="AN634" s="1430"/>
      <c r="AO634" s="1424"/>
      <c r="AP634" s="1425"/>
      <c r="AQ634" s="1425"/>
      <c r="AR634" s="1425"/>
      <c r="AS634" s="1426"/>
      <c r="AT634" s="1200" t="str">
        <f t="shared" si="31"/>
        <v/>
      </c>
      <c r="AU634" s="3"/>
      <c r="AV634" s="3"/>
      <c r="AW634" s="3"/>
      <c r="AX634" s="3"/>
      <c r="AY634" s="3"/>
      <c r="AZ634" s="3"/>
      <c r="BA634" s="3"/>
      <c r="BB634" s="3"/>
      <c r="BC634" s="3"/>
      <c r="BD634" s="3"/>
      <c r="BE634" s="3"/>
      <c r="BF634" s="3"/>
      <c r="BG634" s="3"/>
      <c r="BH634" s="3"/>
      <c r="BI634" s="3"/>
      <c r="BJ634" s="3"/>
      <c r="BK634" s="3"/>
      <c r="BL634" s="3"/>
      <c r="BM634" s="3"/>
      <c r="BN634" s="1412">
        <f t="shared" ref="BN634:BN643" si="32">IF(J772="SRO/Studio",O772,0)</f>
        <v>0</v>
      </c>
      <c r="BO634" s="1413"/>
      <c r="BP634" s="1413"/>
      <c r="BQ634" s="1413"/>
      <c r="BR634" s="1414"/>
      <c r="BS634" s="1421">
        <f t="shared" ref="BS634:BS643" si="33">IF(J772="1 Bedroom",O772,0)</f>
        <v>0</v>
      </c>
      <c r="BT634" s="1421"/>
      <c r="BU634" s="1421"/>
      <c r="BV634" s="1421"/>
      <c r="BW634" s="1421"/>
      <c r="BX634" s="1421">
        <f t="shared" ref="BX634:BX643" si="34">IF(J772="2 Bedrooms",O772,0)</f>
        <v>0</v>
      </c>
      <c r="BY634" s="1421"/>
      <c r="BZ634" s="1421"/>
      <c r="CA634" s="1421"/>
      <c r="CB634" s="1421"/>
      <c r="CC634" s="1421">
        <f t="shared" ref="CC634:CC643" si="35">IF(J772="3 Bedrooms",O772,0)</f>
        <v>0</v>
      </c>
      <c r="CD634" s="1421"/>
      <c r="CE634" s="1421"/>
      <c r="CF634" s="1421"/>
      <c r="CG634" s="1421"/>
      <c r="CH634" s="1421">
        <f t="shared" ref="CH634:CH643" si="36">IF(J772="4 Bedrooms",O772,0)</f>
        <v>0</v>
      </c>
      <c r="CI634" s="1421"/>
      <c r="CJ634" s="1421"/>
      <c r="CK634" s="1421"/>
      <c r="CL634" s="1421"/>
      <c r="CM634" s="1421">
        <f t="shared" ref="CM634:CM643" si="37">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5"/>
        <v>#VALUE!</v>
      </c>
      <c r="DY634" s="1410"/>
      <c r="DZ634" s="1410"/>
      <c r="EA634" s="1410"/>
      <c r="EB634" s="1410"/>
      <c r="EC634" s="1410" t="e">
        <f t="shared" si="26"/>
        <v>#VALUE!</v>
      </c>
      <c r="ED634" s="1410"/>
      <c r="EE634" s="1410"/>
      <c r="EF634" s="1410"/>
      <c r="EG634" s="1410"/>
      <c r="EH634" s="1410">
        <f t="shared" si="27"/>
        <v>271.63636363636363</v>
      </c>
      <c r="EI634" s="1410"/>
      <c r="EJ634" s="1410"/>
      <c r="EK634" s="1410"/>
      <c r="EL634" s="1410"/>
      <c r="EM634" s="1410" t="e">
        <f t="shared" si="28"/>
        <v>#VALUE!</v>
      </c>
      <c r="EN634" s="1410"/>
      <c r="EO634" s="1410"/>
      <c r="EP634" s="1410"/>
      <c r="EQ634" s="1410"/>
      <c r="ER634" s="1410" t="e">
        <f t="shared" si="29"/>
        <v>#VALUE!</v>
      </c>
      <c r="ES634" s="1410"/>
      <c r="ET634" s="1410"/>
      <c r="EU634" s="1410"/>
      <c r="EV634" s="1410"/>
      <c r="EW634" s="1410" t="e">
        <f t="shared" si="30"/>
        <v>#VALUE!</v>
      </c>
      <c r="EX634" s="1410"/>
      <c r="EY634" s="1410"/>
      <c r="EZ634" s="1410"/>
      <c r="FA634" s="1410"/>
    </row>
    <row r="635" spans="1:157" ht="12.9"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80357060</v>
      </c>
      <c r="AP635" s="1591"/>
      <c r="AQ635" s="1591"/>
      <c r="AR635" s="1591"/>
      <c r="AS635" s="1592"/>
      <c r="AZ635" s="3"/>
      <c r="BA635" s="3"/>
      <c r="BB635" s="3"/>
      <c r="BC635" s="3"/>
      <c r="BD635" s="3"/>
      <c r="BE635" s="3"/>
      <c r="BF635" s="3"/>
      <c r="BG635" s="3"/>
      <c r="BH635" s="3"/>
      <c r="BI635" s="3"/>
      <c r="BJ635" s="3"/>
      <c r="BK635" s="3"/>
      <c r="BL635" s="3"/>
      <c r="BM635" s="3"/>
      <c r="BN635" s="1412">
        <f t="shared" si="32"/>
        <v>0</v>
      </c>
      <c r="BO635" s="1413"/>
      <c r="BP635" s="1413"/>
      <c r="BQ635" s="1413"/>
      <c r="BR635" s="1414"/>
      <c r="BS635" s="1421">
        <f t="shared" si="33"/>
        <v>0</v>
      </c>
      <c r="BT635" s="1421"/>
      <c r="BU635" s="1421"/>
      <c r="BV635" s="1421"/>
      <c r="BW635" s="1421"/>
      <c r="BX635" s="1421">
        <f t="shared" si="34"/>
        <v>0</v>
      </c>
      <c r="BY635" s="1421"/>
      <c r="BZ635" s="1421"/>
      <c r="CA635" s="1421"/>
      <c r="CB635" s="1421"/>
      <c r="CC635" s="1421">
        <f t="shared" si="35"/>
        <v>0</v>
      </c>
      <c r="CD635" s="1421"/>
      <c r="CE635" s="1421"/>
      <c r="CF635" s="1421"/>
      <c r="CG635" s="1421"/>
      <c r="CH635" s="1421">
        <f t="shared" si="36"/>
        <v>0</v>
      </c>
      <c r="CI635" s="1421"/>
      <c r="CJ635" s="1421"/>
      <c r="CK635" s="1421"/>
      <c r="CL635" s="1421"/>
      <c r="CM635" s="1421">
        <f t="shared" si="37"/>
        <v>0</v>
      </c>
      <c r="CN635" s="1421"/>
      <c r="CO635" s="1421"/>
      <c r="CP635" s="1421"/>
      <c r="CQ635" s="1421"/>
      <c r="CR635" s="6"/>
      <c r="CS635" s="1412">
        <f t="shared" ref="CS635:CS643" si="38">IF(AND(BN635&gt;=1,AH773&gt;=0.1,AH773&lt;=1),O773,0)</f>
        <v>0</v>
      </c>
      <c r="CT635" s="1413"/>
      <c r="CU635" s="1413"/>
      <c r="CV635" s="1413"/>
      <c r="CW635" s="1414"/>
      <c r="CX635" s="1412">
        <f t="shared" ref="CX635:CX643" si="39">IF(AND(BS635&gt;=1,AH773&gt;=0.1,AH773&lt;=1),O773,0)</f>
        <v>0</v>
      </c>
      <c r="CY635" s="1413"/>
      <c r="CZ635" s="1413"/>
      <c r="DA635" s="1413"/>
      <c r="DB635" s="1414"/>
      <c r="DC635" s="1412">
        <f t="shared" ref="DC635:DC643" si="40">IF(AND(BX635&gt;=1,AH773&gt;=0.1,AH773&lt;=1),O773,0)</f>
        <v>0</v>
      </c>
      <c r="DD635" s="1413"/>
      <c r="DE635" s="1413"/>
      <c r="DF635" s="1413"/>
      <c r="DG635" s="1414"/>
      <c r="DH635" s="1412">
        <f t="shared" ref="DH635:DH643" si="41">IF(AND(CC635&gt;=1,AH773&gt;=0.1,AH773&lt;=1),O773,0)</f>
        <v>0</v>
      </c>
      <c r="DI635" s="1413"/>
      <c r="DJ635" s="1413"/>
      <c r="DK635" s="1413"/>
      <c r="DL635" s="1414"/>
      <c r="DM635" s="1412">
        <f t="shared" ref="DM635:DM643" si="42">IF(AND(CH635&gt;=1,AH773&gt;=0.1,AH773&lt;=1),O773,0)</f>
        <v>0</v>
      </c>
      <c r="DN635" s="1413"/>
      <c r="DO635" s="1413"/>
      <c r="DP635" s="1413"/>
      <c r="DQ635" s="1414"/>
      <c r="DR635" s="1412">
        <f t="shared" ref="DR635:DR643" si="43">IF(AND(CM635&gt;=1,AH773&gt;=0.1,AH773&lt;=1),O773,0)</f>
        <v>0</v>
      </c>
      <c r="DS635" s="1413"/>
      <c r="DT635" s="1413"/>
      <c r="DU635" s="1413"/>
      <c r="DV635" s="1414"/>
      <c r="DX635" s="1410" t="e">
        <f t="shared" si="25"/>
        <v>#VALUE!</v>
      </c>
      <c r="DY635" s="1410"/>
      <c r="DZ635" s="1410"/>
      <c r="EA635" s="1410"/>
      <c r="EB635" s="1410"/>
      <c r="EC635" s="1410" t="e">
        <f t="shared" si="26"/>
        <v>#VALUE!</v>
      </c>
      <c r="ED635" s="1410"/>
      <c r="EE635" s="1410"/>
      <c r="EF635" s="1410"/>
      <c r="EG635" s="1410"/>
      <c r="EH635" s="1410">
        <f t="shared" si="27"/>
        <v>93.75</v>
      </c>
      <c r="EI635" s="1410"/>
      <c r="EJ635" s="1410"/>
      <c r="EK635" s="1410"/>
      <c r="EL635" s="1410"/>
      <c r="EM635" s="1410" t="e">
        <f t="shared" si="28"/>
        <v>#VALUE!</v>
      </c>
      <c r="EN635" s="1410"/>
      <c r="EO635" s="1410"/>
      <c r="EP635" s="1410"/>
      <c r="EQ635" s="1410"/>
      <c r="ER635" s="1410" t="e">
        <f t="shared" si="29"/>
        <v>#VALUE!</v>
      </c>
      <c r="ES635" s="1410"/>
      <c r="ET635" s="1410"/>
      <c r="EU635" s="1410"/>
      <c r="EV635" s="1410"/>
      <c r="EW635" s="1410" t="e">
        <f t="shared" si="30"/>
        <v>#VALUE!</v>
      </c>
      <c r="EX635" s="1410"/>
      <c r="EY635" s="1410"/>
      <c r="EZ635" s="1410"/>
      <c r="FA635" s="1410"/>
    </row>
    <row r="636" spans="1:157" ht="12.9"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4">
        <v>84200721</v>
      </c>
      <c r="AP636" s="1425"/>
      <c r="AQ636" s="1425"/>
      <c r="AR636" s="1425"/>
      <c r="AS636" s="1426"/>
      <c r="AZ636" s="34"/>
      <c r="BA636" s="34"/>
      <c r="BB636" s="34"/>
      <c r="BC636" s="34"/>
      <c r="BD636" s="34"/>
      <c r="BE636" s="34"/>
      <c r="BF636" s="34"/>
      <c r="BG636" s="34"/>
      <c r="BH636" s="34"/>
      <c r="BI636" s="34"/>
      <c r="BJ636" s="34"/>
      <c r="BK636" s="34"/>
      <c r="BL636" s="34"/>
      <c r="BM636" s="34"/>
      <c r="BN636" s="1412">
        <f t="shared" si="32"/>
        <v>0</v>
      </c>
      <c r="BO636" s="1413"/>
      <c r="BP636" s="1413"/>
      <c r="BQ636" s="1413"/>
      <c r="BR636" s="1414"/>
      <c r="BS636" s="1421">
        <f t="shared" si="33"/>
        <v>0</v>
      </c>
      <c r="BT636" s="1421"/>
      <c r="BU636" s="1421"/>
      <c r="BV636" s="1421"/>
      <c r="BW636" s="1421"/>
      <c r="BX636" s="1421">
        <f t="shared" si="34"/>
        <v>0</v>
      </c>
      <c r="BY636" s="1421"/>
      <c r="BZ636" s="1421"/>
      <c r="CA636" s="1421"/>
      <c r="CB636" s="1421"/>
      <c r="CC636" s="1421">
        <f t="shared" si="35"/>
        <v>0</v>
      </c>
      <c r="CD636" s="1421"/>
      <c r="CE636" s="1421"/>
      <c r="CF636" s="1421"/>
      <c r="CG636" s="1421"/>
      <c r="CH636" s="1421">
        <f t="shared" si="36"/>
        <v>0</v>
      </c>
      <c r="CI636" s="1421"/>
      <c r="CJ636" s="1421"/>
      <c r="CK636" s="1421"/>
      <c r="CL636" s="1421"/>
      <c r="CM636" s="1421">
        <f t="shared" si="37"/>
        <v>0</v>
      </c>
      <c r="CN636" s="1421"/>
      <c r="CO636" s="1421"/>
      <c r="CP636" s="1421"/>
      <c r="CQ636" s="1421"/>
      <c r="CR636" s="6"/>
      <c r="CS636" s="1412">
        <f t="shared" si="38"/>
        <v>0</v>
      </c>
      <c r="CT636" s="1413"/>
      <c r="CU636" s="1413"/>
      <c r="CV636" s="1413"/>
      <c r="CW636" s="1414"/>
      <c r="CX636" s="1412">
        <f t="shared" si="39"/>
        <v>0</v>
      </c>
      <c r="CY636" s="1413"/>
      <c r="CZ636" s="1413"/>
      <c r="DA636" s="1413"/>
      <c r="DB636" s="1414"/>
      <c r="DC636" s="1412">
        <f t="shared" si="40"/>
        <v>0</v>
      </c>
      <c r="DD636" s="1413"/>
      <c r="DE636" s="1413"/>
      <c r="DF636" s="1413"/>
      <c r="DG636" s="1414"/>
      <c r="DH636" s="1412">
        <f t="shared" si="41"/>
        <v>0</v>
      </c>
      <c r="DI636" s="1413"/>
      <c r="DJ636" s="1413"/>
      <c r="DK636" s="1413"/>
      <c r="DL636" s="1414"/>
      <c r="DM636" s="1412">
        <f t="shared" si="42"/>
        <v>0</v>
      </c>
      <c r="DN636" s="1413"/>
      <c r="DO636" s="1413"/>
      <c r="DP636" s="1413"/>
      <c r="DQ636" s="1414"/>
      <c r="DR636" s="1412">
        <f t="shared" si="43"/>
        <v>0</v>
      </c>
      <c r="DS636" s="1413"/>
      <c r="DT636" s="1413"/>
      <c r="DU636" s="1413"/>
      <c r="DV636" s="1414"/>
      <c r="DX636" s="1410" t="e">
        <f t="shared" si="25"/>
        <v>#VALUE!</v>
      </c>
      <c r="DY636" s="1410"/>
      <c r="DZ636" s="1410"/>
      <c r="EA636" s="1410"/>
      <c r="EB636" s="1410"/>
      <c r="EC636" s="1410" t="e">
        <f t="shared" si="26"/>
        <v>#VALUE!</v>
      </c>
      <c r="ED636" s="1410"/>
      <c r="EE636" s="1410"/>
      <c r="EF636" s="1410"/>
      <c r="EG636" s="1410"/>
      <c r="EH636" s="1410">
        <f t="shared" si="27"/>
        <v>119.65909090909091</v>
      </c>
      <c r="EI636" s="1410"/>
      <c r="EJ636" s="1410"/>
      <c r="EK636" s="1410"/>
      <c r="EL636" s="1410"/>
      <c r="EM636" s="1410" t="e">
        <f t="shared" si="28"/>
        <v>#VALUE!</v>
      </c>
      <c r="EN636" s="1410"/>
      <c r="EO636" s="1410"/>
      <c r="EP636" s="1410"/>
      <c r="EQ636" s="1410"/>
      <c r="ER636" s="1410" t="e">
        <f t="shared" si="29"/>
        <v>#VALUE!</v>
      </c>
      <c r="ES636" s="1410"/>
      <c r="ET636" s="1410"/>
      <c r="EU636" s="1410"/>
      <c r="EV636" s="1410"/>
      <c r="EW636" s="1410" t="e">
        <f t="shared" si="30"/>
        <v>#VALUE!</v>
      </c>
      <c r="EX636" s="1410"/>
      <c r="EY636" s="1410"/>
      <c r="EZ636" s="1410"/>
      <c r="FA636" s="1410"/>
    </row>
    <row r="637" spans="1:157" ht="12.9" customHeight="1">
      <c r="B637" s="1745" t="s">
        <v>270</v>
      </c>
      <c r="C637" s="1746"/>
      <c r="D637" s="1746"/>
      <c r="E637" s="1746"/>
      <c r="F637" s="1746"/>
      <c r="G637" s="1746"/>
      <c r="H637" s="1746"/>
      <c r="I637" s="1746"/>
      <c r="J637" s="1746"/>
      <c r="K637" s="1746"/>
      <c r="L637" s="1746"/>
      <c r="M637" s="1746"/>
      <c r="N637" s="1746"/>
      <c r="O637" s="1746"/>
      <c r="P637" s="1746"/>
      <c r="Q637" s="1746"/>
      <c r="R637" s="1746"/>
      <c r="S637" s="1746"/>
      <c r="T637" s="1746"/>
      <c r="U637" s="1746"/>
      <c r="V637" s="1746"/>
      <c r="W637" s="1746"/>
      <c r="X637" s="1746"/>
      <c r="Y637" s="1746"/>
      <c r="Z637" s="1746"/>
      <c r="AA637" s="1746"/>
      <c r="AB637" s="1746"/>
      <c r="AC637" s="1746"/>
      <c r="AD637" s="1746"/>
      <c r="AE637" s="1746"/>
      <c r="AF637" s="1746"/>
      <c r="AG637" s="1746"/>
      <c r="AH637" s="1746"/>
      <c r="AI637" s="1746"/>
      <c r="AJ637" s="1746"/>
      <c r="AK637" s="1746"/>
      <c r="AL637" s="1746"/>
      <c r="AM637" s="1746"/>
      <c r="AN637" s="1747"/>
      <c r="AO637" s="1590">
        <f>AO635+AO636</f>
        <v>164557781</v>
      </c>
      <c r="AP637" s="1591"/>
      <c r="AQ637" s="1591"/>
      <c r="AR637" s="1591"/>
      <c r="AS637" s="1592"/>
      <c r="AZ637" s="34"/>
      <c r="BA637" s="34"/>
      <c r="BB637" s="34"/>
      <c r="BC637" s="34"/>
      <c r="BD637" s="34"/>
      <c r="BE637" s="34"/>
      <c r="BF637" s="34"/>
      <c r="BG637" s="34"/>
      <c r="BH637" s="34"/>
      <c r="BI637" s="34"/>
      <c r="BJ637" s="34"/>
      <c r="BK637" s="34"/>
      <c r="BL637" s="34"/>
      <c r="BM637" s="34"/>
      <c r="BN637" s="1412">
        <f t="shared" si="32"/>
        <v>0</v>
      </c>
      <c r="BO637" s="1413"/>
      <c r="BP637" s="1413"/>
      <c r="BQ637" s="1413"/>
      <c r="BR637" s="1414"/>
      <c r="BS637" s="1421">
        <f t="shared" si="33"/>
        <v>0</v>
      </c>
      <c r="BT637" s="1421"/>
      <c r="BU637" s="1421"/>
      <c r="BV637" s="1421"/>
      <c r="BW637" s="1421"/>
      <c r="BX637" s="1421">
        <f t="shared" si="34"/>
        <v>0</v>
      </c>
      <c r="BY637" s="1421"/>
      <c r="BZ637" s="1421"/>
      <c r="CA637" s="1421"/>
      <c r="CB637" s="1421"/>
      <c r="CC637" s="1421">
        <f t="shared" si="35"/>
        <v>0</v>
      </c>
      <c r="CD637" s="1421"/>
      <c r="CE637" s="1421"/>
      <c r="CF637" s="1421"/>
      <c r="CG637" s="1421"/>
      <c r="CH637" s="1421">
        <f t="shared" si="36"/>
        <v>0</v>
      </c>
      <c r="CI637" s="1421"/>
      <c r="CJ637" s="1421"/>
      <c r="CK637" s="1421"/>
      <c r="CL637" s="1421"/>
      <c r="CM637" s="1421">
        <f t="shared" si="37"/>
        <v>0</v>
      </c>
      <c r="CN637" s="1421"/>
      <c r="CO637" s="1421"/>
      <c r="CP637" s="1421"/>
      <c r="CQ637" s="1421"/>
      <c r="CR637" s="6"/>
      <c r="CS637" s="1412">
        <f t="shared" si="38"/>
        <v>0</v>
      </c>
      <c r="CT637" s="1413"/>
      <c r="CU637" s="1413"/>
      <c r="CV637" s="1413"/>
      <c r="CW637" s="1414"/>
      <c r="CX637" s="1412">
        <f t="shared" si="39"/>
        <v>0</v>
      </c>
      <c r="CY637" s="1413"/>
      <c r="CZ637" s="1413"/>
      <c r="DA637" s="1413"/>
      <c r="DB637" s="1414"/>
      <c r="DC637" s="1412">
        <f t="shared" si="40"/>
        <v>0</v>
      </c>
      <c r="DD637" s="1413"/>
      <c r="DE637" s="1413"/>
      <c r="DF637" s="1413"/>
      <c r="DG637" s="1414"/>
      <c r="DH637" s="1412">
        <f t="shared" si="41"/>
        <v>0</v>
      </c>
      <c r="DI637" s="1413"/>
      <c r="DJ637" s="1413"/>
      <c r="DK637" s="1413"/>
      <c r="DL637" s="1414"/>
      <c r="DM637" s="1412">
        <f t="shared" si="42"/>
        <v>0</v>
      </c>
      <c r="DN637" s="1413"/>
      <c r="DO637" s="1413"/>
      <c r="DP637" s="1413"/>
      <c r="DQ637" s="1414"/>
      <c r="DR637" s="1412">
        <f t="shared" si="43"/>
        <v>0</v>
      </c>
      <c r="DS637" s="1413"/>
      <c r="DT637" s="1413"/>
      <c r="DU637" s="1413"/>
      <c r="DV637" s="1414"/>
      <c r="DX637" s="1410" t="e">
        <f t="shared" si="25"/>
        <v>#VALUE!</v>
      </c>
      <c r="DY637" s="1410"/>
      <c r="DZ637" s="1410"/>
      <c r="EA637" s="1410"/>
      <c r="EB637" s="1410"/>
      <c r="EC637" s="1410" t="e">
        <f t="shared" si="26"/>
        <v>#VALUE!</v>
      </c>
      <c r="ED637" s="1410"/>
      <c r="EE637" s="1410"/>
      <c r="EF637" s="1410"/>
      <c r="EG637" s="1410"/>
      <c r="EH637" s="1410">
        <f t="shared" si="27"/>
        <v>239.31818181818181</v>
      </c>
      <c r="EI637" s="1410"/>
      <c r="EJ637" s="1410"/>
      <c r="EK637" s="1410"/>
      <c r="EL637" s="1410"/>
      <c r="EM637" s="1410" t="e">
        <f t="shared" si="28"/>
        <v>#VALUE!</v>
      </c>
      <c r="EN637" s="1410"/>
      <c r="EO637" s="1410"/>
      <c r="EP637" s="1410"/>
      <c r="EQ637" s="1410"/>
      <c r="ER637" s="1410" t="e">
        <f t="shared" si="29"/>
        <v>#VALUE!</v>
      </c>
      <c r="ES637" s="1410"/>
      <c r="ET637" s="1410"/>
      <c r="EU637" s="1410"/>
      <c r="EV637" s="1410"/>
      <c r="EW637" s="1410" t="e">
        <f t="shared" si="30"/>
        <v>#VALUE!</v>
      </c>
      <c r="EX637" s="1410"/>
      <c r="EY637" s="1410"/>
      <c r="EZ637" s="1410"/>
      <c r="FA637" s="1410"/>
    </row>
    <row r="638" spans="1:157" ht="12.9"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2"/>
        <v>0</v>
      </c>
      <c r="BO638" s="1413"/>
      <c r="BP638" s="1413"/>
      <c r="BQ638" s="1413"/>
      <c r="BR638" s="1414"/>
      <c r="BS638" s="1421">
        <f t="shared" si="33"/>
        <v>0</v>
      </c>
      <c r="BT638" s="1421"/>
      <c r="BU638" s="1421"/>
      <c r="BV638" s="1421"/>
      <c r="BW638" s="1421"/>
      <c r="BX638" s="1421">
        <f t="shared" si="34"/>
        <v>0</v>
      </c>
      <c r="BY638" s="1421"/>
      <c r="BZ638" s="1421"/>
      <c r="CA638" s="1421"/>
      <c r="CB638" s="1421"/>
      <c r="CC638" s="1421">
        <f t="shared" si="35"/>
        <v>0</v>
      </c>
      <c r="CD638" s="1421"/>
      <c r="CE638" s="1421"/>
      <c r="CF638" s="1421"/>
      <c r="CG638" s="1421"/>
      <c r="CH638" s="1421">
        <f t="shared" si="36"/>
        <v>0</v>
      </c>
      <c r="CI638" s="1421"/>
      <c r="CJ638" s="1421"/>
      <c r="CK638" s="1421"/>
      <c r="CL638" s="1421"/>
      <c r="CM638" s="1421">
        <f t="shared" si="37"/>
        <v>0</v>
      </c>
      <c r="CN638" s="1421"/>
      <c r="CO638" s="1421"/>
      <c r="CP638" s="1421"/>
      <c r="CQ638" s="1421"/>
      <c r="CR638" s="6"/>
      <c r="CS638" s="1412">
        <f t="shared" si="38"/>
        <v>0</v>
      </c>
      <c r="CT638" s="1413"/>
      <c r="CU638" s="1413"/>
      <c r="CV638" s="1413"/>
      <c r="CW638" s="1414"/>
      <c r="CX638" s="1412">
        <f t="shared" si="39"/>
        <v>0</v>
      </c>
      <c r="CY638" s="1413"/>
      <c r="CZ638" s="1413"/>
      <c r="DA638" s="1413"/>
      <c r="DB638" s="1414"/>
      <c r="DC638" s="1412">
        <f t="shared" si="40"/>
        <v>0</v>
      </c>
      <c r="DD638" s="1413"/>
      <c r="DE638" s="1413"/>
      <c r="DF638" s="1413"/>
      <c r="DG638" s="1414"/>
      <c r="DH638" s="1412">
        <f t="shared" si="41"/>
        <v>0</v>
      </c>
      <c r="DI638" s="1413"/>
      <c r="DJ638" s="1413"/>
      <c r="DK638" s="1413"/>
      <c r="DL638" s="1414"/>
      <c r="DM638" s="1412">
        <f t="shared" si="42"/>
        <v>0</v>
      </c>
      <c r="DN638" s="1413"/>
      <c r="DO638" s="1413"/>
      <c r="DP638" s="1413"/>
      <c r="DQ638" s="1414"/>
      <c r="DR638" s="1412">
        <f t="shared" si="43"/>
        <v>0</v>
      </c>
      <c r="DS638" s="1413"/>
      <c r="DT638" s="1413"/>
      <c r="DU638" s="1413"/>
      <c r="DV638" s="1414"/>
      <c r="DX638" s="1410" t="e">
        <f t="shared" si="25"/>
        <v>#VALUE!</v>
      </c>
      <c r="DY638" s="1410"/>
      <c r="DZ638" s="1410"/>
      <c r="EA638" s="1410"/>
      <c r="EB638" s="1410"/>
      <c r="EC638" s="1410" t="e">
        <f t="shared" si="26"/>
        <v>#VALUE!</v>
      </c>
      <c r="ED638" s="1410"/>
      <c r="EE638" s="1410"/>
      <c r="EF638" s="1410"/>
      <c r="EG638" s="1410"/>
      <c r="EH638" s="1410">
        <f t="shared" si="27"/>
        <v>582</v>
      </c>
      <c r="EI638" s="1410"/>
      <c r="EJ638" s="1410"/>
      <c r="EK638" s="1410"/>
      <c r="EL638" s="1410"/>
      <c r="EM638" s="1410" t="e">
        <f t="shared" si="28"/>
        <v>#VALUE!</v>
      </c>
      <c r="EN638" s="1410"/>
      <c r="EO638" s="1410"/>
      <c r="EP638" s="1410"/>
      <c r="EQ638" s="1410"/>
      <c r="ER638" s="1410" t="e">
        <f t="shared" si="29"/>
        <v>#VALUE!</v>
      </c>
      <c r="ES638" s="1410"/>
      <c r="ET638" s="1410"/>
      <c r="EU638" s="1410"/>
      <c r="EV638" s="1410"/>
      <c r="EW638" s="1410" t="e">
        <f t="shared" si="30"/>
        <v>#VALUE!</v>
      </c>
      <c r="EX638" s="1410"/>
      <c r="EY638" s="1410"/>
      <c r="EZ638" s="1410"/>
      <c r="FA638" s="1410"/>
    </row>
    <row r="639" spans="1:157" ht="12.9" customHeight="1">
      <c r="A639" s="55" t="s">
        <v>113</v>
      </c>
      <c r="B639" t="s">
        <v>472</v>
      </c>
      <c r="G639" s="1351" t="str">
        <f>C623</f>
        <v>Silicon Valley Bank-Tranche A</v>
      </c>
      <c r="H639" s="1351"/>
      <c r="I639" s="1351"/>
      <c r="J639" s="1351"/>
      <c r="K639" s="1351"/>
      <c r="L639" s="1351"/>
      <c r="M639" s="1351"/>
      <c r="N639" s="1351"/>
      <c r="O639" s="1351"/>
      <c r="P639" s="1351"/>
      <c r="Q639" s="1351"/>
      <c r="R639" s="1351"/>
      <c r="S639" s="8"/>
      <c r="T639" s="55" t="s">
        <v>114</v>
      </c>
      <c r="U639" t="s">
        <v>472</v>
      </c>
      <c r="Z639" s="1351" t="str">
        <f>C624</f>
        <v>Silicon Valley Bank-Tranche B</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2">
        <f t="shared" si="32"/>
        <v>0</v>
      </c>
      <c r="BO639" s="1413"/>
      <c r="BP639" s="1413"/>
      <c r="BQ639" s="1413"/>
      <c r="BR639" s="1414"/>
      <c r="BS639" s="1421">
        <f t="shared" si="33"/>
        <v>0</v>
      </c>
      <c r="BT639" s="1421"/>
      <c r="BU639" s="1421"/>
      <c r="BV639" s="1421"/>
      <c r="BW639" s="1421"/>
      <c r="BX639" s="1421">
        <f t="shared" si="34"/>
        <v>0</v>
      </c>
      <c r="BY639" s="1421"/>
      <c r="BZ639" s="1421"/>
      <c r="CA639" s="1421"/>
      <c r="CB639" s="1421"/>
      <c r="CC639" s="1421">
        <f t="shared" si="35"/>
        <v>0</v>
      </c>
      <c r="CD639" s="1421"/>
      <c r="CE639" s="1421"/>
      <c r="CF639" s="1421"/>
      <c r="CG639" s="1421"/>
      <c r="CH639" s="1421">
        <f t="shared" si="36"/>
        <v>0</v>
      </c>
      <c r="CI639" s="1421"/>
      <c r="CJ639" s="1421"/>
      <c r="CK639" s="1421"/>
      <c r="CL639" s="1421"/>
      <c r="CM639" s="1421">
        <f t="shared" si="37"/>
        <v>0</v>
      </c>
      <c r="CN639" s="1421"/>
      <c r="CO639" s="1421"/>
      <c r="CP639" s="1421"/>
      <c r="CQ639" s="1421"/>
      <c r="CR639" s="6"/>
      <c r="CS639" s="1412">
        <f t="shared" si="38"/>
        <v>0</v>
      </c>
      <c r="CT639" s="1413"/>
      <c r="CU639" s="1413"/>
      <c r="CV639" s="1413"/>
      <c r="CW639" s="1414"/>
      <c r="CX639" s="1412">
        <f t="shared" si="39"/>
        <v>0</v>
      </c>
      <c r="CY639" s="1413"/>
      <c r="CZ639" s="1413"/>
      <c r="DA639" s="1413"/>
      <c r="DB639" s="1414"/>
      <c r="DC639" s="1412">
        <f t="shared" si="40"/>
        <v>0</v>
      </c>
      <c r="DD639" s="1413"/>
      <c r="DE639" s="1413"/>
      <c r="DF639" s="1413"/>
      <c r="DG639" s="1414"/>
      <c r="DH639" s="1412">
        <f t="shared" si="41"/>
        <v>0</v>
      </c>
      <c r="DI639" s="1413"/>
      <c r="DJ639" s="1413"/>
      <c r="DK639" s="1413"/>
      <c r="DL639" s="1414"/>
      <c r="DM639" s="1412">
        <f t="shared" si="42"/>
        <v>0</v>
      </c>
      <c r="DN639" s="1413"/>
      <c r="DO639" s="1413"/>
      <c r="DP639" s="1413"/>
      <c r="DQ639" s="1414"/>
      <c r="DR639" s="1412">
        <f t="shared" si="43"/>
        <v>0</v>
      </c>
      <c r="DS639" s="1413"/>
      <c r="DT639" s="1413"/>
      <c r="DU639" s="1413"/>
      <c r="DV639" s="1414"/>
      <c r="DX639" s="1410" t="e">
        <f t="shared" si="25"/>
        <v>#VALUE!</v>
      </c>
      <c r="DY639" s="1410"/>
      <c r="DZ639" s="1410"/>
      <c r="EA639" s="1410"/>
      <c r="EB639" s="1410"/>
      <c r="EC639" s="1410" t="e">
        <f t="shared" si="26"/>
        <v>#VALUE!</v>
      </c>
      <c r="ED639" s="1410"/>
      <c r="EE639" s="1410"/>
      <c r="EF639" s="1410"/>
      <c r="EG639" s="1410"/>
      <c r="EH639" s="1410">
        <f t="shared" si="27"/>
        <v>285.56818181818181</v>
      </c>
      <c r="EI639" s="1410"/>
      <c r="EJ639" s="1410"/>
      <c r="EK639" s="1410"/>
      <c r="EL639" s="1410"/>
      <c r="EM639" s="1410" t="e">
        <f t="shared" si="28"/>
        <v>#VALUE!</v>
      </c>
      <c r="EN639" s="1410"/>
      <c r="EO639" s="1410"/>
      <c r="EP639" s="1410"/>
      <c r="EQ639" s="1410"/>
      <c r="ER639" s="1410" t="e">
        <f t="shared" si="29"/>
        <v>#VALUE!</v>
      </c>
      <c r="ES639" s="1410"/>
      <c r="ET639" s="1410"/>
      <c r="EU639" s="1410"/>
      <c r="EV639" s="1410"/>
      <c r="EW639" s="1410" t="e">
        <f t="shared" si="30"/>
        <v>#VALUE!</v>
      </c>
      <c r="EX639" s="1410"/>
      <c r="EY639" s="1410"/>
      <c r="EZ639" s="1410"/>
      <c r="FA639" s="1410"/>
    </row>
    <row r="640" spans="1:157" ht="12.9" customHeight="1">
      <c r="A640" s="22"/>
      <c r="B640" t="s">
        <v>86</v>
      </c>
      <c r="G640" s="1352" t="s">
        <v>2752</v>
      </c>
      <c r="H640" s="1352"/>
      <c r="I640" s="1352"/>
      <c r="J640" s="1352"/>
      <c r="K640" s="1352"/>
      <c r="L640" s="1352"/>
      <c r="M640" s="1352"/>
      <c r="N640" s="1352"/>
      <c r="O640" s="1352"/>
      <c r="P640" s="1352"/>
      <c r="Q640" s="1352"/>
      <c r="R640" s="1352"/>
      <c r="S640" s="8"/>
      <c r="T640" s="22"/>
      <c r="U640" t="s">
        <v>86</v>
      </c>
      <c r="Z640" s="1352" t="str">
        <f>G640</f>
        <v>3003 Tasman Dr.</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2">
        <f t="shared" si="32"/>
        <v>0</v>
      </c>
      <c r="BO640" s="1413"/>
      <c r="BP640" s="1413"/>
      <c r="BQ640" s="1413"/>
      <c r="BR640" s="1414"/>
      <c r="BS640" s="1421">
        <f t="shared" si="33"/>
        <v>0</v>
      </c>
      <c r="BT640" s="1421"/>
      <c r="BU640" s="1421"/>
      <c r="BV640" s="1421"/>
      <c r="BW640" s="1421"/>
      <c r="BX640" s="1421">
        <f t="shared" si="34"/>
        <v>0</v>
      </c>
      <c r="BY640" s="1421"/>
      <c r="BZ640" s="1421"/>
      <c r="CA640" s="1421"/>
      <c r="CB640" s="1421"/>
      <c r="CC640" s="1421">
        <f t="shared" si="35"/>
        <v>0</v>
      </c>
      <c r="CD640" s="1421"/>
      <c r="CE640" s="1421"/>
      <c r="CF640" s="1421"/>
      <c r="CG640" s="1421"/>
      <c r="CH640" s="1421">
        <f t="shared" si="36"/>
        <v>0</v>
      </c>
      <c r="CI640" s="1421"/>
      <c r="CJ640" s="1421"/>
      <c r="CK640" s="1421"/>
      <c r="CL640" s="1421"/>
      <c r="CM640" s="1421">
        <f t="shared" si="37"/>
        <v>0</v>
      </c>
      <c r="CN640" s="1421"/>
      <c r="CO640" s="1421"/>
      <c r="CP640" s="1421"/>
      <c r="CQ640" s="1421"/>
      <c r="CR640" s="6"/>
      <c r="CS640" s="1412">
        <f t="shared" si="38"/>
        <v>0</v>
      </c>
      <c r="CT640" s="1413"/>
      <c r="CU640" s="1413"/>
      <c r="CV640" s="1413"/>
      <c r="CW640" s="1414"/>
      <c r="CX640" s="1412">
        <f t="shared" si="39"/>
        <v>0</v>
      </c>
      <c r="CY640" s="1413"/>
      <c r="CZ640" s="1413"/>
      <c r="DA640" s="1413"/>
      <c r="DB640" s="1414"/>
      <c r="DC640" s="1412">
        <f t="shared" si="40"/>
        <v>0</v>
      </c>
      <c r="DD640" s="1413"/>
      <c r="DE640" s="1413"/>
      <c r="DF640" s="1413"/>
      <c r="DG640" s="1414"/>
      <c r="DH640" s="1412">
        <f t="shared" si="41"/>
        <v>0</v>
      </c>
      <c r="DI640" s="1413"/>
      <c r="DJ640" s="1413"/>
      <c r="DK640" s="1413"/>
      <c r="DL640" s="1414"/>
      <c r="DM640" s="1412">
        <f t="shared" si="42"/>
        <v>0</v>
      </c>
      <c r="DN640" s="1413"/>
      <c r="DO640" s="1413"/>
      <c r="DP640" s="1413"/>
      <c r="DQ640" s="1414"/>
      <c r="DR640" s="1412">
        <f t="shared" si="43"/>
        <v>0</v>
      </c>
      <c r="DS640" s="1413"/>
      <c r="DT640" s="1413"/>
      <c r="DU640" s="1413"/>
      <c r="DV640" s="1414"/>
      <c r="DX640" s="1410" t="e">
        <f t="shared" si="25"/>
        <v>#VALUE!</v>
      </c>
      <c r="DY640" s="1410"/>
      <c r="DZ640" s="1410"/>
      <c r="EA640" s="1410"/>
      <c r="EB640" s="1410"/>
      <c r="EC640" s="1410" t="e">
        <f t="shared" si="26"/>
        <v>#VALUE!</v>
      </c>
      <c r="ED640" s="1410"/>
      <c r="EE640" s="1410"/>
      <c r="EF640" s="1410"/>
      <c r="EG640" s="1410"/>
      <c r="EH640" s="1410" t="e">
        <f t="shared" si="27"/>
        <v>#VALUE!</v>
      </c>
      <c r="EI640" s="1410"/>
      <c r="EJ640" s="1410"/>
      <c r="EK640" s="1410"/>
      <c r="EL640" s="1410"/>
      <c r="EM640" s="1410">
        <f t="shared" si="28"/>
        <v>51.863636363636367</v>
      </c>
      <c r="EN640" s="1410"/>
      <c r="EO640" s="1410"/>
      <c r="EP640" s="1410"/>
      <c r="EQ640" s="1410"/>
      <c r="ER640" s="1410" t="e">
        <f t="shared" si="29"/>
        <v>#VALUE!</v>
      </c>
      <c r="ES640" s="1410"/>
      <c r="ET640" s="1410"/>
      <c r="EU640" s="1410"/>
      <c r="EV640" s="1410"/>
      <c r="EW640" s="1410" t="e">
        <f t="shared" si="30"/>
        <v>#VALUE!</v>
      </c>
      <c r="EX640" s="1410"/>
      <c r="EY640" s="1410"/>
      <c r="EZ640" s="1410"/>
      <c r="FA640" s="1410"/>
    </row>
    <row r="641" spans="1:157" ht="12.9" customHeight="1">
      <c r="A641" s="22"/>
      <c r="B641" t="s">
        <v>589</v>
      </c>
      <c r="G641" s="1352" t="s">
        <v>194</v>
      </c>
      <c r="H641" s="1352"/>
      <c r="I641" s="1352"/>
      <c r="J641" s="1352"/>
      <c r="K641" s="1352"/>
      <c r="L641" s="1352"/>
      <c r="M641" s="1352"/>
      <c r="N641" s="1352"/>
      <c r="O641" s="1352"/>
      <c r="P641" s="1352"/>
      <c r="Q641" s="1352"/>
      <c r="R641" s="1352"/>
      <c r="T641" s="22"/>
      <c r="U641" t="s">
        <v>589</v>
      </c>
      <c r="Z641" s="1360" t="str">
        <f>G641</f>
        <v>Santa Clara</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2">
        <f t="shared" si="32"/>
        <v>0</v>
      </c>
      <c r="BO641" s="1413"/>
      <c r="BP641" s="1413"/>
      <c r="BQ641" s="1413"/>
      <c r="BR641" s="1414"/>
      <c r="BS641" s="1421">
        <f t="shared" si="33"/>
        <v>0</v>
      </c>
      <c r="BT641" s="1421"/>
      <c r="BU641" s="1421"/>
      <c r="BV641" s="1421"/>
      <c r="BW641" s="1421"/>
      <c r="BX641" s="1421">
        <f t="shared" si="34"/>
        <v>0</v>
      </c>
      <c r="BY641" s="1421"/>
      <c r="BZ641" s="1421"/>
      <c r="CA641" s="1421"/>
      <c r="CB641" s="1421"/>
      <c r="CC641" s="1421">
        <f t="shared" si="35"/>
        <v>0</v>
      </c>
      <c r="CD641" s="1421"/>
      <c r="CE641" s="1421"/>
      <c r="CF641" s="1421"/>
      <c r="CG641" s="1421"/>
      <c r="CH641" s="1421">
        <f t="shared" si="36"/>
        <v>0</v>
      </c>
      <c r="CI641" s="1421"/>
      <c r="CJ641" s="1421"/>
      <c r="CK641" s="1421"/>
      <c r="CL641" s="1421"/>
      <c r="CM641" s="1421">
        <f t="shared" si="37"/>
        <v>0</v>
      </c>
      <c r="CN641" s="1421"/>
      <c r="CO641" s="1421"/>
      <c r="CP641" s="1421"/>
      <c r="CQ641" s="1421"/>
      <c r="CR641" s="6"/>
      <c r="CS641" s="1412">
        <f t="shared" si="38"/>
        <v>0</v>
      </c>
      <c r="CT641" s="1413"/>
      <c r="CU641" s="1413"/>
      <c r="CV641" s="1413"/>
      <c r="CW641" s="1414"/>
      <c r="CX641" s="1412">
        <f t="shared" si="39"/>
        <v>0</v>
      </c>
      <c r="CY641" s="1413"/>
      <c r="CZ641" s="1413"/>
      <c r="DA641" s="1413"/>
      <c r="DB641" s="1414"/>
      <c r="DC641" s="1412">
        <f t="shared" si="40"/>
        <v>0</v>
      </c>
      <c r="DD641" s="1413"/>
      <c r="DE641" s="1413"/>
      <c r="DF641" s="1413"/>
      <c r="DG641" s="1414"/>
      <c r="DH641" s="1412">
        <f t="shared" si="41"/>
        <v>0</v>
      </c>
      <c r="DI641" s="1413"/>
      <c r="DJ641" s="1413"/>
      <c r="DK641" s="1413"/>
      <c r="DL641" s="1414"/>
      <c r="DM641" s="1412">
        <f t="shared" si="42"/>
        <v>0</v>
      </c>
      <c r="DN641" s="1413"/>
      <c r="DO641" s="1413"/>
      <c r="DP641" s="1413"/>
      <c r="DQ641" s="1414"/>
      <c r="DR641" s="1412">
        <f t="shared" si="43"/>
        <v>0</v>
      </c>
      <c r="DS641" s="1413"/>
      <c r="DT641" s="1413"/>
      <c r="DU641" s="1413"/>
      <c r="DV641" s="1414"/>
      <c r="DX641" s="1410" t="e">
        <f t="shared" si="25"/>
        <v>#VALUE!</v>
      </c>
      <c r="DY641" s="1410"/>
      <c r="DZ641" s="1410"/>
      <c r="EA641" s="1410"/>
      <c r="EB641" s="1410"/>
      <c r="EC641" s="1410" t="e">
        <f t="shared" si="26"/>
        <v>#VALUE!</v>
      </c>
      <c r="ED641" s="1410"/>
      <c r="EE641" s="1410"/>
      <c r="EF641" s="1410"/>
      <c r="EG641" s="1410"/>
      <c r="EH641" s="1410" t="e">
        <f t="shared" si="27"/>
        <v>#VALUE!</v>
      </c>
      <c r="EI641" s="1410"/>
      <c r="EJ641" s="1410"/>
      <c r="EK641" s="1410"/>
      <c r="EL641" s="1410"/>
      <c r="EM641" s="1410">
        <f t="shared" si="28"/>
        <v>337.11363636363637</v>
      </c>
      <c r="EN641" s="1410"/>
      <c r="EO641" s="1410"/>
      <c r="EP641" s="1410"/>
      <c r="EQ641" s="1410"/>
      <c r="ER641" s="1410" t="e">
        <f t="shared" si="29"/>
        <v>#VALUE!</v>
      </c>
      <c r="ES641" s="1410"/>
      <c r="ET641" s="1410"/>
      <c r="EU641" s="1410"/>
      <c r="EV641" s="1410"/>
      <c r="EW641" s="1410" t="e">
        <f t="shared" si="30"/>
        <v>#VALUE!</v>
      </c>
      <c r="EX641" s="1410"/>
      <c r="EY641" s="1410"/>
      <c r="EZ641" s="1410"/>
      <c r="FA641" s="1410"/>
    </row>
    <row r="642" spans="1:157" ht="12.9" customHeight="1">
      <c r="A642" s="22"/>
      <c r="B642" t="s">
        <v>17</v>
      </c>
      <c r="G642" s="1352" t="s">
        <v>2751</v>
      </c>
      <c r="H642" s="1352"/>
      <c r="I642" s="1352"/>
      <c r="J642" s="1352"/>
      <c r="K642" s="1352"/>
      <c r="L642" s="1352"/>
      <c r="M642" s="1352"/>
      <c r="N642" s="1352"/>
      <c r="O642" s="1352"/>
      <c r="P642" s="1352"/>
      <c r="Q642" s="1352"/>
      <c r="R642" s="1352"/>
      <c r="S642" s="8"/>
      <c r="T642" s="22"/>
      <c r="U642" t="s">
        <v>17</v>
      </c>
      <c r="Z642" s="1360" t="str">
        <f>G642</f>
        <v>Katie Fisher</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2">
        <f t="shared" si="32"/>
        <v>0</v>
      </c>
      <c r="BO642" s="1413"/>
      <c r="BP642" s="1413"/>
      <c r="BQ642" s="1413"/>
      <c r="BR642" s="1414"/>
      <c r="BS642" s="1421">
        <f t="shared" si="33"/>
        <v>0</v>
      </c>
      <c r="BT642" s="1421"/>
      <c r="BU642" s="1421"/>
      <c r="BV642" s="1421"/>
      <c r="BW642" s="1421"/>
      <c r="BX642" s="1421">
        <f t="shared" si="34"/>
        <v>0</v>
      </c>
      <c r="BY642" s="1421"/>
      <c r="BZ642" s="1421"/>
      <c r="CA642" s="1421"/>
      <c r="CB642" s="1421"/>
      <c r="CC642" s="1421">
        <f t="shared" si="35"/>
        <v>0</v>
      </c>
      <c r="CD642" s="1421"/>
      <c r="CE642" s="1421"/>
      <c r="CF642" s="1421"/>
      <c r="CG642" s="1421"/>
      <c r="CH642" s="1421">
        <f t="shared" si="36"/>
        <v>0</v>
      </c>
      <c r="CI642" s="1421"/>
      <c r="CJ642" s="1421"/>
      <c r="CK642" s="1421"/>
      <c r="CL642" s="1421"/>
      <c r="CM642" s="1421">
        <f t="shared" si="37"/>
        <v>0</v>
      </c>
      <c r="CN642" s="1421"/>
      <c r="CO642" s="1421"/>
      <c r="CP642" s="1421"/>
      <c r="CQ642" s="1421"/>
      <c r="CR642" s="6"/>
      <c r="CS642" s="1412">
        <f t="shared" si="38"/>
        <v>0</v>
      </c>
      <c r="CT642" s="1413"/>
      <c r="CU642" s="1413"/>
      <c r="CV642" s="1413"/>
      <c r="CW642" s="1414"/>
      <c r="CX642" s="1412">
        <f t="shared" si="39"/>
        <v>0</v>
      </c>
      <c r="CY642" s="1413"/>
      <c r="CZ642" s="1413"/>
      <c r="DA642" s="1413"/>
      <c r="DB642" s="1414"/>
      <c r="DC642" s="1412">
        <f t="shared" si="40"/>
        <v>0</v>
      </c>
      <c r="DD642" s="1413"/>
      <c r="DE642" s="1413"/>
      <c r="DF642" s="1413"/>
      <c r="DG642" s="1414"/>
      <c r="DH642" s="1412">
        <f t="shared" si="41"/>
        <v>0</v>
      </c>
      <c r="DI642" s="1413"/>
      <c r="DJ642" s="1413"/>
      <c r="DK642" s="1413"/>
      <c r="DL642" s="1414"/>
      <c r="DM642" s="1412">
        <f t="shared" si="42"/>
        <v>0</v>
      </c>
      <c r="DN642" s="1413"/>
      <c r="DO642" s="1413"/>
      <c r="DP642" s="1413"/>
      <c r="DQ642" s="1414"/>
      <c r="DR642" s="1412">
        <f t="shared" si="43"/>
        <v>0</v>
      </c>
      <c r="DS642" s="1413"/>
      <c r="DT642" s="1413"/>
      <c r="DU642" s="1413"/>
      <c r="DV642" s="1414"/>
      <c r="DX642" s="1410" t="e">
        <f t="shared" si="25"/>
        <v>#VALUE!</v>
      </c>
      <c r="DY642" s="1410"/>
      <c r="DZ642" s="1410"/>
      <c r="EA642" s="1410"/>
      <c r="EB642" s="1410"/>
      <c r="EC642" s="1410" t="e">
        <f t="shared" si="26"/>
        <v>#VALUE!</v>
      </c>
      <c r="ED642" s="1410"/>
      <c r="EE642" s="1410"/>
      <c r="EF642" s="1410"/>
      <c r="EG642" s="1410"/>
      <c r="EH642" s="1410" t="e">
        <f t="shared" si="27"/>
        <v>#VALUE!</v>
      </c>
      <c r="EI642" s="1410"/>
      <c r="EJ642" s="1410"/>
      <c r="EK642" s="1410"/>
      <c r="EL642" s="1410"/>
      <c r="EM642" s="1410">
        <f t="shared" si="28"/>
        <v>107.65909090909091</v>
      </c>
      <c r="EN642" s="1410"/>
      <c r="EO642" s="1410"/>
      <c r="EP642" s="1410"/>
      <c r="EQ642" s="1410"/>
      <c r="ER642" s="1410" t="e">
        <f t="shared" si="29"/>
        <v>#VALUE!</v>
      </c>
      <c r="ES642" s="1410"/>
      <c r="ET642" s="1410"/>
      <c r="EU642" s="1410"/>
      <c r="EV642" s="1410"/>
      <c r="EW642" s="1410" t="e">
        <f t="shared" si="30"/>
        <v>#VALUE!</v>
      </c>
      <c r="EX642" s="1410"/>
      <c r="EY642" s="1410"/>
      <c r="EZ642" s="1410"/>
      <c r="FA642" s="1410"/>
    </row>
    <row r="643" spans="1:157" ht="12.9" customHeight="1">
      <c r="A643" s="22"/>
      <c r="B643" t="s">
        <v>318</v>
      </c>
      <c r="G643" s="1354" t="s">
        <v>2750</v>
      </c>
      <c r="H643" s="1355"/>
      <c r="I643" s="1355"/>
      <c r="J643" s="1355"/>
      <c r="K643" s="1355"/>
      <c r="L643" s="1355"/>
      <c r="O643" s="33" t="s">
        <v>208</v>
      </c>
      <c r="P643" s="1350"/>
      <c r="Q643" s="1350"/>
      <c r="R643" s="1350"/>
      <c r="S643" s="10"/>
      <c r="T643" s="22"/>
      <c r="U643" t="s">
        <v>318</v>
      </c>
      <c r="Z643" s="1355" t="str">
        <f>G643</f>
        <v>415.545.9366</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12">
        <f t="shared" si="32"/>
        <v>0</v>
      </c>
      <c r="BO643" s="1413"/>
      <c r="BP643" s="1413"/>
      <c r="BQ643" s="1413"/>
      <c r="BR643" s="1414"/>
      <c r="BS643" s="1421">
        <f t="shared" si="33"/>
        <v>0</v>
      </c>
      <c r="BT643" s="1421"/>
      <c r="BU643" s="1421"/>
      <c r="BV643" s="1421"/>
      <c r="BW643" s="1421"/>
      <c r="BX643" s="1421">
        <f t="shared" si="34"/>
        <v>0</v>
      </c>
      <c r="BY643" s="1421"/>
      <c r="BZ643" s="1421"/>
      <c r="CA643" s="1421"/>
      <c r="CB643" s="1421"/>
      <c r="CC643" s="1421">
        <f t="shared" si="35"/>
        <v>0</v>
      </c>
      <c r="CD643" s="1421"/>
      <c r="CE643" s="1421"/>
      <c r="CF643" s="1421"/>
      <c r="CG643" s="1421"/>
      <c r="CH643" s="1421">
        <f t="shared" si="36"/>
        <v>0</v>
      </c>
      <c r="CI643" s="1421"/>
      <c r="CJ643" s="1421"/>
      <c r="CK643" s="1421"/>
      <c r="CL643" s="1421"/>
      <c r="CM643" s="1421">
        <f t="shared" si="37"/>
        <v>0</v>
      </c>
      <c r="CN643" s="1421"/>
      <c r="CO643" s="1421"/>
      <c r="CP643" s="1421"/>
      <c r="CQ643" s="1421"/>
      <c r="CR643" s="6"/>
      <c r="CS643" s="1412">
        <f t="shared" si="38"/>
        <v>0</v>
      </c>
      <c r="CT643" s="1413"/>
      <c r="CU643" s="1413"/>
      <c r="CV643" s="1413"/>
      <c r="CW643" s="1414"/>
      <c r="CX643" s="1412">
        <f t="shared" si="39"/>
        <v>0</v>
      </c>
      <c r="CY643" s="1413"/>
      <c r="CZ643" s="1413"/>
      <c r="DA643" s="1413"/>
      <c r="DB643" s="1414"/>
      <c r="DC643" s="1412">
        <f t="shared" si="40"/>
        <v>0</v>
      </c>
      <c r="DD643" s="1413"/>
      <c r="DE643" s="1413"/>
      <c r="DF643" s="1413"/>
      <c r="DG643" s="1414"/>
      <c r="DH643" s="1412">
        <f t="shared" si="41"/>
        <v>0</v>
      </c>
      <c r="DI643" s="1413"/>
      <c r="DJ643" s="1413"/>
      <c r="DK643" s="1413"/>
      <c r="DL643" s="1414"/>
      <c r="DM643" s="1412">
        <f t="shared" si="42"/>
        <v>0</v>
      </c>
      <c r="DN643" s="1413"/>
      <c r="DO643" s="1413"/>
      <c r="DP643" s="1413"/>
      <c r="DQ643" s="1414"/>
      <c r="DR643" s="1412">
        <f t="shared" si="43"/>
        <v>0</v>
      </c>
      <c r="DS643" s="1413"/>
      <c r="DT643" s="1413"/>
      <c r="DU643" s="1413"/>
      <c r="DV643" s="1414"/>
      <c r="DX643" s="1410" t="e">
        <f t="shared" si="25"/>
        <v>#VALUE!</v>
      </c>
      <c r="DY643" s="1410"/>
      <c r="DZ643" s="1410"/>
      <c r="EA643" s="1410"/>
      <c r="EB643" s="1410"/>
      <c r="EC643" s="1410" t="e">
        <f t="shared" si="26"/>
        <v>#VALUE!</v>
      </c>
      <c r="ED643" s="1410"/>
      <c r="EE643" s="1410"/>
      <c r="EF643" s="1410"/>
      <c r="EG643" s="1410"/>
      <c r="EH643" s="1410" t="e">
        <f t="shared" si="27"/>
        <v>#VALUE!</v>
      </c>
      <c r="EI643" s="1410"/>
      <c r="EJ643" s="1410"/>
      <c r="EK643" s="1410"/>
      <c r="EL643" s="1410"/>
      <c r="EM643" s="1410">
        <f t="shared" si="28"/>
        <v>91.681818181818187</v>
      </c>
      <c r="EN643" s="1410"/>
      <c r="EO643" s="1410"/>
      <c r="EP643" s="1410"/>
      <c r="EQ643" s="1410"/>
      <c r="ER643" s="1410" t="e">
        <f t="shared" si="29"/>
        <v>#VALUE!</v>
      </c>
      <c r="ES643" s="1410"/>
      <c r="ET643" s="1410"/>
      <c r="EU643" s="1410"/>
      <c r="EV643" s="1410"/>
      <c r="EW643" s="1410" t="e">
        <f t="shared" si="30"/>
        <v>#VALUE!</v>
      </c>
      <c r="EX643" s="1410"/>
      <c r="EY643" s="1410"/>
      <c r="EZ643" s="1410"/>
      <c r="FA643" s="1410"/>
    </row>
    <row r="644" spans="1:157" ht="12.9" customHeight="1">
      <c r="A644" s="22"/>
      <c r="B644" t="s">
        <v>18</v>
      </c>
      <c r="H644" s="1352" t="s">
        <v>2755</v>
      </c>
      <c r="I644" s="1352"/>
      <c r="J644" s="1352"/>
      <c r="K644" s="1352"/>
      <c r="L644" s="1352"/>
      <c r="M644" s="1352"/>
      <c r="N644" s="1352"/>
      <c r="O644" s="1352"/>
      <c r="P644" s="1352"/>
      <c r="Q644" s="1352"/>
      <c r="R644" s="1352"/>
      <c r="S644" s="8"/>
      <c r="T644" s="22"/>
      <c r="U644" t="s">
        <v>18</v>
      </c>
      <c r="AA644" s="1352" t="str">
        <f>H644</f>
        <v>Tax Exempt Perm Loan</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1">
        <f>SUM(BN634:BR643)</f>
        <v>0</v>
      </c>
      <c r="BO644" s="1593"/>
      <c r="BP644" s="1593"/>
      <c r="BQ644" s="1593"/>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8"/>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5"/>
        <v>#VALUE!</v>
      </c>
      <c r="DY644" s="1410"/>
      <c r="DZ644" s="1410"/>
      <c r="EA644" s="1410"/>
      <c r="EB644" s="1410"/>
      <c r="EC644" s="1410" t="e">
        <f t="shared" si="26"/>
        <v>#VALUE!</v>
      </c>
      <c r="ED644" s="1410"/>
      <c r="EE644" s="1410"/>
      <c r="EF644" s="1410"/>
      <c r="EG644" s="1410"/>
      <c r="EH644" s="1410" t="e">
        <f t="shared" si="27"/>
        <v>#VALUE!</v>
      </c>
      <c r="EI644" s="1410"/>
      <c r="EJ644" s="1410"/>
      <c r="EK644" s="1410"/>
      <c r="EL644" s="1410"/>
      <c r="EM644" s="1410">
        <f t="shared" si="28"/>
        <v>320.88636363636363</v>
      </c>
      <c r="EN644" s="1410"/>
      <c r="EO644" s="1410"/>
      <c r="EP644" s="1410"/>
      <c r="EQ644" s="1410"/>
      <c r="ER644" s="1410" t="e">
        <f t="shared" si="29"/>
        <v>#VALUE!</v>
      </c>
      <c r="ES644" s="1410"/>
      <c r="ET644" s="1410"/>
      <c r="EU644" s="1410"/>
      <c r="EV644" s="1410"/>
      <c r="EW644" s="1410" t="e">
        <f t="shared" si="30"/>
        <v>#VALUE!</v>
      </c>
      <c r="EX644" s="1410"/>
      <c r="EY644" s="1410"/>
      <c r="EZ644" s="1410"/>
      <c r="FA644" s="1410"/>
    </row>
    <row r="645" spans="1:157" ht="12.9"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5"/>
        <v>#VALUE!</v>
      </c>
      <c r="DY645" s="1410"/>
      <c r="DZ645" s="1410"/>
      <c r="EA645" s="1410"/>
      <c r="EB645" s="1410"/>
      <c r="EC645" s="1410" t="e">
        <f t="shared" si="26"/>
        <v>#VALUE!</v>
      </c>
      <c r="ED645" s="1410"/>
      <c r="EE645" s="1410"/>
      <c r="EF645" s="1410"/>
      <c r="EG645" s="1410"/>
      <c r="EH645" s="1410" t="e">
        <f t="shared" si="27"/>
        <v>#VALUE!</v>
      </c>
      <c r="EI645" s="1410"/>
      <c r="EJ645" s="1410"/>
      <c r="EK645" s="1410"/>
      <c r="EL645" s="1410"/>
      <c r="EM645" s="1410">
        <f t="shared" si="28"/>
        <v>669.5454545454545</v>
      </c>
      <c r="EN645" s="1410"/>
      <c r="EO645" s="1410"/>
      <c r="EP645" s="1410"/>
      <c r="EQ645" s="1410"/>
      <c r="ER645" s="1410" t="e">
        <f t="shared" si="29"/>
        <v>#VALUE!</v>
      </c>
      <c r="ES645" s="1410"/>
      <c r="ET645" s="1410"/>
      <c r="EU645" s="1410"/>
      <c r="EV645" s="1410"/>
      <c r="EW645" s="1410" t="e">
        <f t="shared" si="30"/>
        <v>#VALUE!</v>
      </c>
      <c r="EX645" s="1410"/>
      <c r="EY645" s="1410"/>
      <c r="EZ645" s="1410"/>
      <c r="FA645" s="1410"/>
    </row>
    <row r="646" spans="1:157" ht="12.9"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2121</v>
      </c>
      <c r="CU646" s="3"/>
      <c r="CV646" s="3"/>
      <c r="CW646" s="3"/>
      <c r="CX646" s="3"/>
      <c r="CY646" s="3"/>
      <c r="CZ646" s="3"/>
      <c r="DA646" s="3"/>
      <c r="DB646" s="3"/>
      <c r="DC646" s="3"/>
      <c r="DD646" s="3"/>
      <c r="DE646" s="3"/>
      <c r="DF646" s="3"/>
      <c r="DQ646" s="56" t="s">
        <v>2133</v>
      </c>
      <c r="DR646" s="1410">
        <f>SUM(CS644:DV644)</f>
        <v>0</v>
      </c>
      <c r="DS646" s="1410"/>
      <c r="DT646" s="1410"/>
      <c r="DU646" s="1410"/>
      <c r="DV646" s="1410"/>
      <c r="DX646" s="1410" t="e">
        <f t="shared" si="25"/>
        <v>#VALUE!</v>
      </c>
      <c r="DY646" s="1410"/>
      <c r="DZ646" s="1410"/>
      <c r="EA646" s="1410"/>
      <c r="EB646" s="1410"/>
      <c r="EC646" s="1410" t="e">
        <f t="shared" si="26"/>
        <v>#VALUE!</v>
      </c>
      <c r="ED646" s="1410"/>
      <c r="EE646" s="1410"/>
      <c r="EF646" s="1410"/>
      <c r="EG646" s="1410"/>
      <c r="EH646" s="1410" t="e">
        <f t="shared" si="27"/>
        <v>#VALUE!</v>
      </c>
      <c r="EI646" s="1410"/>
      <c r="EJ646" s="1410"/>
      <c r="EK646" s="1410"/>
      <c r="EL646" s="1410"/>
      <c r="EM646" s="1410">
        <f t="shared" si="28"/>
        <v>328.75</v>
      </c>
      <c r="EN646" s="1410"/>
      <c r="EO646" s="1410"/>
      <c r="EP646" s="1410"/>
      <c r="EQ646" s="1410"/>
      <c r="ER646" s="1410" t="e">
        <f t="shared" si="29"/>
        <v>#VALUE!</v>
      </c>
      <c r="ES646" s="1410"/>
      <c r="ET646" s="1410"/>
      <c r="EU646" s="1410"/>
      <c r="EV646" s="1410"/>
      <c r="EW646" s="1410" t="e">
        <f t="shared" si="30"/>
        <v>#VALUE!</v>
      </c>
      <c r="EX646" s="1410"/>
      <c r="EY646" s="1410"/>
      <c r="EZ646" s="1410"/>
      <c r="FA646" s="1410"/>
    </row>
    <row r="647" spans="1:157" ht="12.9" customHeight="1">
      <c r="A647" s="55" t="s">
        <v>120</v>
      </c>
      <c r="B647" t="s">
        <v>472</v>
      </c>
      <c r="G647" s="1351" t="str">
        <f>C625</f>
        <v>City of Sunnyvale</v>
      </c>
      <c r="H647" s="1351"/>
      <c r="I647" s="1351"/>
      <c r="J647" s="1351"/>
      <c r="K647" s="1351"/>
      <c r="L647" s="1351"/>
      <c r="M647" s="1351"/>
      <c r="N647" s="1351"/>
      <c r="O647" s="1351"/>
      <c r="P647" s="1351"/>
      <c r="Q647" s="1351"/>
      <c r="R647" s="1351"/>
      <c r="T647" s="55" t="s">
        <v>590</v>
      </c>
      <c r="U647" t="s">
        <v>472</v>
      </c>
      <c r="Z647" s="1351" t="str">
        <f>C626</f>
        <v>Santa Clara County</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6">
        <f>BR645+BW645+CB645+CG645+CL645+CQ645</f>
        <v>0</v>
      </c>
      <c r="CT647" s="57" t="s">
        <v>1809</v>
      </c>
      <c r="CU647" s="3"/>
      <c r="CV647" s="3"/>
      <c r="CW647" s="3"/>
      <c r="CX647" s="3"/>
      <c r="CY647" s="3"/>
      <c r="CZ647" s="3"/>
      <c r="DA647" s="3"/>
      <c r="DB647" s="3"/>
      <c r="DC647" s="3"/>
      <c r="DD647" s="3"/>
      <c r="DE647" s="3"/>
      <c r="DF647" s="3"/>
      <c r="DX647" s="1410" t="e">
        <f t="shared" si="25"/>
        <v>#VALUE!</v>
      </c>
      <c r="DY647" s="1410"/>
      <c r="DZ647" s="1410"/>
      <c r="EA647" s="1410"/>
      <c r="EB647" s="1410"/>
      <c r="EC647" s="1410" t="e">
        <f t="shared" si="26"/>
        <v>#VALUE!</v>
      </c>
      <c r="ED647" s="1410"/>
      <c r="EE647" s="1410"/>
      <c r="EF647" s="1410"/>
      <c r="EG647" s="1410"/>
      <c r="EH647" s="1410" t="e">
        <f t="shared" si="27"/>
        <v>#VALUE!</v>
      </c>
      <c r="EI647" s="1410"/>
      <c r="EJ647" s="1410"/>
      <c r="EK647" s="1410"/>
      <c r="EL647" s="1410"/>
      <c r="EM647" s="1410" t="e">
        <f t="shared" si="28"/>
        <v>#VALUE!</v>
      </c>
      <c r="EN647" s="1410"/>
      <c r="EO647" s="1410"/>
      <c r="EP647" s="1410"/>
      <c r="EQ647" s="1410"/>
      <c r="ER647" s="1410" t="e">
        <f t="shared" si="29"/>
        <v>#VALUE!</v>
      </c>
      <c r="ES647" s="1410"/>
      <c r="ET647" s="1410"/>
      <c r="EU647" s="1410"/>
      <c r="EV647" s="1410"/>
      <c r="EW647" s="1410" t="e">
        <f t="shared" si="30"/>
        <v>#VALUE!</v>
      </c>
      <c r="EX647" s="1410"/>
      <c r="EY647" s="1410"/>
      <c r="EZ647" s="1410"/>
      <c r="FA647" s="1410"/>
    </row>
    <row r="648" spans="1:157" ht="12.9" customHeight="1">
      <c r="A648" s="22"/>
      <c r="B648" t="s">
        <v>86</v>
      </c>
      <c r="G648" s="1352" t="s">
        <v>2744</v>
      </c>
      <c r="H648" s="1352"/>
      <c r="I648" s="1352"/>
      <c r="J648" s="1352"/>
      <c r="K648" s="1352"/>
      <c r="L648" s="1352"/>
      <c r="M648" s="1352"/>
      <c r="N648" s="1352"/>
      <c r="O648" s="1352"/>
      <c r="P648" s="1352"/>
      <c r="Q648" s="1352"/>
      <c r="R648" s="1352"/>
      <c r="T648" s="22"/>
      <c r="U648" t="s">
        <v>86</v>
      </c>
      <c r="Z648" s="1352" t="s">
        <v>2746</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5"/>
        <v>#VALUE!</v>
      </c>
      <c r="DY648" s="1410"/>
      <c r="DZ648" s="1410"/>
      <c r="EA648" s="1410"/>
      <c r="EB648" s="1410"/>
      <c r="EC648" s="1410" t="e">
        <f t="shared" si="26"/>
        <v>#VALUE!</v>
      </c>
      <c r="ED648" s="1410"/>
      <c r="EE648" s="1410"/>
      <c r="EF648" s="1410"/>
      <c r="EG648" s="1410"/>
      <c r="EH648" s="1410" t="e">
        <f t="shared" si="27"/>
        <v>#VALUE!</v>
      </c>
      <c r="EI648" s="1410"/>
      <c r="EJ648" s="1410"/>
      <c r="EK648" s="1410"/>
      <c r="EL648" s="1410"/>
      <c r="EM648" s="1410" t="e">
        <f t="shared" si="28"/>
        <v>#VALUE!</v>
      </c>
      <c r="EN648" s="1410"/>
      <c r="EO648" s="1410"/>
      <c r="EP648" s="1410"/>
      <c r="EQ648" s="1410"/>
      <c r="ER648" s="1410" t="e">
        <f t="shared" si="29"/>
        <v>#VALUE!</v>
      </c>
      <c r="ES648" s="1410"/>
      <c r="ET648" s="1410"/>
      <c r="EU648" s="1410"/>
      <c r="EV648" s="1410"/>
      <c r="EW648" s="1410" t="e">
        <f t="shared" si="30"/>
        <v>#VALUE!</v>
      </c>
      <c r="EX648" s="1410"/>
      <c r="EY648" s="1410"/>
      <c r="EZ648" s="1410"/>
      <c r="FA648" s="1410"/>
    </row>
    <row r="649" spans="1:157" ht="12.9" customHeight="1">
      <c r="A649" s="22"/>
      <c r="B649" t="s">
        <v>589</v>
      </c>
      <c r="G649" s="1360" t="s">
        <v>2666</v>
      </c>
      <c r="H649" s="1360"/>
      <c r="I649" s="1360"/>
      <c r="J649" s="1360"/>
      <c r="K649" s="1360"/>
      <c r="L649" s="1360"/>
      <c r="M649" s="1360"/>
      <c r="N649" s="1360"/>
      <c r="O649" s="1360"/>
      <c r="P649" s="1360"/>
      <c r="Q649" s="1360"/>
      <c r="R649" s="1360"/>
      <c r="T649" s="22"/>
      <c r="U649" t="s">
        <v>589</v>
      </c>
      <c r="Z649" s="1360" t="s">
        <v>2747</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5">
        <f>BN621+BN630+BN644</f>
        <v>39</v>
      </c>
      <c r="BO649" s="1416"/>
      <c r="BP649" s="1416"/>
      <c r="BQ649" s="1416"/>
      <c r="BR649" s="1417"/>
      <c r="BS649" s="1415">
        <f>BS621+BS630+BS644</f>
        <v>47</v>
      </c>
      <c r="BT649" s="1416"/>
      <c r="BU649" s="1416"/>
      <c r="BV649" s="1416"/>
      <c r="BW649" s="1417"/>
      <c r="BX649" s="1415">
        <f>BX621+BX630+BX644</f>
        <v>45</v>
      </c>
      <c r="BY649" s="1416"/>
      <c r="BZ649" s="1416"/>
      <c r="CA649" s="1416"/>
      <c r="CB649" s="1417"/>
      <c r="CC649" s="1415">
        <f>CC621+CC630+CC644</f>
        <v>45</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6">
        <f>CS623+CS647</f>
        <v>306</v>
      </c>
      <c r="CT649" s="57" t="s">
        <v>2126</v>
      </c>
      <c r="CU649" s="3"/>
      <c r="CV649" s="3"/>
      <c r="CW649" s="3"/>
      <c r="CX649" s="3"/>
      <c r="CY649" s="3"/>
      <c r="CZ649" s="3"/>
      <c r="DA649" s="3"/>
      <c r="DB649" s="3"/>
      <c r="DC649" s="3"/>
      <c r="DD649" s="3"/>
      <c r="DE649" s="3"/>
      <c r="DF649" s="3"/>
      <c r="DX649" s="1410">
        <f>SUMIF(DX624:EB648,"&gt;0")</f>
        <v>883.33333333333326</v>
      </c>
      <c r="DY649" s="1410"/>
      <c r="DZ649" s="1410"/>
      <c r="EA649" s="1410"/>
      <c r="EB649" s="1410"/>
      <c r="EC649" s="1410">
        <f>SUMIF(EC624:EG648,"&gt;0")</f>
        <v>1135.8297872340424</v>
      </c>
      <c r="ED649" s="1410"/>
      <c r="EE649" s="1410"/>
      <c r="EF649" s="1410"/>
      <c r="EG649" s="1410"/>
      <c r="EH649" s="1410">
        <f>SUMIF(EH624:EL648,"&gt;0")</f>
        <v>1659.840909090909</v>
      </c>
      <c r="EI649" s="1410"/>
      <c r="EJ649" s="1410"/>
      <c r="EK649" s="1410"/>
      <c r="EL649" s="1410"/>
      <c r="EM649" s="1410">
        <f>SUMIF(EM624:EQ648,"&gt;0")</f>
        <v>1907.5</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2.9" customHeight="1">
      <c r="A650" s="22"/>
      <c r="B650" t="s">
        <v>17</v>
      </c>
      <c r="G650" s="1360" t="s">
        <v>2672</v>
      </c>
      <c r="H650" s="1360"/>
      <c r="I650" s="1360"/>
      <c r="J650" s="1360"/>
      <c r="K650" s="1360"/>
      <c r="L650" s="1360"/>
      <c r="M650" s="1360"/>
      <c r="N650" s="1360"/>
      <c r="O650" s="1360"/>
      <c r="P650" s="1360"/>
      <c r="Q650" s="1360"/>
      <c r="R650" s="1360"/>
      <c r="T650" s="22"/>
      <c r="U650" t="s">
        <v>17</v>
      </c>
      <c r="Z650" s="1360" t="s">
        <v>2748</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55" t="s">
        <v>2669</v>
      </c>
      <c r="H651" s="1355"/>
      <c r="I651" s="1355"/>
      <c r="J651" s="1355"/>
      <c r="K651" s="1355"/>
      <c r="L651" s="1355"/>
      <c r="O651" s="33" t="s">
        <v>208</v>
      </c>
      <c r="P651" s="1350"/>
      <c r="Q651" s="1350"/>
      <c r="R651" s="1350"/>
      <c r="T651" s="22"/>
      <c r="U651" t="s">
        <v>318</v>
      </c>
      <c r="Z651" s="1355" t="s">
        <v>2749</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2" t="s">
        <v>2756</v>
      </c>
      <c r="I652" s="1352"/>
      <c r="J652" s="1352"/>
      <c r="K652" s="1352"/>
      <c r="L652" s="1352"/>
      <c r="M652" s="1352"/>
      <c r="N652" s="1352"/>
      <c r="O652" s="1352"/>
      <c r="P652" s="1352"/>
      <c r="Q652" s="1352"/>
      <c r="R652" s="1352"/>
      <c r="T652" s="22"/>
      <c r="U652" t="s">
        <v>18</v>
      </c>
      <c r="AA652" s="1352" t="s">
        <v>2756</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7" t="s">
        <v>656</v>
      </c>
      <c r="BQ653" s="208"/>
      <c r="BR653" s="208"/>
      <c r="BS653" s="208"/>
      <c r="BT653" s="208"/>
      <c r="BU653" s="208"/>
      <c r="BV653" s="208"/>
      <c r="BW653" s="3"/>
      <c r="BX653" s="307"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5"/>
      <c r="BQ654" s="209"/>
      <c r="BR654" s="306"/>
      <c r="BS654" s="306"/>
      <c r="BT654" s="306"/>
      <c r="BU654" s="306"/>
      <c r="BV654" s="306"/>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351" t="str">
        <f>C627</f>
        <v>Accrued Deferred Interest</v>
      </c>
      <c r="H655" s="1351"/>
      <c r="I655" s="1351"/>
      <c r="J655" s="1351"/>
      <c r="K655" s="1351"/>
      <c r="L655" s="1351"/>
      <c r="M655" s="1351"/>
      <c r="N655" s="1351"/>
      <c r="O655" s="1351"/>
      <c r="P655" s="1351"/>
      <c r="Q655" s="1351"/>
      <c r="R655" s="1351"/>
      <c r="T655" s="55" t="s">
        <v>593</v>
      </c>
      <c r="U655" t="s">
        <v>472</v>
      </c>
      <c r="Z655" s="1351" t="str">
        <f>C628</f>
        <v>Deferred Developer Fee</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5" t="s">
        <v>657</v>
      </c>
      <c r="BQ655" s="376" t="s">
        <v>326</v>
      </c>
      <c r="BR655" s="376" t="s">
        <v>327</v>
      </c>
      <c r="BS655" s="376" t="s">
        <v>164</v>
      </c>
      <c r="BT655" s="376" t="s">
        <v>165</v>
      </c>
      <c r="BU655" s="376" t="s">
        <v>166</v>
      </c>
      <c r="BV655" s="376" t="s">
        <v>30</v>
      </c>
      <c r="BW655" s="3"/>
      <c r="BX655" s="376" t="s">
        <v>326</v>
      </c>
      <c r="BY655" s="376" t="s">
        <v>327</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2"/>
      <c r="H656" s="1352"/>
      <c r="I656" s="1352"/>
      <c r="J656" s="1352"/>
      <c r="K656" s="1352"/>
      <c r="L656" s="1352"/>
      <c r="M656" s="1352"/>
      <c r="N656" s="1352"/>
      <c r="O656" s="1352"/>
      <c r="P656" s="1352"/>
      <c r="Q656" s="1352"/>
      <c r="R656" s="1352"/>
      <c r="T656" s="22"/>
      <c r="U656" t="s">
        <v>86</v>
      </c>
      <c r="Z656" s="1352" t="s">
        <v>2769</v>
      </c>
      <c r="AA656" s="1352"/>
      <c r="AB656" s="1352"/>
      <c r="AC656" s="1352"/>
      <c r="AD656" s="1352"/>
      <c r="AE656" s="1352"/>
      <c r="AF656" s="1352"/>
      <c r="AG656" s="1352"/>
      <c r="AH656" s="1352"/>
      <c r="AI656" s="1352"/>
      <c r="AJ656" s="1352"/>
      <c r="AK656" s="1352"/>
      <c r="AZ656" s="3"/>
      <c r="BA656" s="118">
        <f t="shared" ref="BA656:BA680" si="44">IF($G714=0,"N/A",VLOOKUP($T$189,TC_Rent,(MATCH($B714,bedrooms,FALSE))))</f>
        <v>2950</v>
      </c>
      <c r="BB656" s="3"/>
      <c r="BC656" s="3"/>
      <c r="BD656" s="3"/>
      <c r="BE656" s="3"/>
      <c r="BF656" s="218"/>
      <c r="BG656" s="312" t="s">
        <v>929</v>
      </c>
      <c r="BH656" s="317" t="s">
        <v>930</v>
      </c>
      <c r="BI656" s="316" t="s">
        <v>931</v>
      </c>
      <c r="BJ656" s="3"/>
      <c r="BK656" s="3"/>
      <c r="BL656" s="3"/>
      <c r="BM656" s="3"/>
      <c r="BN656" s="3"/>
      <c r="BO656" s="3"/>
      <c r="BP656" s="377" t="s">
        <v>485</v>
      </c>
      <c r="BQ656" s="491">
        <v>2500</v>
      </c>
      <c r="BR656" s="492">
        <v>2678</v>
      </c>
      <c r="BS656" s="493">
        <v>3214</v>
      </c>
      <c r="BT656" s="492">
        <v>3712</v>
      </c>
      <c r="BU656" s="493">
        <v>4142</v>
      </c>
      <c r="BV656" s="494">
        <v>4570</v>
      </c>
      <c r="BW656" s="3"/>
      <c r="BX656" s="896">
        <v>1538</v>
      </c>
      <c r="BY656" s="896">
        <v>1854</v>
      </c>
      <c r="BZ656" s="896">
        <v>2274</v>
      </c>
      <c r="CA656" s="896">
        <v>3006</v>
      </c>
      <c r="CB656" s="89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352"/>
      <c r="H657" s="1352"/>
      <c r="I657" s="1352"/>
      <c r="J657" s="1352"/>
      <c r="K657" s="1352"/>
      <c r="L657" s="1352"/>
      <c r="M657" s="1352"/>
      <c r="N657" s="1352"/>
      <c r="O657" s="1352"/>
      <c r="P657" s="1352"/>
      <c r="Q657" s="1352"/>
      <c r="R657" s="1352"/>
      <c r="T657" s="22"/>
      <c r="U657" t="s">
        <v>589</v>
      </c>
      <c r="Z657" s="1360" t="s">
        <v>2663</v>
      </c>
      <c r="AA657" s="1360"/>
      <c r="AB657" s="1360"/>
      <c r="AC657" s="1360"/>
      <c r="AD657" s="1360"/>
      <c r="AE657" s="1360"/>
      <c r="AF657" s="1360"/>
      <c r="AG657" s="1360"/>
      <c r="AH657" s="1360"/>
      <c r="AI657" s="1360"/>
      <c r="AJ657" s="1360"/>
      <c r="AK657" s="1360"/>
      <c r="AZ657" s="3"/>
      <c r="BA657" s="118">
        <f t="shared" si="44"/>
        <v>2950</v>
      </c>
      <c r="BB657" s="3"/>
      <c r="BC657" s="3"/>
      <c r="BD657" s="3"/>
      <c r="BE657" s="3"/>
      <c r="BF657" s="218"/>
      <c r="BG657" s="314">
        <f t="shared" ref="BG657:BG681" si="45">G714</f>
        <v>20</v>
      </c>
      <c r="BH657" s="318">
        <f>BG657/$BG$682</f>
        <v>0.11494252873563218</v>
      </c>
      <c r="BI657" s="319">
        <f t="shared" ref="BI657:BI681" si="46">IF(BH657=0," ",BH657*AC714)</f>
        <v>3.4482758620689655E-2</v>
      </c>
      <c r="BJ657" s="3"/>
      <c r="BK657" s="3"/>
      <c r="BL657" s="3"/>
      <c r="BM657" s="3"/>
      <c r="BN657" s="3"/>
      <c r="BO657" s="3"/>
      <c r="BP657" s="378" t="s">
        <v>486</v>
      </c>
      <c r="BQ657" s="495">
        <v>1590</v>
      </c>
      <c r="BR657" s="496">
        <v>1702</v>
      </c>
      <c r="BS657" s="495">
        <v>2044</v>
      </c>
      <c r="BT657" s="496">
        <v>2360</v>
      </c>
      <c r="BU657" s="496">
        <v>2634</v>
      </c>
      <c r="BV657" s="497">
        <v>2906</v>
      </c>
      <c r="BW657" s="3"/>
      <c r="BX657" s="896">
        <v>725</v>
      </c>
      <c r="BY657" s="896">
        <v>822</v>
      </c>
      <c r="BZ657" s="896">
        <v>1073</v>
      </c>
      <c r="CA657" s="896">
        <v>1524</v>
      </c>
      <c r="CB657" s="89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2"/>
      <c r="H658" s="1352"/>
      <c r="I658" s="1352"/>
      <c r="J658" s="1352"/>
      <c r="K658" s="1352"/>
      <c r="L658" s="1352"/>
      <c r="M658" s="1352"/>
      <c r="N658" s="1352"/>
      <c r="O658" s="1352"/>
      <c r="P658" s="1352"/>
      <c r="Q658" s="1352"/>
      <c r="R658" s="1352"/>
      <c r="T658" s="22"/>
      <c r="U658" t="s">
        <v>17</v>
      </c>
      <c r="Z658" s="1360" t="s">
        <v>2770</v>
      </c>
      <c r="AA658" s="1360"/>
      <c r="AB658" s="1360"/>
      <c r="AC658" s="1360"/>
      <c r="AD658" s="1360"/>
      <c r="AE658" s="1360"/>
      <c r="AF658" s="1360"/>
      <c r="AG658" s="1360"/>
      <c r="AH658" s="1360"/>
      <c r="AI658" s="1360"/>
      <c r="AJ658" s="1360"/>
      <c r="AK658" s="1360"/>
      <c r="AZ658" s="3"/>
      <c r="BA658" s="118">
        <f t="shared" si="44"/>
        <v>2950</v>
      </c>
      <c r="BB658" s="3"/>
      <c r="BC658" s="3"/>
      <c r="BD658" s="3"/>
      <c r="BE658" s="3"/>
      <c r="BF658" s="218"/>
      <c r="BG658" s="315">
        <f t="shared" si="45"/>
        <v>10</v>
      </c>
      <c r="BH658" s="318">
        <f t="shared" ref="BH658:BH681" si="47">BG658/$BG$682</f>
        <v>5.7471264367816091E-2</v>
      </c>
      <c r="BI658" s="319">
        <f t="shared" si="46"/>
        <v>1.7241379310344827E-2</v>
      </c>
      <c r="BJ658" s="3"/>
      <c r="BK658" s="3"/>
      <c r="BL658" s="3"/>
      <c r="BM658" s="3"/>
      <c r="BN658" s="3"/>
      <c r="BO658" s="3"/>
      <c r="BP658" s="378" t="s">
        <v>487</v>
      </c>
      <c r="BQ658" s="498">
        <v>1516</v>
      </c>
      <c r="BR658" s="499">
        <v>1624</v>
      </c>
      <c r="BS658" s="498">
        <v>1950</v>
      </c>
      <c r="BT658" s="499">
        <v>2252</v>
      </c>
      <c r="BU658" s="499">
        <v>2512</v>
      </c>
      <c r="BV658" s="500">
        <v>2772</v>
      </c>
      <c r="BW658" s="3"/>
      <c r="BX658" s="896">
        <v>920</v>
      </c>
      <c r="BY658" s="896">
        <v>926</v>
      </c>
      <c r="BZ658" s="896">
        <v>1148</v>
      </c>
      <c r="CA658" s="896">
        <v>1631</v>
      </c>
      <c r="CB658" s="89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55"/>
      <c r="H659" s="1355"/>
      <c r="I659" s="1355"/>
      <c r="J659" s="1355"/>
      <c r="K659" s="1355"/>
      <c r="L659" s="1355"/>
      <c r="O659" s="33" t="s">
        <v>208</v>
      </c>
      <c r="P659" s="1350"/>
      <c r="Q659" s="1350"/>
      <c r="R659" s="1350"/>
      <c r="T659" s="22"/>
      <c r="U659" t="s">
        <v>318</v>
      </c>
      <c r="Z659" s="1355" t="s">
        <v>2678</v>
      </c>
      <c r="AA659" s="1355"/>
      <c r="AB659" s="1355"/>
      <c r="AC659" s="1355"/>
      <c r="AD659" s="1355"/>
      <c r="AE659" s="1355"/>
      <c r="AH659" s="33" t="s">
        <v>208</v>
      </c>
      <c r="AI659" s="1350"/>
      <c r="AJ659" s="1350"/>
      <c r="AK659" s="1350"/>
      <c r="AZ659" s="3"/>
      <c r="BA659" s="118">
        <f t="shared" si="44"/>
        <v>2950</v>
      </c>
      <c r="BB659" s="3"/>
      <c r="BC659" s="3"/>
      <c r="BD659" s="3"/>
      <c r="BE659" s="3"/>
      <c r="BF659" s="218"/>
      <c r="BG659" s="315">
        <f t="shared" si="45"/>
        <v>5</v>
      </c>
      <c r="BH659" s="318">
        <f t="shared" si="47"/>
        <v>2.8735632183908046E-2</v>
      </c>
      <c r="BI659" s="319">
        <f t="shared" si="46"/>
        <v>1.1494252873563218E-2</v>
      </c>
      <c r="BJ659" s="3"/>
      <c r="BK659" s="3"/>
      <c r="BL659" s="3"/>
      <c r="BM659" s="3"/>
      <c r="BN659" s="3"/>
      <c r="BO659" s="3"/>
      <c r="BP659" s="378" t="s">
        <v>488</v>
      </c>
      <c r="BQ659" s="498">
        <v>1364</v>
      </c>
      <c r="BR659" s="499">
        <v>1462</v>
      </c>
      <c r="BS659" s="498">
        <v>1754</v>
      </c>
      <c r="BT659" s="499">
        <v>2026</v>
      </c>
      <c r="BU659" s="499">
        <v>2260</v>
      </c>
      <c r="BV659" s="500">
        <v>2492</v>
      </c>
      <c r="BW659" s="3"/>
      <c r="BX659" s="896">
        <v>826</v>
      </c>
      <c r="BY659" s="896">
        <v>895</v>
      </c>
      <c r="BZ659" s="896">
        <v>1177</v>
      </c>
      <c r="CA659" s="896">
        <v>1662</v>
      </c>
      <c r="CB659" s="89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2"/>
      <c r="I660" s="1352"/>
      <c r="J660" s="1352"/>
      <c r="K660" s="1352"/>
      <c r="L660" s="1352"/>
      <c r="M660" s="1352"/>
      <c r="N660" s="1352"/>
      <c r="O660" s="1352"/>
      <c r="P660" s="1352"/>
      <c r="Q660" s="1352"/>
      <c r="R660" s="1352"/>
      <c r="T660" s="22"/>
      <c r="U660" t="s">
        <v>18</v>
      </c>
      <c r="AA660" s="1408" t="s">
        <v>1921</v>
      </c>
      <c r="AB660" s="1352"/>
      <c r="AC660" s="1352"/>
      <c r="AD660" s="1352"/>
      <c r="AE660" s="1352"/>
      <c r="AF660" s="1352"/>
      <c r="AG660" s="1352"/>
      <c r="AH660" s="1352"/>
      <c r="AI660" s="1352"/>
      <c r="AJ660" s="1352"/>
      <c r="AK660" s="1352"/>
      <c r="AZ660" s="3"/>
      <c r="BA660" s="118">
        <f t="shared" si="44"/>
        <v>3160</v>
      </c>
      <c r="BB660" s="3"/>
      <c r="BC660" s="3"/>
      <c r="BD660" s="3"/>
      <c r="BE660" s="3"/>
      <c r="BF660" s="218"/>
      <c r="BG660" s="315">
        <f t="shared" si="45"/>
        <v>4</v>
      </c>
      <c r="BH660" s="318">
        <f t="shared" si="47"/>
        <v>2.2988505747126436E-2</v>
      </c>
      <c r="BI660" s="319">
        <f t="shared" si="46"/>
        <v>1.1494252873563218E-2</v>
      </c>
      <c r="BJ660" s="3"/>
      <c r="BK660" s="3"/>
      <c r="BL660" s="3"/>
      <c r="BM660" s="3"/>
      <c r="BN660" s="3"/>
      <c r="BO660" s="3"/>
      <c r="BP660" s="378" t="s">
        <v>489</v>
      </c>
      <c r="BQ660" s="498">
        <v>1574</v>
      </c>
      <c r="BR660" s="499">
        <v>1686</v>
      </c>
      <c r="BS660" s="498">
        <v>2024</v>
      </c>
      <c r="BT660" s="499">
        <v>2340</v>
      </c>
      <c r="BU660" s="499">
        <v>2610</v>
      </c>
      <c r="BV660" s="500">
        <v>2880</v>
      </c>
      <c r="BW660" s="3"/>
      <c r="BX660" s="896">
        <v>739</v>
      </c>
      <c r="BY660" s="896">
        <v>857</v>
      </c>
      <c r="BZ660" s="896">
        <v>1094</v>
      </c>
      <c r="CA660" s="896">
        <v>1554</v>
      </c>
      <c r="CB660" s="89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3" t="s">
        <v>554</v>
      </c>
      <c r="O661" s="1353"/>
      <c r="T661" s="22"/>
      <c r="U661" t="s">
        <v>20</v>
      </c>
      <c r="AG661" s="1353" t="s">
        <v>554</v>
      </c>
      <c r="AH661" s="1353"/>
      <c r="AZ661" s="3"/>
      <c r="BA661" s="118">
        <f t="shared" si="44"/>
        <v>3160</v>
      </c>
      <c r="BB661" s="3"/>
      <c r="BC661" s="3"/>
      <c r="BD661" s="3"/>
      <c r="BE661" s="3"/>
      <c r="BF661" s="218"/>
      <c r="BG661" s="315">
        <f t="shared" si="45"/>
        <v>20</v>
      </c>
      <c r="BH661" s="318">
        <f t="shared" si="47"/>
        <v>0.11494252873563218</v>
      </c>
      <c r="BI661" s="319">
        <f t="shared" si="46"/>
        <v>3.4482758620689655E-2</v>
      </c>
      <c r="BJ661" s="3"/>
      <c r="BK661" s="3"/>
      <c r="BL661" s="3"/>
      <c r="BM661" s="3"/>
      <c r="BN661" s="3"/>
      <c r="BO661" s="3"/>
      <c r="BP661" s="378" t="s">
        <v>490</v>
      </c>
      <c r="BQ661" s="498">
        <v>1364</v>
      </c>
      <c r="BR661" s="499">
        <v>1462</v>
      </c>
      <c r="BS661" s="498">
        <v>1754</v>
      </c>
      <c r="BT661" s="499">
        <v>2026</v>
      </c>
      <c r="BU661" s="499">
        <v>2260</v>
      </c>
      <c r="BV661" s="500">
        <v>2492</v>
      </c>
      <c r="BW661" s="3"/>
      <c r="BX661" s="896">
        <v>713</v>
      </c>
      <c r="BY661" s="896">
        <v>717</v>
      </c>
      <c r="BZ661" s="896">
        <v>944</v>
      </c>
      <c r="CA661" s="896">
        <v>1341</v>
      </c>
      <c r="CB661" s="89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4"/>
        <v>3160</v>
      </c>
      <c r="BB662" s="3"/>
      <c r="BC662" s="3"/>
      <c r="BD662" s="3"/>
      <c r="BE662" s="3"/>
      <c r="BF662" s="218"/>
      <c r="BG662" s="315">
        <f t="shared" si="45"/>
        <v>7</v>
      </c>
      <c r="BH662" s="318">
        <f t="shared" si="47"/>
        <v>4.0229885057471264E-2</v>
      </c>
      <c r="BI662" s="319">
        <f t="shared" si="46"/>
        <v>1.2068965517241379E-2</v>
      </c>
      <c r="BJ662" s="3"/>
      <c r="BK662" s="3"/>
      <c r="BL662" s="3"/>
      <c r="BM662" s="3"/>
      <c r="BN662" s="3"/>
      <c r="BO662" s="3"/>
      <c r="BP662" s="378" t="s">
        <v>491</v>
      </c>
      <c r="BQ662" s="498">
        <v>2500</v>
      </c>
      <c r="BR662" s="499">
        <v>2678</v>
      </c>
      <c r="BS662" s="498">
        <v>3214</v>
      </c>
      <c r="BT662" s="499">
        <v>3712</v>
      </c>
      <c r="BU662" s="499">
        <v>4142</v>
      </c>
      <c r="BV662" s="500">
        <v>4570</v>
      </c>
      <c r="BW662" s="3"/>
      <c r="BX662" s="896">
        <v>1538</v>
      </c>
      <c r="BY662" s="896">
        <v>1854</v>
      </c>
      <c r="BZ662" s="896">
        <v>2274</v>
      </c>
      <c r="CA662" s="896">
        <v>3006</v>
      </c>
      <c r="CB662" s="89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351" t="str">
        <f>C629</f>
        <v>City of Sunnyvale - Land Value</v>
      </c>
      <c r="H663" s="1351"/>
      <c r="I663" s="1351"/>
      <c r="J663" s="1351"/>
      <c r="K663" s="1351"/>
      <c r="L663" s="1351"/>
      <c r="M663" s="1351"/>
      <c r="N663" s="1351"/>
      <c r="O663" s="1351"/>
      <c r="P663" s="1351"/>
      <c r="Q663" s="1351"/>
      <c r="R663" s="1351"/>
      <c r="T663" s="55" t="s">
        <v>465</v>
      </c>
      <c r="U663" t="s">
        <v>472</v>
      </c>
      <c r="Z663" s="1351" t="str">
        <f>C630</f>
        <v>GP Equity</v>
      </c>
      <c r="AA663" s="1351"/>
      <c r="AB663" s="1351"/>
      <c r="AC663" s="1351"/>
      <c r="AD663" s="1351"/>
      <c r="AE663" s="1351"/>
      <c r="AF663" s="1351"/>
      <c r="AG663" s="1351"/>
      <c r="AH663" s="1351"/>
      <c r="AI663" s="1351"/>
      <c r="AJ663" s="1351"/>
      <c r="AK663" s="1351"/>
      <c r="AZ663" s="3"/>
      <c r="BA663" s="118">
        <f t="shared" si="44"/>
        <v>3160</v>
      </c>
      <c r="BB663" s="3"/>
      <c r="BC663" s="3"/>
      <c r="BD663" s="3"/>
      <c r="BE663" s="3"/>
      <c r="BF663" s="218"/>
      <c r="BG663" s="315">
        <f t="shared" si="45"/>
        <v>5</v>
      </c>
      <c r="BH663" s="318">
        <f t="shared" si="47"/>
        <v>2.8735632183908046E-2</v>
      </c>
      <c r="BI663" s="319">
        <f t="shared" si="46"/>
        <v>1.1494252873563218E-2</v>
      </c>
      <c r="BJ663" s="3"/>
      <c r="BK663" s="3"/>
      <c r="BL663" s="3"/>
      <c r="BM663" s="3"/>
      <c r="BN663" s="3"/>
      <c r="BO663" s="3"/>
      <c r="BP663" s="378" t="s">
        <v>492</v>
      </c>
      <c r="BQ663" s="498">
        <v>1364</v>
      </c>
      <c r="BR663" s="499">
        <v>1462</v>
      </c>
      <c r="BS663" s="498">
        <v>1754</v>
      </c>
      <c r="BT663" s="499">
        <v>2026</v>
      </c>
      <c r="BU663" s="499">
        <v>2260</v>
      </c>
      <c r="BV663" s="500">
        <v>2492</v>
      </c>
      <c r="BW663" s="3"/>
      <c r="BX663" s="896">
        <v>651</v>
      </c>
      <c r="BY663" s="896">
        <v>831</v>
      </c>
      <c r="BZ663" s="896">
        <v>980</v>
      </c>
      <c r="CA663" s="896">
        <v>1355</v>
      </c>
      <c r="CB663" s="89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2" t="s">
        <v>2744</v>
      </c>
      <c r="H664" s="1352"/>
      <c r="I664" s="1352"/>
      <c r="J664" s="1352"/>
      <c r="K664" s="1352"/>
      <c r="L664" s="1352"/>
      <c r="M664" s="1352"/>
      <c r="N664" s="1352"/>
      <c r="O664" s="1352"/>
      <c r="P664" s="1352"/>
      <c r="Q664" s="1352"/>
      <c r="R664" s="1352"/>
      <c r="T664" s="22"/>
      <c r="U664" t="s">
        <v>86</v>
      </c>
      <c r="Z664" s="1352" t="s">
        <v>2769</v>
      </c>
      <c r="AA664" s="1352"/>
      <c r="AB664" s="1352"/>
      <c r="AC664" s="1352"/>
      <c r="AD664" s="1352"/>
      <c r="AE664" s="1352"/>
      <c r="AF664" s="1352"/>
      <c r="AG664" s="1352"/>
      <c r="AH664" s="1352"/>
      <c r="AI664" s="1352"/>
      <c r="AJ664" s="1352"/>
      <c r="AK664" s="1352"/>
      <c r="AZ664" s="3"/>
      <c r="BA664" s="118">
        <f t="shared" si="44"/>
        <v>3160</v>
      </c>
      <c r="BB664" s="3"/>
      <c r="BC664" s="3"/>
      <c r="BD664" s="3"/>
      <c r="BE664" s="3"/>
      <c r="BF664" s="218"/>
      <c r="BG664" s="315">
        <f t="shared" si="45"/>
        <v>6</v>
      </c>
      <c r="BH664" s="318">
        <f t="shared" si="47"/>
        <v>3.4482758620689655E-2</v>
      </c>
      <c r="BI664" s="319">
        <f t="shared" si="46"/>
        <v>1.7241379310344827E-2</v>
      </c>
      <c r="BJ664" s="3"/>
      <c r="BK664" s="3"/>
      <c r="BL664" s="3"/>
      <c r="BM664" s="3"/>
      <c r="BN664" s="3"/>
      <c r="BO664" s="3"/>
      <c r="BP664" s="378" t="s">
        <v>493</v>
      </c>
      <c r="BQ664" s="498">
        <v>1774</v>
      </c>
      <c r="BR664" s="499">
        <v>1900</v>
      </c>
      <c r="BS664" s="498">
        <v>2280</v>
      </c>
      <c r="BT664" s="499">
        <v>2634</v>
      </c>
      <c r="BU664" s="499">
        <v>2940</v>
      </c>
      <c r="BV664" s="500">
        <v>3242</v>
      </c>
      <c r="BW664" s="3"/>
      <c r="BX664" s="896">
        <v>1108</v>
      </c>
      <c r="BY664" s="896">
        <v>1228</v>
      </c>
      <c r="BZ664" s="896">
        <v>1543</v>
      </c>
      <c r="CA664" s="896">
        <v>2192</v>
      </c>
      <c r="CB664" s="89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352" t="s">
        <v>2666</v>
      </c>
      <c r="H665" s="1352"/>
      <c r="I665" s="1352"/>
      <c r="J665" s="1352"/>
      <c r="K665" s="1352"/>
      <c r="L665" s="1352"/>
      <c r="M665" s="1352"/>
      <c r="N665" s="1352"/>
      <c r="O665" s="1352"/>
      <c r="P665" s="1352"/>
      <c r="Q665" s="1352"/>
      <c r="R665" s="1352"/>
      <c r="T665" s="22"/>
      <c r="U665" t="s">
        <v>589</v>
      </c>
      <c r="Z665" s="1360" t="s">
        <v>2663</v>
      </c>
      <c r="AA665" s="1360"/>
      <c r="AB665" s="1360"/>
      <c r="AC665" s="1360"/>
      <c r="AD665" s="1360"/>
      <c r="AE665" s="1360"/>
      <c r="AF665" s="1360"/>
      <c r="AG665" s="1360"/>
      <c r="AH665" s="1360"/>
      <c r="AI665" s="1360"/>
      <c r="AJ665" s="1360"/>
      <c r="AK665" s="1360"/>
      <c r="AZ665" s="3"/>
      <c r="BA665" s="118">
        <f t="shared" si="44"/>
        <v>3792</v>
      </c>
      <c r="BB665" s="3"/>
      <c r="BC665" s="3"/>
      <c r="BD665" s="3"/>
      <c r="BE665" s="3"/>
      <c r="BF665" s="218"/>
      <c r="BG665" s="315">
        <f t="shared" si="45"/>
        <v>9</v>
      </c>
      <c r="BH665" s="318">
        <f t="shared" si="47"/>
        <v>5.1724137931034482E-2</v>
      </c>
      <c r="BI665" s="319">
        <f t="shared" si="46"/>
        <v>3.1034482758620689E-2</v>
      </c>
      <c r="BJ665" s="3"/>
      <c r="BK665" s="3"/>
      <c r="BL665" s="3"/>
      <c r="BM665" s="3"/>
      <c r="BN665" s="3"/>
      <c r="BO665" s="3"/>
      <c r="BP665" s="378" t="s">
        <v>494</v>
      </c>
      <c r="BQ665" s="498">
        <v>1364</v>
      </c>
      <c r="BR665" s="499">
        <v>1462</v>
      </c>
      <c r="BS665" s="498">
        <v>1754</v>
      </c>
      <c r="BT665" s="499">
        <v>2026</v>
      </c>
      <c r="BU665" s="499">
        <v>2260</v>
      </c>
      <c r="BV665" s="500">
        <v>2492</v>
      </c>
      <c r="BW665" s="3"/>
      <c r="BX665" s="896">
        <v>899</v>
      </c>
      <c r="BY665" s="896">
        <v>904</v>
      </c>
      <c r="BZ665" s="896">
        <v>1137</v>
      </c>
      <c r="CA665" s="896">
        <v>1607</v>
      </c>
      <c r="CB665" s="89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2" t="s">
        <v>2672</v>
      </c>
      <c r="H666" s="1352"/>
      <c r="I666" s="1352"/>
      <c r="J666" s="1352"/>
      <c r="K666" s="1352"/>
      <c r="L666" s="1352"/>
      <c r="M666" s="1352"/>
      <c r="N666" s="1352"/>
      <c r="O666" s="1352"/>
      <c r="P666" s="1352"/>
      <c r="Q666" s="1352"/>
      <c r="R666" s="1352"/>
      <c r="T666" s="22"/>
      <c r="U666" t="s">
        <v>17</v>
      </c>
      <c r="Z666" s="1360" t="s">
        <v>2770</v>
      </c>
      <c r="AA666" s="1360"/>
      <c r="AB666" s="1360"/>
      <c r="AC666" s="1360"/>
      <c r="AD666" s="1360"/>
      <c r="AE666" s="1360"/>
      <c r="AF666" s="1360"/>
      <c r="AG666" s="1360"/>
      <c r="AH666" s="1360"/>
      <c r="AI666" s="1360"/>
      <c r="AJ666" s="1360"/>
      <c r="AK666" s="1360"/>
      <c r="AZ666" s="3"/>
      <c r="BA666" s="118">
        <f t="shared" si="44"/>
        <v>3792</v>
      </c>
      <c r="BB666" s="3"/>
      <c r="BC666" s="3"/>
      <c r="BD666" s="3"/>
      <c r="BE666" s="3"/>
      <c r="BF666" s="218"/>
      <c r="BG666" s="315">
        <f t="shared" si="45"/>
        <v>3</v>
      </c>
      <c r="BH666" s="318">
        <f t="shared" si="47"/>
        <v>1.7241379310344827E-2</v>
      </c>
      <c r="BI666" s="319">
        <f t="shared" si="46"/>
        <v>5.1724137931034482E-3</v>
      </c>
      <c r="BJ666" s="3"/>
      <c r="BK666" s="3"/>
      <c r="BL666" s="3"/>
      <c r="BM666" s="3"/>
      <c r="BN666" s="3"/>
      <c r="BO666" s="3"/>
      <c r="BP666" s="378" t="s">
        <v>495</v>
      </c>
      <c r="BQ666" s="498">
        <v>1364</v>
      </c>
      <c r="BR666" s="499">
        <v>1462</v>
      </c>
      <c r="BS666" s="498">
        <v>1754</v>
      </c>
      <c r="BT666" s="499">
        <v>2026</v>
      </c>
      <c r="BU666" s="499">
        <v>2260</v>
      </c>
      <c r="BV666" s="500">
        <v>2492</v>
      </c>
      <c r="BW666" s="3"/>
      <c r="BX666" s="896">
        <v>627</v>
      </c>
      <c r="BY666" s="896">
        <v>717</v>
      </c>
      <c r="BZ666" s="896">
        <v>944</v>
      </c>
      <c r="CA666" s="896">
        <v>1167</v>
      </c>
      <c r="CB666" s="89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55" t="s">
        <v>2669</v>
      </c>
      <c r="H667" s="1355"/>
      <c r="I667" s="1355"/>
      <c r="J667" s="1355"/>
      <c r="K667" s="1355"/>
      <c r="L667" s="1355"/>
      <c r="O667" s="33" t="s">
        <v>208</v>
      </c>
      <c r="P667" s="1350"/>
      <c r="Q667" s="1350"/>
      <c r="R667" s="1350"/>
      <c r="T667" s="22"/>
      <c r="U667" t="s">
        <v>318</v>
      </c>
      <c r="Z667" s="1355" t="s">
        <v>2678</v>
      </c>
      <c r="AA667" s="1355"/>
      <c r="AB667" s="1355"/>
      <c r="AC667" s="1355"/>
      <c r="AD667" s="1355"/>
      <c r="AE667" s="1355"/>
      <c r="AH667" s="33" t="s">
        <v>208</v>
      </c>
      <c r="AI667" s="1350"/>
      <c r="AJ667" s="1350"/>
      <c r="AK667" s="1350"/>
      <c r="AZ667" s="3"/>
      <c r="BA667" s="118">
        <f t="shared" si="44"/>
        <v>3792</v>
      </c>
      <c r="BB667" s="3"/>
      <c r="BC667" s="3"/>
      <c r="BD667" s="3"/>
      <c r="BE667" s="3"/>
      <c r="BF667" s="218"/>
      <c r="BG667" s="315">
        <f t="shared" si="45"/>
        <v>12</v>
      </c>
      <c r="BH667" s="318">
        <f t="shared" si="47"/>
        <v>6.8965517241379309E-2</v>
      </c>
      <c r="BI667" s="319">
        <f t="shared" si="46"/>
        <v>2.0689655172413793E-2</v>
      </c>
      <c r="BJ667" s="3"/>
      <c r="BK667" s="3"/>
      <c r="BL667" s="3"/>
      <c r="BM667" s="3"/>
      <c r="BN667" s="3"/>
      <c r="BO667" s="3"/>
      <c r="BP667" s="378" t="s">
        <v>496</v>
      </c>
      <c r="BQ667" s="498">
        <v>1364</v>
      </c>
      <c r="BR667" s="499">
        <v>1462</v>
      </c>
      <c r="BS667" s="498">
        <v>1754</v>
      </c>
      <c r="BT667" s="499">
        <v>2026</v>
      </c>
      <c r="BU667" s="499">
        <v>2260</v>
      </c>
      <c r="BV667" s="500">
        <v>2492</v>
      </c>
      <c r="BW667" s="3"/>
      <c r="BX667" s="896">
        <v>741</v>
      </c>
      <c r="BY667" s="896">
        <v>862</v>
      </c>
      <c r="BZ667" s="896">
        <v>1112</v>
      </c>
      <c r="CA667" s="896">
        <v>1580</v>
      </c>
      <c r="CB667" s="89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408" t="s">
        <v>2745</v>
      </c>
      <c r="I668" s="1352"/>
      <c r="J668" s="1352"/>
      <c r="K668" s="1352"/>
      <c r="L668" s="1352"/>
      <c r="M668" s="1352"/>
      <c r="N668" s="1352"/>
      <c r="O668" s="1352"/>
      <c r="P668" s="1352"/>
      <c r="Q668" s="1352"/>
      <c r="R668" s="1352"/>
      <c r="T668" s="22"/>
      <c r="U668" t="s">
        <v>18</v>
      </c>
      <c r="AA668" s="1408" t="s">
        <v>2760</v>
      </c>
      <c r="AB668" s="1352"/>
      <c r="AC668" s="1352"/>
      <c r="AD668" s="1352"/>
      <c r="AE668" s="1352"/>
      <c r="AF668" s="1352"/>
      <c r="AG668" s="1352"/>
      <c r="AH668" s="1352"/>
      <c r="AI668" s="1352"/>
      <c r="AJ668" s="1352"/>
      <c r="AK668" s="1352"/>
      <c r="AZ668" s="3"/>
      <c r="BA668" s="118">
        <f t="shared" si="44"/>
        <v>3792</v>
      </c>
      <c r="BB668" s="3"/>
      <c r="BC668" s="3"/>
      <c r="BD668" s="3"/>
      <c r="BE668" s="3"/>
      <c r="BF668" s="218"/>
      <c r="BG668" s="315">
        <f t="shared" si="45"/>
        <v>3</v>
      </c>
      <c r="BH668" s="318">
        <f t="shared" si="47"/>
        <v>1.7241379310344827E-2</v>
      </c>
      <c r="BI668" s="319">
        <f t="shared" si="46"/>
        <v>6.8965517241379309E-3</v>
      </c>
      <c r="BJ668" s="3"/>
      <c r="BK668" s="3"/>
      <c r="BL668" s="3"/>
      <c r="BM668" s="3"/>
      <c r="BN668" s="3"/>
      <c r="BO668" s="3"/>
      <c r="BP668" s="378" t="s">
        <v>497</v>
      </c>
      <c r="BQ668" s="498">
        <v>1364</v>
      </c>
      <c r="BR668" s="499">
        <v>1462</v>
      </c>
      <c r="BS668" s="498">
        <v>1754</v>
      </c>
      <c r="BT668" s="499">
        <v>2026</v>
      </c>
      <c r="BU668" s="499">
        <v>2260</v>
      </c>
      <c r="BV668" s="500">
        <v>2492</v>
      </c>
      <c r="BW668" s="3"/>
      <c r="BX668" s="896">
        <v>716</v>
      </c>
      <c r="BY668" s="896">
        <v>815</v>
      </c>
      <c r="BZ668" s="896">
        <v>1065</v>
      </c>
      <c r="CA668" s="896">
        <v>1486</v>
      </c>
      <c r="CB668" s="89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3" t="s">
        <v>554</v>
      </c>
      <c r="O669" s="1353"/>
      <c r="T669" s="22"/>
      <c r="U669" t="s">
        <v>20</v>
      </c>
      <c r="AG669" s="1353" t="s">
        <v>554</v>
      </c>
      <c r="AH669" s="1353"/>
      <c r="AZ669" s="3"/>
      <c r="BA669" s="118">
        <f t="shared" si="44"/>
        <v>3792</v>
      </c>
      <c r="BB669" s="3"/>
      <c r="BC669" s="3"/>
      <c r="BD669" s="3"/>
      <c r="BE669" s="3"/>
      <c r="BF669" s="218"/>
      <c r="BG669" s="315">
        <f t="shared" si="45"/>
        <v>3</v>
      </c>
      <c r="BH669" s="318">
        <f t="shared" si="47"/>
        <v>1.7241379310344827E-2</v>
      </c>
      <c r="BI669" s="319">
        <f t="shared" si="46"/>
        <v>8.6206896551724137E-3</v>
      </c>
      <c r="BJ669" s="3"/>
      <c r="BK669" s="3"/>
      <c r="BL669" s="3"/>
      <c r="BM669" s="3"/>
      <c r="BN669" s="3"/>
      <c r="BO669" s="3"/>
      <c r="BP669" s="378" t="s">
        <v>498</v>
      </c>
      <c r="BQ669" s="498">
        <v>1446</v>
      </c>
      <c r="BR669" s="499">
        <v>1550</v>
      </c>
      <c r="BS669" s="498">
        <v>1862</v>
      </c>
      <c r="BT669" s="499">
        <v>2150</v>
      </c>
      <c r="BU669" s="499">
        <v>2400</v>
      </c>
      <c r="BV669" s="500">
        <v>2646</v>
      </c>
      <c r="BW669" s="3"/>
      <c r="BX669" s="896">
        <v>754</v>
      </c>
      <c r="BY669" s="896">
        <v>874</v>
      </c>
      <c r="BZ669" s="896">
        <v>1077</v>
      </c>
      <c r="CA669" s="896">
        <v>1530</v>
      </c>
      <c r="CB669" s="89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f t="shared" si="44"/>
        <v>3792</v>
      </c>
      <c r="BB670" s="3"/>
      <c r="BC670" s="3"/>
      <c r="BD670" s="3"/>
      <c r="BE670" s="3"/>
      <c r="BF670" s="218"/>
      <c r="BG670" s="315">
        <f t="shared" si="45"/>
        <v>6</v>
      </c>
      <c r="BH670" s="318">
        <f t="shared" si="47"/>
        <v>3.4482758620689655E-2</v>
      </c>
      <c r="BI670" s="319">
        <f t="shared" si="46"/>
        <v>1.7241379310344827E-2</v>
      </c>
      <c r="BJ670" s="3"/>
      <c r="BK670" s="3"/>
      <c r="BL670" s="3"/>
      <c r="BM670" s="3"/>
      <c r="BN670" s="3"/>
      <c r="BO670" s="3"/>
      <c r="BP670" s="378" t="s">
        <v>499</v>
      </c>
      <c r="BQ670" s="498">
        <v>1364</v>
      </c>
      <c r="BR670" s="499">
        <v>1462</v>
      </c>
      <c r="BS670" s="498">
        <v>1754</v>
      </c>
      <c r="BT670" s="499">
        <v>2026</v>
      </c>
      <c r="BU670" s="499">
        <v>2260</v>
      </c>
      <c r="BV670" s="500">
        <v>2492</v>
      </c>
      <c r="BW670" s="3"/>
      <c r="BX670" s="896">
        <v>763</v>
      </c>
      <c r="BY670" s="896">
        <v>772</v>
      </c>
      <c r="BZ670" s="896">
        <v>1013</v>
      </c>
      <c r="CA670" s="896">
        <v>1439</v>
      </c>
      <c r="CB670" s="89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f t="shared" si="44"/>
        <v>3792</v>
      </c>
      <c r="BB671" s="3"/>
      <c r="BC671" s="3"/>
      <c r="BD671" s="3"/>
      <c r="BE671" s="3"/>
      <c r="BF671" s="218"/>
      <c r="BG671" s="315">
        <f t="shared" si="45"/>
        <v>12</v>
      </c>
      <c r="BH671" s="318">
        <f t="shared" si="47"/>
        <v>6.8965517241379309E-2</v>
      </c>
      <c r="BI671" s="319">
        <f t="shared" si="46"/>
        <v>4.1379310344827586E-2</v>
      </c>
      <c r="BJ671" s="3"/>
      <c r="BK671" s="3"/>
      <c r="BL671" s="3"/>
      <c r="BM671" s="3"/>
      <c r="BN671" s="3"/>
      <c r="BO671" s="3"/>
      <c r="BP671" s="378" t="s">
        <v>500</v>
      </c>
      <c r="BQ671" s="498">
        <v>1364</v>
      </c>
      <c r="BR671" s="499">
        <v>1462</v>
      </c>
      <c r="BS671" s="498">
        <v>1754</v>
      </c>
      <c r="BT671" s="499">
        <v>2026</v>
      </c>
      <c r="BU671" s="499">
        <v>2260</v>
      </c>
      <c r="BV671" s="500">
        <v>2492</v>
      </c>
      <c r="BW671" s="3"/>
      <c r="BX671" s="896">
        <v>924</v>
      </c>
      <c r="BY671" s="896">
        <v>930</v>
      </c>
      <c r="BZ671" s="896">
        <v>1162</v>
      </c>
      <c r="CA671" s="896">
        <v>1651</v>
      </c>
      <c r="CB671" s="89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f t="shared" si="44"/>
        <v>4380</v>
      </c>
      <c r="BB672" s="3"/>
      <c r="BC672" s="3"/>
      <c r="BD672" s="3"/>
      <c r="BE672" s="3"/>
      <c r="BF672" s="218"/>
      <c r="BG672" s="315">
        <f t="shared" si="45"/>
        <v>5</v>
      </c>
      <c r="BH672" s="318">
        <f t="shared" si="47"/>
        <v>2.8735632183908046E-2</v>
      </c>
      <c r="BI672" s="319">
        <f t="shared" si="46"/>
        <v>2.0114942528735632E-2</v>
      </c>
      <c r="BJ672" s="3"/>
      <c r="BK672" s="3"/>
      <c r="BL672" s="3"/>
      <c r="BM672" s="3"/>
      <c r="BN672" s="3"/>
      <c r="BO672" s="3"/>
      <c r="BP672" s="378" t="s">
        <v>501</v>
      </c>
      <c r="BQ672" s="498">
        <v>1364</v>
      </c>
      <c r="BR672" s="499">
        <v>1462</v>
      </c>
      <c r="BS672" s="498">
        <v>1754</v>
      </c>
      <c r="BT672" s="499">
        <v>2026</v>
      </c>
      <c r="BU672" s="499">
        <v>2260</v>
      </c>
      <c r="BV672" s="500">
        <v>2492</v>
      </c>
      <c r="BW672" s="3"/>
      <c r="BX672" s="896">
        <v>678</v>
      </c>
      <c r="BY672" s="896">
        <v>776</v>
      </c>
      <c r="BZ672" s="896">
        <v>1021</v>
      </c>
      <c r="CA672" s="896">
        <v>1450</v>
      </c>
      <c r="CB672" s="89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8">
        <f t="shared" si="44"/>
        <v>4380</v>
      </c>
      <c r="BB673" s="3"/>
      <c r="BC673" s="3"/>
      <c r="BD673" s="3"/>
      <c r="BE673" s="3"/>
      <c r="BF673" s="218"/>
      <c r="BG673" s="315">
        <f t="shared" si="45"/>
        <v>2</v>
      </c>
      <c r="BH673" s="318">
        <f t="shared" si="47"/>
        <v>1.1494252873563218E-2</v>
      </c>
      <c r="BI673" s="319">
        <f t="shared" si="46"/>
        <v>3.4482758620689655E-3</v>
      </c>
      <c r="BJ673" s="3"/>
      <c r="BK673" s="3"/>
      <c r="BL673" s="3"/>
      <c r="BM673" s="3"/>
      <c r="BN673" s="3"/>
      <c r="BO673" s="3"/>
      <c r="BP673" s="378" t="s">
        <v>502</v>
      </c>
      <c r="BQ673" s="498">
        <v>1406</v>
      </c>
      <c r="BR673" s="499">
        <v>1506</v>
      </c>
      <c r="BS673" s="498">
        <v>1806</v>
      </c>
      <c r="BT673" s="499">
        <v>2088</v>
      </c>
      <c r="BU673" s="499">
        <v>2330</v>
      </c>
      <c r="BV673" s="500">
        <v>2570</v>
      </c>
      <c r="BW673" s="3"/>
      <c r="BX673" s="896">
        <v>623</v>
      </c>
      <c r="BY673" s="896">
        <v>712</v>
      </c>
      <c r="BZ673" s="896">
        <v>937</v>
      </c>
      <c r="CA673" s="896">
        <v>1331</v>
      </c>
      <c r="CB673" s="89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f t="shared" si="44"/>
        <v>4380</v>
      </c>
      <c r="BB674" s="3"/>
      <c r="BC674" s="3"/>
      <c r="BD674" s="3"/>
      <c r="BE674" s="3"/>
      <c r="BF674" s="218"/>
      <c r="BG674" s="315">
        <f t="shared" si="45"/>
        <v>13</v>
      </c>
      <c r="BH674" s="318">
        <f t="shared" si="47"/>
        <v>7.4712643678160925E-2</v>
      </c>
      <c r="BI674" s="319">
        <f t="shared" si="46"/>
        <v>2.2413793103448276E-2</v>
      </c>
      <c r="BJ674" s="3"/>
      <c r="BK674" s="3"/>
      <c r="BL674" s="3"/>
      <c r="BM674" s="3"/>
      <c r="BN674" s="3"/>
      <c r="BO674" s="3"/>
      <c r="BP674" s="378" t="s">
        <v>503</v>
      </c>
      <c r="BQ674" s="498">
        <v>2084</v>
      </c>
      <c r="BR674" s="499">
        <v>2232</v>
      </c>
      <c r="BS674" s="498">
        <v>2680</v>
      </c>
      <c r="BT674" s="499">
        <v>3096</v>
      </c>
      <c r="BU674" s="499">
        <v>3454</v>
      </c>
      <c r="BV674" s="500">
        <v>3812</v>
      </c>
      <c r="BW674" s="3"/>
      <c r="BX674" s="896">
        <v>1384</v>
      </c>
      <c r="BY674" s="896">
        <v>1604</v>
      </c>
      <c r="BZ674" s="896">
        <v>2044</v>
      </c>
      <c r="CA674" s="896">
        <v>2693</v>
      </c>
      <c r="CB674" s="89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f t="shared" si="44"/>
        <v>4380</v>
      </c>
      <c r="BB675" s="3"/>
      <c r="BC675" s="3"/>
      <c r="BD675" s="3"/>
      <c r="BE675" s="3"/>
      <c r="BF675" s="218"/>
      <c r="BG675" s="315">
        <f t="shared" si="45"/>
        <v>3</v>
      </c>
      <c r="BH675" s="318">
        <f t="shared" si="47"/>
        <v>1.7241379310344827E-2</v>
      </c>
      <c r="BI675" s="319">
        <f t="shared" si="46"/>
        <v>6.8965517241379309E-3</v>
      </c>
      <c r="BJ675" s="3"/>
      <c r="BK675" s="3"/>
      <c r="BL675" s="3"/>
      <c r="BM675" s="3"/>
      <c r="BN675" s="3"/>
      <c r="BO675" s="3"/>
      <c r="BP675" s="378" t="s">
        <v>504</v>
      </c>
      <c r="BQ675" s="498">
        <v>1364</v>
      </c>
      <c r="BR675" s="499">
        <v>1462</v>
      </c>
      <c r="BS675" s="498">
        <v>1754</v>
      </c>
      <c r="BT675" s="499">
        <v>2026</v>
      </c>
      <c r="BU675" s="499">
        <v>2260</v>
      </c>
      <c r="BV675" s="500">
        <v>2492</v>
      </c>
      <c r="BW675" s="3"/>
      <c r="BX675" s="896">
        <v>913</v>
      </c>
      <c r="BY675" s="896">
        <v>919</v>
      </c>
      <c r="BZ675" s="896">
        <v>1198</v>
      </c>
      <c r="CA675" s="896">
        <v>1702</v>
      </c>
      <c r="CB675" s="89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f t="shared" si="44"/>
        <v>4380</v>
      </c>
      <c r="BB676" s="3"/>
      <c r="BC676" s="3"/>
      <c r="BD676" s="3"/>
      <c r="BE676" s="3"/>
      <c r="BF676" s="218"/>
      <c r="BG676" s="315">
        <f t="shared" si="45"/>
        <v>2</v>
      </c>
      <c r="BH676" s="318">
        <f t="shared" si="47"/>
        <v>1.1494252873563218E-2</v>
      </c>
      <c r="BI676" s="319">
        <f t="shared" si="46"/>
        <v>5.7471264367816091E-3</v>
      </c>
      <c r="BJ676" s="3"/>
      <c r="BK676" s="3"/>
      <c r="BL676" s="3"/>
      <c r="BM676" s="3"/>
      <c r="BN676" s="3"/>
      <c r="BO676" s="3"/>
      <c r="BP676" s="378" t="s">
        <v>505</v>
      </c>
      <c r="BQ676" s="498">
        <v>3262</v>
      </c>
      <c r="BR676" s="499">
        <v>3496</v>
      </c>
      <c r="BS676" s="498">
        <v>4194</v>
      </c>
      <c r="BT676" s="499">
        <v>4846</v>
      </c>
      <c r="BU676" s="499">
        <v>5406</v>
      </c>
      <c r="BV676" s="500">
        <v>5966</v>
      </c>
      <c r="BW676" s="3"/>
      <c r="BX676" s="896">
        <v>2115</v>
      </c>
      <c r="BY676" s="896">
        <v>2631</v>
      </c>
      <c r="BZ676" s="896">
        <v>3198</v>
      </c>
      <c r="CA676" s="896">
        <v>4111</v>
      </c>
      <c r="CB676" s="89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3" t="s">
        <v>678</v>
      </c>
      <c r="O677" s="1353"/>
      <c r="T677" s="22"/>
      <c r="U677" t="s">
        <v>20</v>
      </c>
      <c r="AG677" s="1353" t="s">
        <v>678</v>
      </c>
      <c r="AH677" s="1353"/>
      <c r="AZ677" s="3"/>
      <c r="BA677" s="118">
        <f t="shared" si="44"/>
        <v>4380</v>
      </c>
      <c r="BB677" s="3"/>
      <c r="BF677" s="218"/>
      <c r="BG677" s="315">
        <f t="shared" si="45"/>
        <v>7</v>
      </c>
      <c r="BH677" s="318">
        <f t="shared" si="47"/>
        <v>4.0229885057471264E-2</v>
      </c>
      <c r="BI677" s="319">
        <f t="shared" si="46"/>
        <v>2.0114942528735632E-2</v>
      </c>
      <c r="BL677" s="3"/>
      <c r="BM677" s="3"/>
      <c r="BN677" s="3"/>
      <c r="BO677" s="3"/>
      <c r="BP677" s="378" t="s">
        <v>53</v>
      </c>
      <c r="BQ677" s="498">
        <v>1364</v>
      </c>
      <c r="BR677" s="499">
        <v>1462</v>
      </c>
      <c r="BS677" s="498">
        <v>1754</v>
      </c>
      <c r="BT677" s="499">
        <v>2026</v>
      </c>
      <c r="BU677" s="499">
        <v>2260</v>
      </c>
      <c r="BV677" s="500">
        <v>2492</v>
      </c>
      <c r="BW677" s="3"/>
      <c r="BX677" s="896">
        <v>718</v>
      </c>
      <c r="BY677" s="896">
        <v>808</v>
      </c>
      <c r="BZ677" s="896">
        <v>1063</v>
      </c>
      <c r="CA677" s="896">
        <v>1423</v>
      </c>
      <c r="CB677" s="89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f t="shared" si="44"/>
        <v>4380</v>
      </c>
      <c r="BB678" s="3"/>
      <c r="BF678" s="218"/>
      <c r="BG678" s="315">
        <f t="shared" si="45"/>
        <v>12</v>
      </c>
      <c r="BH678" s="318">
        <f t="shared" si="47"/>
        <v>6.8965517241379309E-2</v>
      </c>
      <c r="BI678" s="319">
        <f t="shared" si="46"/>
        <v>4.1379310344827586E-2</v>
      </c>
      <c r="BL678" s="3"/>
      <c r="BM678" s="3"/>
      <c r="BN678" s="3"/>
      <c r="BO678" s="3"/>
      <c r="BP678" s="378" t="s">
        <v>54</v>
      </c>
      <c r="BQ678" s="498">
        <v>1406</v>
      </c>
      <c r="BR678" s="499">
        <v>1506</v>
      </c>
      <c r="BS678" s="498">
        <v>1806</v>
      </c>
      <c r="BT678" s="499">
        <v>2088</v>
      </c>
      <c r="BU678" s="499">
        <v>2330</v>
      </c>
      <c r="BV678" s="500">
        <v>2570</v>
      </c>
      <c r="BW678" s="3"/>
      <c r="BX678" s="896">
        <v>945</v>
      </c>
      <c r="BY678" s="896">
        <v>954</v>
      </c>
      <c r="BZ678" s="896">
        <v>1245</v>
      </c>
      <c r="CA678" s="896">
        <v>1729</v>
      </c>
      <c r="CB678" s="89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472</v>
      </c>
      <c r="G679" s="1351">
        <f>C633</f>
        <v>0</v>
      </c>
      <c r="H679" s="1351"/>
      <c r="I679" s="1351"/>
      <c r="J679" s="1351"/>
      <c r="K679" s="1351"/>
      <c r="L679" s="1351"/>
      <c r="M679" s="1351"/>
      <c r="N679" s="1351"/>
      <c r="O679" s="1351"/>
      <c r="P679" s="1351"/>
      <c r="Q679" s="1351"/>
      <c r="R679" s="1351"/>
      <c r="T679" s="55" t="s">
        <v>365</v>
      </c>
      <c r="U679" t="s">
        <v>472</v>
      </c>
      <c r="Z679" s="1351">
        <f>C634</f>
        <v>0</v>
      </c>
      <c r="AA679" s="1351"/>
      <c r="AB679" s="1351"/>
      <c r="AC679" s="1351"/>
      <c r="AD679" s="1351"/>
      <c r="AE679" s="1351"/>
      <c r="AF679" s="1351"/>
      <c r="AG679" s="1351"/>
      <c r="AH679" s="1351"/>
      <c r="AI679" s="1351"/>
      <c r="AJ679" s="1351"/>
      <c r="AK679" s="1351"/>
      <c r="AZ679" s="3"/>
      <c r="BA679" s="118" t="str">
        <f t="shared" si="44"/>
        <v>N/A</v>
      </c>
      <c r="BB679" s="3"/>
      <c r="BF679" s="218"/>
      <c r="BG679" s="315">
        <f t="shared" si="45"/>
        <v>5</v>
      </c>
      <c r="BH679" s="318">
        <f t="shared" si="47"/>
        <v>2.8735632183908046E-2</v>
      </c>
      <c r="BI679" s="319">
        <f t="shared" si="46"/>
        <v>2.0114942528735632E-2</v>
      </c>
      <c r="BL679" s="3"/>
      <c r="BM679" s="3"/>
      <c r="BN679" s="3"/>
      <c r="BO679" s="3"/>
      <c r="BP679" s="378" t="s">
        <v>55</v>
      </c>
      <c r="BQ679" s="498">
        <v>1364</v>
      </c>
      <c r="BR679" s="499">
        <v>1462</v>
      </c>
      <c r="BS679" s="498">
        <v>1754</v>
      </c>
      <c r="BT679" s="499">
        <v>2026</v>
      </c>
      <c r="BU679" s="499">
        <v>2260</v>
      </c>
      <c r="BV679" s="500">
        <v>2492</v>
      </c>
      <c r="BW679" s="3"/>
      <c r="BX679" s="896">
        <v>766</v>
      </c>
      <c r="BY679" s="896">
        <v>914</v>
      </c>
      <c r="BZ679" s="896">
        <v>1120</v>
      </c>
      <c r="CA679" s="896">
        <v>1591</v>
      </c>
      <c r="CB679" s="89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4"/>
        <v>N/A</v>
      </c>
      <c r="BB680" s="3"/>
      <c r="BF680" s="218"/>
      <c r="BG680" s="315">
        <f t="shared" si="45"/>
        <v>0</v>
      </c>
      <c r="BH680" s="318">
        <f t="shared" si="47"/>
        <v>0</v>
      </c>
      <c r="BI680" s="319" t="str">
        <f t="shared" si="46"/>
        <v xml:space="preserve"> </v>
      </c>
      <c r="BL680" s="3"/>
      <c r="BM680" s="3"/>
      <c r="BN680" s="3"/>
      <c r="BO680" s="3"/>
      <c r="BP680" s="378" t="s">
        <v>56</v>
      </c>
      <c r="BQ680" s="498">
        <v>1364</v>
      </c>
      <c r="BR680" s="499">
        <v>1462</v>
      </c>
      <c r="BS680" s="498">
        <v>1754</v>
      </c>
      <c r="BT680" s="499">
        <v>2026</v>
      </c>
      <c r="BU680" s="499">
        <v>2260</v>
      </c>
      <c r="BV680" s="500">
        <v>2492</v>
      </c>
      <c r="BW680" s="3"/>
      <c r="BX680" s="896">
        <v>605</v>
      </c>
      <c r="BY680" s="896">
        <v>609</v>
      </c>
      <c r="BZ680" s="896">
        <v>801</v>
      </c>
      <c r="CA680" s="896">
        <v>1047</v>
      </c>
      <c r="CB680" s="89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8"/>
      <c r="BG681" s="315">
        <f t="shared" si="45"/>
        <v>0</v>
      </c>
      <c r="BH681" s="318">
        <f t="shared" si="47"/>
        <v>0</v>
      </c>
      <c r="BI681" s="319" t="str">
        <f t="shared" si="46"/>
        <v xml:space="preserve"> </v>
      </c>
      <c r="BM681" s="3"/>
      <c r="BN681" s="3"/>
      <c r="BO681" s="3"/>
      <c r="BP681" s="378" t="s">
        <v>60</v>
      </c>
      <c r="BQ681" s="498">
        <v>1406</v>
      </c>
      <c r="BR681" s="499">
        <v>1506</v>
      </c>
      <c r="BS681" s="498">
        <v>1806</v>
      </c>
      <c r="BT681" s="499">
        <v>2088</v>
      </c>
      <c r="BU681" s="499">
        <v>2330</v>
      </c>
      <c r="BV681" s="500">
        <v>2570</v>
      </c>
      <c r="BW681" s="3"/>
      <c r="BX681" s="896">
        <v>1009</v>
      </c>
      <c r="BY681" s="896">
        <v>1045</v>
      </c>
      <c r="BZ681" s="896">
        <v>1319</v>
      </c>
      <c r="CA681" s="896">
        <v>1829</v>
      </c>
      <c r="CB681" s="89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1" t="s">
        <v>932</v>
      </c>
      <c r="BG682" s="320">
        <f>SUM(BG657:BG681)</f>
        <v>174</v>
      </c>
      <c r="BH682" s="321">
        <f>SUM(BH657:BH681)</f>
        <v>1</v>
      </c>
      <c r="BI682" s="321">
        <f>SUM(BI657:BI681)</f>
        <v>0.42126436781609206</v>
      </c>
      <c r="BN682" s="3"/>
      <c r="BO682" s="3"/>
      <c r="BP682" s="378" t="s">
        <v>61</v>
      </c>
      <c r="BQ682" s="498">
        <v>1990</v>
      </c>
      <c r="BR682" s="499">
        <v>2132</v>
      </c>
      <c r="BS682" s="498">
        <v>2560</v>
      </c>
      <c r="BT682" s="499">
        <v>2956</v>
      </c>
      <c r="BU682" s="499">
        <v>3296</v>
      </c>
      <c r="BV682" s="500">
        <v>3638</v>
      </c>
      <c r="BW682" s="3"/>
      <c r="BX682" s="896">
        <v>1533</v>
      </c>
      <c r="BY682" s="896">
        <v>1616</v>
      </c>
      <c r="BZ682" s="896">
        <v>1967</v>
      </c>
      <c r="CA682" s="896">
        <v>2794</v>
      </c>
      <c r="CB682" s="89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8" t="s">
        <v>62</v>
      </c>
      <c r="BQ683" s="498">
        <v>2206</v>
      </c>
      <c r="BR683" s="499">
        <v>2364</v>
      </c>
      <c r="BS683" s="498">
        <v>2836</v>
      </c>
      <c r="BT683" s="499">
        <v>3278</v>
      </c>
      <c r="BU683" s="499">
        <v>3656</v>
      </c>
      <c r="BV683" s="500">
        <v>4036</v>
      </c>
      <c r="BW683" s="3"/>
      <c r="BX683" s="896">
        <v>1438</v>
      </c>
      <c r="BY683" s="896">
        <v>1645</v>
      </c>
      <c r="BZ683" s="896">
        <v>2164</v>
      </c>
      <c r="CA683" s="896">
        <v>2924</v>
      </c>
      <c r="CB683" s="89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8" t="s">
        <v>63</v>
      </c>
      <c r="BQ684" s="498">
        <v>1722</v>
      </c>
      <c r="BR684" s="499">
        <v>1846</v>
      </c>
      <c r="BS684" s="498">
        <v>2214</v>
      </c>
      <c r="BT684" s="499">
        <v>2558</v>
      </c>
      <c r="BU684" s="499">
        <v>2854</v>
      </c>
      <c r="BV684" s="500">
        <v>3150</v>
      </c>
      <c r="BW684" s="3"/>
      <c r="BX684" s="896">
        <v>921</v>
      </c>
      <c r="BY684" s="896">
        <v>993</v>
      </c>
      <c r="BZ684" s="896">
        <v>1307</v>
      </c>
      <c r="CA684" s="896">
        <v>1857</v>
      </c>
      <c r="CB684" s="89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8" t="s">
        <v>64</v>
      </c>
      <c r="BQ685" s="498">
        <v>2372</v>
      </c>
      <c r="BR685" s="499">
        <v>2540</v>
      </c>
      <c r="BS685" s="498">
        <v>3050</v>
      </c>
      <c r="BT685" s="499">
        <v>3522</v>
      </c>
      <c r="BU685" s="499">
        <v>3930</v>
      </c>
      <c r="BV685" s="500">
        <v>4336</v>
      </c>
      <c r="BW685" s="34"/>
      <c r="BX685" s="1084">
        <v>1716</v>
      </c>
      <c r="BY685" s="1084">
        <v>1905</v>
      </c>
      <c r="BZ685" s="1084">
        <v>2324</v>
      </c>
      <c r="CA685" s="1084">
        <v>3178</v>
      </c>
      <c r="CB685" s="1084">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8" t="s">
        <v>65</v>
      </c>
      <c r="BQ686" s="498">
        <v>1774</v>
      </c>
      <c r="BR686" s="499">
        <v>1900</v>
      </c>
      <c r="BS686" s="498">
        <v>2280</v>
      </c>
      <c r="BT686" s="499">
        <v>2634</v>
      </c>
      <c r="BU686" s="499">
        <v>2940</v>
      </c>
      <c r="BV686" s="500">
        <v>3242</v>
      </c>
      <c r="BW686" s="34"/>
      <c r="BX686" s="1084">
        <v>1108</v>
      </c>
      <c r="BY686" s="1084">
        <v>1228</v>
      </c>
      <c r="BZ686" s="1084">
        <v>1543</v>
      </c>
      <c r="CA686" s="1084">
        <v>2192</v>
      </c>
      <c r="CB686" s="1084">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8" t="s">
        <v>66</v>
      </c>
      <c r="BQ687" s="498">
        <v>1430</v>
      </c>
      <c r="BR687" s="499">
        <v>1532</v>
      </c>
      <c r="BS687" s="498">
        <v>1840</v>
      </c>
      <c r="BT687" s="499">
        <v>2124</v>
      </c>
      <c r="BU687" s="499">
        <v>2370</v>
      </c>
      <c r="BV687" s="500">
        <v>2616</v>
      </c>
      <c r="BW687" s="34"/>
      <c r="BX687" s="1084">
        <v>608</v>
      </c>
      <c r="BY687" s="1084">
        <v>716</v>
      </c>
      <c r="BZ687" s="1084">
        <v>915</v>
      </c>
      <c r="CA687" s="1084">
        <v>1300</v>
      </c>
      <c r="CB687" s="1084">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2" t="s">
        <v>929</v>
      </c>
      <c r="BH688" s="317" t="s">
        <v>930</v>
      </c>
      <c r="BI688" s="316" t="s">
        <v>931</v>
      </c>
      <c r="BJ688" s="3"/>
      <c r="BK688" s="34"/>
      <c r="BL688" s="34"/>
      <c r="BM688" s="34"/>
      <c r="BN688" s="34"/>
      <c r="BO688" s="34"/>
      <c r="BP688" s="378" t="s">
        <v>67</v>
      </c>
      <c r="BQ688" s="498">
        <v>1540</v>
      </c>
      <c r="BR688" s="499">
        <v>1650</v>
      </c>
      <c r="BS688" s="498">
        <v>1980</v>
      </c>
      <c r="BT688" s="499">
        <v>2288</v>
      </c>
      <c r="BU688" s="499">
        <v>2552</v>
      </c>
      <c r="BV688" s="500">
        <v>2816</v>
      </c>
      <c r="BW688" s="34"/>
      <c r="BX688" s="1084">
        <v>1062</v>
      </c>
      <c r="BY688" s="1084">
        <v>1202</v>
      </c>
      <c r="BZ688" s="1084">
        <v>1509</v>
      </c>
      <c r="CA688" s="1084">
        <v>2065</v>
      </c>
      <c r="CB688" s="1084">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53" t="s">
        <v>554</v>
      </c>
      <c r="AF689" s="1353"/>
      <c r="AZ689" s="34"/>
      <c r="BA689" s="34"/>
      <c r="BB689" s="34"/>
      <c r="BC689" s="34"/>
      <c r="BD689" s="34"/>
      <c r="BE689" s="34"/>
      <c r="BF689" s="34"/>
      <c r="BG689" s="314">
        <f t="shared" ref="BG689:BG713" si="48">G714</f>
        <v>20</v>
      </c>
      <c r="BH689" s="318">
        <f>BG689/$BG$714</f>
        <v>0.11494252873563218</v>
      </c>
      <c r="BI689" s="319">
        <f t="shared" ref="BI689:BI713" si="49">IF(BH689=0," ",BH689*AH714)</f>
        <v>3.4482758620689655E-2</v>
      </c>
      <c r="BJ689" s="3"/>
      <c r="BK689" s="34"/>
      <c r="BL689" s="34"/>
      <c r="BM689" s="34"/>
      <c r="BN689" s="34"/>
      <c r="BO689" s="34"/>
      <c r="BP689" s="378" t="s">
        <v>68</v>
      </c>
      <c r="BQ689" s="498">
        <v>1774</v>
      </c>
      <c r="BR689" s="499">
        <v>1900</v>
      </c>
      <c r="BS689" s="498">
        <v>2280</v>
      </c>
      <c r="BT689" s="499">
        <v>2634</v>
      </c>
      <c r="BU689" s="499">
        <v>2940</v>
      </c>
      <c r="BV689" s="500">
        <v>3242</v>
      </c>
      <c r="BW689" s="34"/>
      <c r="BX689" s="1084">
        <v>1108</v>
      </c>
      <c r="BY689" s="1084">
        <v>1228</v>
      </c>
      <c r="BZ689" s="1084">
        <v>1543</v>
      </c>
      <c r="CA689" s="1084">
        <v>2192</v>
      </c>
      <c r="CB689" s="1084">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53" t="s">
        <v>678</v>
      </c>
      <c r="AF690" s="1353"/>
      <c r="AZ690" s="34"/>
      <c r="BA690" s="34"/>
      <c r="BB690" s="34"/>
      <c r="BC690" s="34"/>
      <c r="BD690" s="34"/>
      <c r="BE690" s="34"/>
      <c r="BF690" s="34"/>
      <c r="BG690" s="315">
        <f t="shared" si="48"/>
        <v>10</v>
      </c>
      <c r="BH690" s="318">
        <f t="shared" ref="BH690:BH713" si="50">BG690/$BG$714</f>
        <v>5.7471264367816091E-2</v>
      </c>
      <c r="BI690" s="319">
        <f t="shared" si="49"/>
        <v>1.7241379310344827E-2</v>
      </c>
      <c r="BJ690" s="3"/>
      <c r="BK690" s="34"/>
      <c r="BL690" s="34"/>
      <c r="BM690" s="34"/>
      <c r="BN690" s="34"/>
      <c r="BO690" s="34"/>
      <c r="BP690" s="378" t="s">
        <v>739</v>
      </c>
      <c r="BQ690" s="498">
        <v>1840</v>
      </c>
      <c r="BR690" s="499">
        <v>1970</v>
      </c>
      <c r="BS690" s="498">
        <v>2364</v>
      </c>
      <c r="BT690" s="499">
        <v>2732</v>
      </c>
      <c r="BU690" s="499">
        <v>3050</v>
      </c>
      <c r="BV690" s="500">
        <v>3364</v>
      </c>
      <c r="BW690" s="34"/>
      <c r="BX690" s="1084">
        <v>1096</v>
      </c>
      <c r="BY690" s="1084">
        <v>1253</v>
      </c>
      <c r="BZ690" s="1084">
        <v>1649</v>
      </c>
      <c r="CA690" s="1084">
        <v>2342</v>
      </c>
      <c r="CB690" s="1084">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637">
        <v>44964</v>
      </c>
      <c r="AF691" s="1637"/>
      <c r="AG691" s="1637"/>
      <c r="AH691" s="1637"/>
      <c r="AI691" s="1637"/>
      <c r="AZ691" s="34"/>
      <c r="BA691" s="34"/>
      <c r="BB691" s="34"/>
      <c r="BC691" s="34"/>
      <c r="BD691" s="34"/>
      <c r="BE691" s="3"/>
      <c r="BF691" s="3"/>
      <c r="BG691" s="315">
        <f t="shared" si="48"/>
        <v>5</v>
      </c>
      <c r="BH691" s="318">
        <f t="shared" si="50"/>
        <v>2.8735632183908046E-2</v>
      </c>
      <c r="BI691" s="319">
        <f t="shared" si="49"/>
        <v>1.1494252873563218E-2</v>
      </c>
      <c r="BJ691" s="3"/>
      <c r="BK691" s="3"/>
      <c r="BL691" s="3"/>
      <c r="BM691" s="3"/>
      <c r="BN691" s="34"/>
      <c r="BO691" s="34"/>
      <c r="BP691" s="378" t="s">
        <v>740</v>
      </c>
      <c r="BQ691" s="498">
        <v>1540</v>
      </c>
      <c r="BR691" s="499">
        <v>1650</v>
      </c>
      <c r="BS691" s="498">
        <v>1980</v>
      </c>
      <c r="BT691" s="499">
        <v>2288</v>
      </c>
      <c r="BU691" s="499">
        <v>2552</v>
      </c>
      <c r="BV691" s="500">
        <v>2816</v>
      </c>
      <c r="BW691" s="34"/>
      <c r="BX691" s="1084">
        <v>1062</v>
      </c>
      <c r="BY691" s="1084">
        <v>1202</v>
      </c>
      <c r="BZ691" s="1084">
        <v>1509</v>
      </c>
      <c r="CA691" s="1084">
        <v>2065</v>
      </c>
      <c r="CB691" s="1084">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3" t="s">
        <v>1023</v>
      </c>
      <c r="E692" s="135"/>
      <c r="F692" s="135"/>
      <c r="G692" s="135"/>
      <c r="H692" s="135"/>
      <c r="AE692" s="1639">
        <v>45056</v>
      </c>
      <c r="AF692" s="1639"/>
      <c r="AG692" s="1639"/>
      <c r="AH692" s="1639"/>
      <c r="AI692" s="1639"/>
      <c r="AZ692" s="34"/>
      <c r="BA692" s="34"/>
      <c r="BB692" s="34"/>
      <c r="BC692" s="34"/>
      <c r="BD692" s="34"/>
      <c r="BE692" s="3"/>
      <c r="BF692" s="2"/>
      <c r="BG692" s="315">
        <f t="shared" si="48"/>
        <v>4</v>
      </c>
      <c r="BH692" s="318">
        <f t="shared" si="50"/>
        <v>2.2988505747126436E-2</v>
      </c>
      <c r="BI692" s="319">
        <f t="shared" si="49"/>
        <v>1.1494252873563218E-2</v>
      </c>
      <c r="BJ692" s="3"/>
      <c r="BK692" s="3"/>
      <c r="BL692" s="3"/>
      <c r="BM692" s="3"/>
      <c r="BN692" s="34"/>
      <c r="BO692" s="34"/>
      <c r="BP692" s="378" t="s">
        <v>741</v>
      </c>
      <c r="BQ692" s="498">
        <v>2276</v>
      </c>
      <c r="BR692" s="499">
        <v>2440</v>
      </c>
      <c r="BS692" s="498">
        <v>2926</v>
      </c>
      <c r="BT692" s="499">
        <v>3382</v>
      </c>
      <c r="BU692" s="499">
        <v>3774</v>
      </c>
      <c r="BV692" s="500">
        <v>4164</v>
      </c>
      <c r="BW692" s="34"/>
      <c r="BX692" s="1084">
        <v>1394</v>
      </c>
      <c r="BY692" s="1084">
        <v>1542</v>
      </c>
      <c r="BZ692" s="1084">
        <v>1979</v>
      </c>
      <c r="CA692" s="1084">
        <v>2748</v>
      </c>
      <c r="CB692" s="1084">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5">
        <f t="shared" si="48"/>
        <v>20</v>
      </c>
      <c r="BH693" s="318">
        <f t="shared" si="50"/>
        <v>0.11494252873563218</v>
      </c>
      <c r="BI693" s="319">
        <f t="shared" si="49"/>
        <v>3.4482758620689655E-2</v>
      </c>
      <c r="BJ693" s="3"/>
      <c r="BK693" s="3"/>
      <c r="BL693" s="3"/>
      <c r="BM693" s="3"/>
      <c r="BN693" s="34"/>
      <c r="BO693" s="34"/>
      <c r="BP693" s="378" t="s">
        <v>742</v>
      </c>
      <c r="BQ693" s="498">
        <v>3262</v>
      </c>
      <c r="BR693" s="499">
        <v>3496</v>
      </c>
      <c r="BS693" s="498">
        <v>4194</v>
      </c>
      <c r="BT693" s="499">
        <v>4846</v>
      </c>
      <c r="BU693" s="499">
        <v>5406</v>
      </c>
      <c r="BV693" s="500">
        <v>5966</v>
      </c>
      <c r="BW693" s="34"/>
      <c r="BX693" s="1084">
        <v>2115</v>
      </c>
      <c r="BY693" s="1084">
        <v>2631</v>
      </c>
      <c r="BZ693" s="1084">
        <v>3198</v>
      </c>
      <c r="CA693" s="1084">
        <v>4111</v>
      </c>
      <c r="CB693" s="1084">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637">
        <v>45200</v>
      </c>
      <c r="AF694" s="1637"/>
      <c r="AG694" s="1637"/>
      <c r="AH694" s="1637"/>
      <c r="AI694" s="1637"/>
      <c r="AZ694" s="3"/>
      <c r="BA694" s="3"/>
      <c r="BB694" s="3"/>
      <c r="BC694" s="3"/>
      <c r="BD694" s="3"/>
      <c r="BE694" s="3"/>
      <c r="BF694" s="3"/>
      <c r="BG694" s="315">
        <f t="shared" si="48"/>
        <v>7</v>
      </c>
      <c r="BH694" s="318">
        <f t="shared" si="50"/>
        <v>4.0229885057471264E-2</v>
      </c>
      <c r="BI694" s="319">
        <f t="shared" si="49"/>
        <v>1.2068965517241379E-2</v>
      </c>
      <c r="BJ694" s="3"/>
      <c r="BK694" s="3"/>
      <c r="BL694" s="3"/>
      <c r="BM694" s="3"/>
      <c r="BN694" s="3"/>
      <c r="BO694" s="3"/>
      <c r="BP694" s="378" t="s">
        <v>743</v>
      </c>
      <c r="BQ694" s="498">
        <v>1450</v>
      </c>
      <c r="BR694" s="499">
        <v>1552</v>
      </c>
      <c r="BS694" s="498">
        <v>1864</v>
      </c>
      <c r="BT694" s="499">
        <v>2152</v>
      </c>
      <c r="BU694" s="499">
        <v>2402</v>
      </c>
      <c r="BV694" s="500">
        <v>2650</v>
      </c>
      <c r="BW694" s="3"/>
      <c r="BX694" s="896">
        <v>891</v>
      </c>
      <c r="BY694" s="896">
        <v>992</v>
      </c>
      <c r="BZ694" s="896">
        <v>1305</v>
      </c>
      <c r="CA694" s="896">
        <v>1854</v>
      </c>
      <c r="CB694" s="89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71">
        <v>0.52</v>
      </c>
      <c r="AF695" s="1671"/>
      <c r="AG695" s="1671"/>
      <c r="AH695" s="1671"/>
      <c r="AI695" s="1671"/>
      <c r="AZ695" s="3"/>
      <c r="BA695" s="3"/>
      <c r="BB695" s="3"/>
      <c r="BC695" s="3"/>
      <c r="BD695" s="3"/>
      <c r="BE695" s="3"/>
      <c r="BF695" s="3"/>
      <c r="BG695" s="315">
        <f t="shared" si="48"/>
        <v>5</v>
      </c>
      <c r="BH695" s="318">
        <f t="shared" si="50"/>
        <v>2.8735632183908046E-2</v>
      </c>
      <c r="BI695" s="319">
        <f t="shared" si="49"/>
        <v>1.1494252873563218E-2</v>
      </c>
      <c r="BJ695" s="3"/>
      <c r="BK695" s="3"/>
      <c r="BL695" s="3"/>
      <c r="BM695" s="3"/>
      <c r="BN695" s="3"/>
      <c r="BO695" s="3"/>
      <c r="BP695" s="378" t="s">
        <v>69</v>
      </c>
      <c r="BQ695" s="498">
        <v>1914</v>
      </c>
      <c r="BR695" s="499">
        <v>2052</v>
      </c>
      <c r="BS695" s="498">
        <v>2462</v>
      </c>
      <c r="BT695" s="499">
        <v>2844</v>
      </c>
      <c r="BU695" s="499">
        <v>3174</v>
      </c>
      <c r="BV695" s="500">
        <v>3502</v>
      </c>
      <c r="BW695" s="3"/>
      <c r="BX695" s="896">
        <v>1308</v>
      </c>
      <c r="BY695" s="896">
        <v>1436</v>
      </c>
      <c r="BZ695" s="896">
        <v>1890</v>
      </c>
      <c r="CA695" s="896">
        <v>2685</v>
      </c>
      <c r="CB695" s="89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5">
        <f t="shared" si="48"/>
        <v>6</v>
      </c>
      <c r="BH696" s="318">
        <f t="shared" si="50"/>
        <v>3.4482758620689655E-2</v>
      </c>
      <c r="BI696" s="319">
        <f t="shared" si="49"/>
        <v>1.7241379310344827E-2</v>
      </c>
      <c r="BJ696" s="3"/>
      <c r="BK696" s="3"/>
      <c r="BL696" s="3"/>
      <c r="BM696" s="3"/>
      <c r="BN696" s="3"/>
      <c r="BO696" s="3"/>
      <c r="BP696" s="378" t="s">
        <v>70</v>
      </c>
      <c r="BQ696" s="498">
        <v>3262</v>
      </c>
      <c r="BR696" s="499">
        <v>3496</v>
      </c>
      <c r="BS696" s="498">
        <v>4194</v>
      </c>
      <c r="BT696" s="499">
        <v>4846</v>
      </c>
      <c r="BU696" s="499">
        <v>5406</v>
      </c>
      <c r="BV696" s="500">
        <v>5966</v>
      </c>
      <c r="BW696" s="3"/>
      <c r="BX696" s="896">
        <v>2115</v>
      </c>
      <c r="BY696" s="896">
        <v>2631</v>
      </c>
      <c r="BZ696" s="896">
        <v>3198</v>
      </c>
      <c r="CA696" s="896">
        <v>4111</v>
      </c>
      <c r="CB696" s="89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5">
        <f t="shared" si="48"/>
        <v>9</v>
      </c>
      <c r="BH697" s="318">
        <f t="shared" si="50"/>
        <v>5.1724137931034482E-2</v>
      </c>
      <c r="BI697" s="319">
        <f t="shared" si="49"/>
        <v>3.1034482758620689E-2</v>
      </c>
      <c r="BJ697" s="3"/>
      <c r="BK697" s="3"/>
      <c r="BL697" s="3"/>
      <c r="BM697" s="3"/>
      <c r="BN697" s="3"/>
      <c r="BO697" s="3"/>
      <c r="BP697" s="378" t="s">
        <v>193</v>
      </c>
      <c r="BQ697" s="498">
        <v>2444</v>
      </c>
      <c r="BR697" s="499">
        <v>2620</v>
      </c>
      <c r="BS697" s="498">
        <v>3144</v>
      </c>
      <c r="BT697" s="499">
        <v>3632</v>
      </c>
      <c r="BU697" s="499">
        <v>4052</v>
      </c>
      <c r="BV697" s="500">
        <v>4472</v>
      </c>
      <c r="BW697" s="3"/>
      <c r="BX697" s="896">
        <v>1847</v>
      </c>
      <c r="BY697" s="896">
        <v>2124</v>
      </c>
      <c r="BZ697" s="896">
        <v>2478</v>
      </c>
      <c r="CA697" s="896">
        <v>3266</v>
      </c>
      <c r="CB697" s="89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53" t="s">
        <v>678</v>
      </c>
      <c r="AF698" s="1353"/>
      <c r="AZ698" s="3"/>
      <c r="BA698" s="3"/>
      <c r="BB698" s="3"/>
      <c r="BC698" s="3"/>
      <c r="BD698" s="3"/>
      <c r="BE698" s="3"/>
      <c r="BF698" s="3"/>
      <c r="BG698" s="315">
        <f t="shared" si="48"/>
        <v>3</v>
      </c>
      <c r="BH698" s="318">
        <f t="shared" si="50"/>
        <v>1.7241379310344827E-2</v>
      </c>
      <c r="BI698" s="319">
        <f t="shared" si="49"/>
        <v>5.1696857267568746E-3</v>
      </c>
      <c r="BJ698" s="3"/>
      <c r="BK698" s="3"/>
      <c r="BL698" s="3"/>
      <c r="BM698" s="3"/>
      <c r="BN698" s="3"/>
      <c r="BO698" s="3"/>
      <c r="BP698" s="378" t="s">
        <v>194</v>
      </c>
      <c r="BQ698" s="498">
        <v>2950</v>
      </c>
      <c r="BR698" s="499">
        <v>3160</v>
      </c>
      <c r="BS698" s="498">
        <v>3792</v>
      </c>
      <c r="BT698" s="499">
        <v>4380</v>
      </c>
      <c r="BU698" s="499">
        <v>4886</v>
      </c>
      <c r="BV698" s="500">
        <v>5392</v>
      </c>
      <c r="BW698" s="3"/>
      <c r="BX698" s="896">
        <v>2145</v>
      </c>
      <c r="BY698" s="896">
        <v>2418</v>
      </c>
      <c r="BZ698" s="896">
        <v>2868</v>
      </c>
      <c r="CA698" s="896">
        <v>3687</v>
      </c>
      <c r="CB698" s="89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5">
        <f t="shared" si="48"/>
        <v>12</v>
      </c>
      <c r="BH699" s="318">
        <f t="shared" si="50"/>
        <v>6.8965517241379309E-2</v>
      </c>
      <c r="BI699" s="319">
        <f t="shared" si="49"/>
        <v>2.0678742907027498E-2</v>
      </c>
      <c r="BJ699" s="3"/>
      <c r="BK699" s="3"/>
      <c r="BL699" s="3"/>
      <c r="BM699" s="3"/>
      <c r="BN699" s="3"/>
      <c r="BO699" s="3"/>
      <c r="BP699" s="378" t="s">
        <v>195</v>
      </c>
      <c r="BQ699" s="498">
        <v>2722</v>
      </c>
      <c r="BR699" s="499">
        <v>2916</v>
      </c>
      <c r="BS699" s="498">
        <v>3500</v>
      </c>
      <c r="BT699" s="499">
        <v>4042</v>
      </c>
      <c r="BU699" s="499">
        <v>4510</v>
      </c>
      <c r="BV699" s="500">
        <v>4976</v>
      </c>
      <c r="BW699" s="3"/>
      <c r="BX699" s="896">
        <v>2085</v>
      </c>
      <c r="BY699" s="896">
        <v>2385</v>
      </c>
      <c r="BZ699" s="896">
        <v>3138</v>
      </c>
      <c r="CA699" s="896">
        <v>4000</v>
      </c>
      <c r="CB699" s="89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5">
        <f t="shared" si="48"/>
        <v>3</v>
      </c>
      <c r="BH700" s="318">
        <f t="shared" si="50"/>
        <v>1.7241379310344827E-2</v>
      </c>
      <c r="BI700" s="319">
        <f t="shared" si="49"/>
        <v>6.8929143023425E-3</v>
      </c>
      <c r="BJ700" s="3"/>
      <c r="BK700" s="3"/>
      <c r="BL700" s="3"/>
      <c r="BM700" s="3"/>
      <c r="BN700" s="3"/>
      <c r="BO700" s="3"/>
      <c r="BP700" s="378" t="s">
        <v>196</v>
      </c>
      <c r="BQ700" s="498">
        <v>1390</v>
      </c>
      <c r="BR700" s="499">
        <v>1490</v>
      </c>
      <c r="BS700" s="498">
        <v>1786</v>
      </c>
      <c r="BT700" s="499">
        <v>2064</v>
      </c>
      <c r="BU700" s="499">
        <v>2304</v>
      </c>
      <c r="BV700" s="500">
        <v>2542</v>
      </c>
      <c r="BW700" s="3"/>
      <c r="BX700" s="896">
        <v>834</v>
      </c>
      <c r="BY700" s="896">
        <v>954</v>
      </c>
      <c r="BZ700" s="896">
        <v>1255</v>
      </c>
      <c r="CA700" s="896">
        <v>1783</v>
      </c>
      <c r="CB700" s="89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5">
        <f t="shared" si="48"/>
        <v>3</v>
      </c>
      <c r="BH701" s="318">
        <f t="shared" si="50"/>
        <v>1.7241379310344827E-2</v>
      </c>
      <c r="BI701" s="319">
        <f t="shared" si="49"/>
        <v>8.6206896551724137E-3</v>
      </c>
      <c r="BJ701" s="3"/>
      <c r="BK701" s="3"/>
      <c r="BL701" s="3"/>
      <c r="BM701" s="3"/>
      <c r="BN701" s="3"/>
      <c r="BO701" s="3"/>
      <c r="BP701" s="378" t="s">
        <v>197</v>
      </c>
      <c r="BQ701" s="498">
        <v>1574</v>
      </c>
      <c r="BR701" s="499">
        <v>1686</v>
      </c>
      <c r="BS701" s="498">
        <v>2024</v>
      </c>
      <c r="BT701" s="499">
        <v>2340</v>
      </c>
      <c r="BU701" s="499">
        <v>2610</v>
      </c>
      <c r="BV701" s="500">
        <v>2880</v>
      </c>
      <c r="BW701" s="3"/>
      <c r="BX701" s="896">
        <v>754</v>
      </c>
      <c r="BY701" s="896">
        <v>855</v>
      </c>
      <c r="BZ701" s="896">
        <v>1114</v>
      </c>
      <c r="CA701" s="896">
        <v>1593</v>
      </c>
      <c r="CB701" s="89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5">
        <f t="shared" si="48"/>
        <v>6</v>
      </c>
      <c r="BH702" s="318">
        <f t="shared" si="50"/>
        <v>3.4482758620689655E-2</v>
      </c>
      <c r="BI702" s="319">
        <f t="shared" si="49"/>
        <v>1.7241379310344827E-2</v>
      </c>
      <c r="BJ702" s="3"/>
      <c r="BK702" s="3"/>
      <c r="BL702" s="3"/>
      <c r="BM702" s="3"/>
      <c r="BN702" s="3"/>
      <c r="BO702" s="3"/>
      <c r="BP702" s="378" t="s">
        <v>198</v>
      </c>
      <c r="BQ702" s="498">
        <v>1364</v>
      </c>
      <c r="BR702" s="499">
        <v>1462</v>
      </c>
      <c r="BS702" s="498">
        <v>1754</v>
      </c>
      <c r="BT702" s="499">
        <v>2026</v>
      </c>
      <c r="BU702" s="499">
        <v>2260</v>
      </c>
      <c r="BV702" s="500">
        <v>2492</v>
      </c>
      <c r="BW702" s="3"/>
      <c r="BX702" s="896">
        <v>682</v>
      </c>
      <c r="BY702" s="896">
        <v>701</v>
      </c>
      <c r="BZ702" s="896">
        <v>922</v>
      </c>
      <c r="CA702" s="896">
        <v>1310</v>
      </c>
      <c r="CB702" s="89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5">
        <f t="shared" si="48"/>
        <v>12</v>
      </c>
      <c r="BH703" s="318">
        <f t="shared" si="50"/>
        <v>6.8965517241379309E-2</v>
      </c>
      <c r="BI703" s="319">
        <f t="shared" si="49"/>
        <v>4.1375672923032153E-2</v>
      </c>
      <c r="BJ703" s="3"/>
      <c r="BK703" s="3"/>
      <c r="BL703" s="3"/>
      <c r="BM703" s="3"/>
      <c r="BN703" s="3"/>
      <c r="BO703" s="3"/>
      <c r="BP703" s="378" t="s">
        <v>199</v>
      </c>
      <c r="BQ703" s="498">
        <v>1902</v>
      </c>
      <c r="BR703" s="499">
        <v>2036</v>
      </c>
      <c r="BS703" s="498">
        <v>2444</v>
      </c>
      <c r="BT703" s="499">
        <v>2822</v>
      </c>
      <c r="BU703" s="499">
        <v>3150</v>
      </c>
      <c r="BV703" s="500">
        <v>3476</v>
      </c>
      <c r="BW703" s="3"/>
      <c r="BX703" s="896">
        <v>1232</v>
      </c>
      <c r="BY703" s="896">
        <v>1408</v>
      </c>
      <c r="BZ703" s="896">
        <v>1677</v>
      </c>
      <c r="CA703" s="896">
        <v>2382</v>
      </c>
      <c r="CB703" s="89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5">
        <f t="shared" si="48"/>
        <v>5</v>
      </c>
      <c r="BH704" s="318">
        <f t="shared" si="50"/>
        <v>2.8735632183908046E-2</v>
      </c>
      <c r="BI704" s="319">
        <f t="shared" si="49"/>
        <v>2.0111911343906108E-2</v>
      </c>
      <c r="BJ704" s="3"/>
      <c r="BK704" s="3"/>
      <c r="BL704" s="3"/>
      <c r="BM704" s="3"/>
      <c r="BN704" s="3"/>
      <c r="BO704" s="3"/>
      <c r="BP704" s="378" t="s">
        <v>175</v>
      </c>
      <c r="BQ704" s="498">
        <v>2080</v>
      </c>
      <c r="BR704" s="499">
        <v>2228</v>
      </c>
      <c r="BS704" s="498">
        <v>2674</v>
      </c>
      <c r="BT704" s="499">
        <v>3090</v>
      </c>
      <c r="BU704" s="499">
        <v>3446</v>
      </c>
      <c r="BV704" s="500">
        <v>3802</v>
      </c>
      <c r="BW704" s="3"/>
      <c r="BX704" s="896">
        <v>1373</v>
      </c>
      <c r="BY704" s="896">
        <v>1549</v>
      </c>
      <c r="BZ704" s="896">
        <v>2038</v>
      </c>
      <c r="CA704" s="896">
        <v>2851</v>
      </c>
      <c r="CB704" s="89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5"/>
      <c r="AQ705" s="935"/>
      <c r="AR705" s="935"/>
      <c r="AS705" s="935"/>
      <c r="AZ705" s="3"/>
      <c r="BA705" s="3"/>
      <c r="BB705" s="3"/>
      <c r="BC705" s="3"/>
      <c r="BD705" s="3"/>
      <c r="BE705" s="3"/>
      <c r="BF705" s="3"/>
      <c r="BG705" s="315">
        <f t="shared" si="48"/>
        <v>2</v>
      </c>
      <c r="BH705" s="318">
        <f t="shared" si="50"/>
        <v>1.1494252873563218E-2</v>
      </c>
      <c r="BI705" s="319">
        <f t="shared" si="49"/>
        <v>3.4482758620689655E-3</v>
      </c>
      <c r="BJ705" s="3"/>
      <c r="BK705" s="3"/>
      <c r="BL705" s="3"/>
      <c r="BM705" s="3"/>
      <c r="BN705" s="3"/>
      <c r="BO705" s="3"/>
      <c r="BP705" s="378" t="s">
        <v>200</v>
      </c>
      <c r="BQ705" s="498">
        <v>1394</v>
      </c>
      <c r="BR705" s="499">
        <v>1494</v>
      </c>
      <c r="BS705" s="498">
        <v>1794</v>
      </c>
      <c r="BT705" s="499">
        <v>2072</v>
      </c>
      <c r="BU705" s="499">
        <v>2312</v>
      </c>
      <c r="BV705" s="500">
        <v>2552</v>
      </c>
      <c r="BW705" s="3"/>
      <c r="BX705" s="896">
        <v>936</v>
      </c>
      <c r="BY705" s="896">
        <v>1001</v>
      </c>
      <c r="BZ705" s="896">
        <v>1250</v>
      </c>
      <c r="CA705" s="896">
        <v>1761</v>
      </c>
      <c r="CB705" s="89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5"/>
      <c r="AQ706" s="935"/>
      <c r="AR706" s="935"/>
      <c r="AS706" s="935"/>
      <c r="AZ706" s="3"/>
      <c r="BA706" s="3"/>
      <c r="BB706" s="3"/>
      <c r="BC706" s="3"/>
      <c r="BD706" s="3"/>
      <c r="BE706" s="3"/>
      <c r="BF706" s="3"/>
      <c r="BG706" s="315">
        <f t="shared" si="48"/>
        <v>13</v>
      </c>
      <c r="BH706" s="318">
        <f t="shared" si="50"/>
        <v>7.4712643678160925E-2</v>
      </c>
      <c r="BI706" s="319">
        <f t="shared" si="49"/>
        <v>2.2413793103448276E-2</v>
      </c>
      <c r="BJ706" s="3"/>
      <c r="BK706" s="3"/>
      <c r="BL706" s="3"/>
      <c r="BM706" s="3"/>
      <c r="BN706" s="3"/>
      <c r="BO706" s="3"/>
      <c r="BP706" s="378" t="s">
        <v>201</v>
      </c>
      <c r="BQ706" s="498">
        <v>1364</v>
      </c>
      <c r="BR706" s="499">
        <v>1462</v>
      </c>
      <c r="BS706" s="498">
        <v>1754</v>
      </c>
      <c r="BT706" s="499">
        <v>2026</v>
      </c>
      <c r="BU706" s="499">
        <v>2260</v>
      </c>
      <c r="BV706" s="500">
        <v>2492</v>
      </c>
      <c r="BW706" s="3"/>
      <c r="BX706" s="896">
        <v>920</v>
      </c>
      <c r="BY706" s="896">
        <v>926</v>
      </c>
      <c r="BZ706" s="896">
        <v>1173</v>
      </c>
      <c r="CA706" s="896">
        <v>1666</v>
      </c>
      <c r="CB706" s="89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5">
        <f t="shared" si="48"/>
        <v>3</v>
      </c>
      <c r="BH707" s="318">
        <f t="shared" si="50"/>
        <v>1.7241379310344827E-2</v>
      </c>
      <c r="BI707" s="319">
        <f t="shared" si="49"/>
        <v>6.8965517241379309E-3</v>
      </c>
      <c r="BJ707" s="3"/>
      <c r="BK707" s="3"/>
      <c r="BL707" s="3"/>
      <c r="BM707" s="3"/>
      <c r="BN707" s="3"/>
      <c r="BO707" s="3"/>
      <c r="BP707" s="378" t="s">
        <v>202</v>
      </c>
      <c r="BQ707" s="498">
        <v>1364</v>
      </c>
      <c r="BR707" s="499">
        <v>1462</v>
      </c>
      <c r="BS707" s="498">
        <v>1754</v>
      </c>
      <c r="BT707" s="499">
        <v>2026</v>
      </c>
      <c r="BU707" s="499">
        <v>2260</v>
      </c>
      <c r="BV707" s="500">
        <v>2492</v>
      </c>
      <c r="BW707" s="3"/>
      <c r="BX707" s="896">
        <v>682</v>
      </c>
      <c r="BY707" s="896">
        <v>722</v>
      </c>
      <c r="BZ707" s="896">
        <v>950</v>
      </c>
      <c r="CA707" s="896">
        <v>1270</v>
      </c>
      <c r="CB707" s="89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5">
        <f t="shared" si="48"/>
        <v>2</v>
      </c>
      <c r="BH708" s="318">
        <f t="shared" si="50"/>
        <v>1.1494252873563218E-2</v>
      </c>
      <c r="BI708" s="319">
        <f t="shared" si="49"/>
        <v>5.7471264367816091E-3</v>
      </c>
      <c r="BJ708" s="3"/>
      <c r="BK708" s="3"/>
      <c r="BL708" s="3"/>
      <c r="BM708" s="3"/>
      <c r="BN708" s="3"/>
      <c r="BO708" s="3"/>
      <c r="BP708" s="378" t="s">
        <v>203</v>
      </c>
      <c r="BQ708" s="498">
        <v>1364</v>
      </c>
      <c r="BR708" s="499">
        <v>1462</v>
      </c>
      <c r="BS708" s="498">
        <v>1754</v>
      </c>
      <c r="BT708" s="499">
        <v>2026</v>
      </c>
      <c r="BU708" s="499">
        <v>2260</v>
      </c>
      <c r="BV708" s="500">
        <v>2492</v>
      </c>
      <c r="BW708" s="3"/>
      <c r="BX708" s="896">
        <v>592</v>
      </c>
      <c r="BY708" s="896">
        <v>670</v>
      </c>
      <c r="BZ708" s="896">
        <v>877</v>
      </c>
      <c r="CA708" s="896">
        <v>1246</v>
      </c>
      <c r="CB708" s="89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6"/>
      <c r="C709" s="2"/>
      <c r="AZ709" s="3"/>
      <c r="BA709" s="3"/>
      <c r="BB709" s="3"/>
      <c r="BC709" s="3"/>
      <c r="BD709" s="3"/>
      <c r="BE709" s="3"/>
      <c r="BF709" s="3"/>
      <c r="BG709" s="315">
        <f t="shared" si="48"/>
        <v>7</v>
      </c>
      <c r="BH709" s="318">
        <f t="shared" si="50"/>
        <v>4.0229885057471264E-2</v>
      </c>
      <c r="BI709" s="319">
        <f t="shared" si="49"/>
        <v>2.0114942528735632E-2</v>
      </c>
      <c r="BK709" s="3"/>
      <c r="BL709" s="3"/>
      <c r="BM709" s="3"/>
      <c r="BN709" s="3"/>
      <c r="BO709" s="3"/>
      <c r="BP709" s="378" t="s">
        <v>204</v>
      </c>
      <c r="BQ709" s="498">
        <v>1364</v>
      </c>
      <c r="BR709" s="499">
        <v>1462</v>
      </c>
      <c r="BS709" s="498">
        <v>1754</v>
      </c>
      <c r="BT709" s="499">
        <v>2026</v>
      </c>
      <c r="BU709" s="499">
        <v>2260</v>
      </c>
      <c r="BV709" s="500">
        <v>2492</v>
      </c>
      <c r="BW709" s="3"/>
      <c r="BX709" s="896">
        <v>746</v>
      </c>
      <c r="BY709" s="896">
        <v>764</v>
      </c>
      <c r="BZ709" s="896">
        <v>1005</v>
      </c>
      <c r="CA709" s="896">
        <v>1405</v>
      </c>
      <c r="CB709" s="89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9" t="s">
        <v>391</v>
      </c>
      <c r="C710" s="1397"/>
      <c r="D710" s="1397"/>
      <c r="E710" s="1397"/>
      <c r="F710" s="1398"/>
      <c r="G710" s="1409" t="s">
        <v>287</v>
      </c>
      <c r="H710" s="1397"/>
      <c r="I710" s="1397"/>
      <c r="J710" s="1398"/>
      <c r="K710" s="1631" t="s">
        <v>1938</v>
      </c>
      <c r="L710" s="1632"/>
      <c r="M710" s="1632"/>
      <c r="N710" s="1633"/>
      <c r="O710" s="1409" t="s">
        <v>456</v>
      </c>
      <c r="P710" s="1397"/>
      <c r="Q710" s="1397"/>
      <c r="R710" s="1397"/>
      <c r="S710" s="1398"/>
      <c r="T710" s="1396" t="s">
        <v>2335</v>
      </c>
      <c r="U710" s="1397"/>
      <c r="V710" s="1397"/>
      <c r="W710" s="1398"/>
      <c r="X710" s="1396" t="s">
        <v>2337</v>
      </c>
      <c r="Y710" s="1397"/>
      <c r="Z710" s="1397"/>
      <c r="AA710" s="1397"/>
      <c r="AB710" s="1398"/>
      <c r="AC710" s="1396" t="s">
        <v>2336</v>
      </c>
      <c r="AD710" s="1397"/>
      <c r="AE710" s="1397"/>
      <c r="AF710" s="1397"/>
      <c r="AG710" s="1398"/>
      <c r="AH710" s="1396" t="s">
        <v>2338</v>
      </c>
      <c r="AI710" s="1397"/>
      <c r="AJ710" s="1398"/>
      <c r="AK710" s="1396" t="s">
        <v>2372</v>
      </c>
      <c r="AL710" s="1397"/>
      <c r="AM710" s="1397"/>
      <c r="AN710" s="1397"/>
      <c r="AO710" s="1398"/>
      <c r="AP710" s="3"/>
      <c r="AQ710" s="3"/>
      <c r="AR710" s="3"/>
      <c r="AS710" s="3"/>
      <c r="AY710" s="116"/>
      <c r="AZ710" s="116"/>
      <c r="BA710" s="116"/>
      <c r="BB710" s="116"/>
      <c r="BC710" s="116"/>
      <c r="BD710" s="3"/>
      <c r="BE710" s="3"/>
      <c r="BF710" s="3"/>
      <c r="BG710" s="315">
        <f t="shared" si="48"/>
        <v>12</v>
      </c>
      <c r="BH710" s="318">
        <f t="shared" si="50"/>
        <v>6.8965517241379309E-2</v>
      </c>
      <c r="BI710" s="319">
        <f t="shared" si="49"/>
        <v>4.1379310344827586E-2</v>
      </c>
      <c r="BK710" s="3"/>
      <c r="BL710" s="3"/>
      <c r="BM710" s="3"/>
      <c r="BN710" s="3"/>
      <c r="BO710" s="3"/>
      <c r="BP710" s="378" t="s">
        <v>131</v>
      </c>
      <c r="BQ710" s="498">
        <v>1456</v>
      </c>
      <c r="BR710" s="499">
        <v>1560</v>
      </c>
      <c r="BS710" s="498">
        <v>1872</v>
      </c>
      <c r="BT710" s="499">
        <v>2162</v>
      </c>
      <c r="BU710" s="499">
        <v>2414</v>
      </c>
      <c r="BV710" s="500">
        <v>2662</v>
      </c>
      <c r="BW710" s="3"/>
      <c r="BX710" s="896">
        <v>752</v>
      </c>
      <c r="BY710" s="896">
        <v>860</v>
      </c>
      <c r="BZ710" s="896">
        <v>1132</v>
      </c>
      <c r="CA710" s="896">
        <v>1556</v>
      </c>
      <c r="CB710" s="89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9"/>
      <c r="C711" s="1400"/>
      <c r="D711" s="1400"/>
      <c r="E711" s="1400"/>
      <c r="F711" s="1401"/>
      <c r="G711" s="1399"/>
      <c r="H711" s="1400"/>
      <c r="I711" s="1400"/>
      <c r="J711" s="1401"/>
      <c r="K711" s="1634"/>
      <c r="L711" s="1635"/>
      <c r="M711" s="1635"/>
      <c r="N711" s="1636"/>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5">
        <f t="shared" si="48"/>
        <v>5</v>
      </c>
      <c r="BH711" s="318">
        <f t="shared" si="50"/>
        <v>2.8735632183908046E-2</v>
      </c>
      <c r="BI711" s="319">
        <f t="shared" si="49"/>
        <v>2.0114942528735632E-2</v>
      </c>
      <c r="BK711" s="3"/>
      <c r="BL711" s="3"/>
      <c r="BM711" s="3"/>
      <c r="BN711" s="3"/>
      <c r="BO711" s="3"/>
      <c r="BP711" s="378" t="s">
        <v>205</v>
      </c>
      <c r="BQ711" s="501">
        <v>2194</v>
      </c>
      <c r="BR711" s="502">
        <v>2352</v>
      </c>
      <c r="BS711" s="501">
        <v>2822</v>
      </c>
      <c r="BT711" s="502">
        <v>3260</v>
      </c>
      <c r="BU711" s="502">
        <v>3636</v>
      </c>
      <c r="BV711" s="503">
        <v>4012</v>
      </c>
      <c r="BW711" s="3"/>
      <c r="BX711" s="896">
        <v>1507</v>
      </c>
      <c r="BY711" s="896">
        <v>1792</v>
      </c>
      <c r="BZ711" s="896">
        <v>2218</v>
      </c>
      <c r="CA711" s="896">
        <v>3101</v>
      </c>
      <c r="CB711" s="89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9"/>
      <c r="C712" s="1400"/>
      <c r="D712" s="1400"/>
      <c r="E712" s="1400"/>
      <c r="F712" s="1401"/>
      <c r="G712" s="1399"/>
      <c r="H712" s="1400"/>
      <c r="I712" s="1400"/>
      <c r="J712" s="1401"/>
      <c r="K712" s="1634"/>
      <c r="L712" s="1635"/>
      <c r="M712" s="1635"/>
      <c r="N712" s="1636"/>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5">
        <f t="shared" si="48"/>
        <v>0</v>
      </c>
      <c r="BH712" s="318">
        <f t="shared" si="50"/>
        <v>0</v>
      </c>
      <c r="BI712" s="319" t="str">
        <f t="shared" si="49"/>
        <v xml:space="preserve"> </v>
      </c>
      <c r="BK712" s="3"/>
      <c r="BL712" s="3"/>
      <c r="BM712" s="3"/>
      <c r="BN712" s="3"/>
      <c r="BO712" s="3"/>
      <c r="BP712" s="378" t="s">
        <v>206</v>
      </c>
      <c r="BQ712" s="504">
        <v>1734</v>
      </c>
      <c r="BR712" s="505">
        <v>1858</v>
      </c>
      <c r="BS712" s="504">
        <v>2230</v>
      </c>
      <c r="BT712" s="505">
        <v>2576</v>
      </c>
      <c r="BU712" s="505">
        <v>2874</v>
      </c>
      <c r="BV712" s="506">
        <v>3172</v>
      </c>
      <c r="BW712" s="3"/>
      <c r="BX712" s="896">
        <v>1212</v>
      </c>
      <c r="BY712" s="896">
        <v>1280</v>
      </c>
      <c r="BZ712" s="896">
        <v>1684</v>
      </c>
      <c r="CA712" s="896">
        <v>2353</v>
      </c>
      <c r="CB712" s="89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2"/>
      <c r="C713" s="1403"/>
      <c r="D713" s="1403"/>
      <c r="E713" s="1403"/>
      <c r="F713" s="1404"/>
      <c r="G713" s="1402"/>
      <c r="H713" s="1403"/>
      <c r="I713" s="1403"/>
      <c r="J713" s="1404"/>
      <c r="K713" s="1634"/>
      <c r="L713" s="1635"/>
      <c r="M713" s="1635"/>
      <c r="N713" s="1636"/>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5">
        <f t="shared" si="48"/>
        <v>0</v>
      </c>
      <c r="BH713" s="318">
        <f t="shared" si="50"/>
        <v>0</v>
      </c>
      <c r="BI713" s="319" t="str">
        <f t="shared" si="49"/>
        <v xml:space="preserve"> </v>
      </c>
      <c r="BK713" s="3"/>
      <c r="BL713" s="3"/>
      <c r="BM713" s="3"/>
      <c r="BN713" s="3"/>
      <c r="BO713" s="3"/>
      <c r="BP713" s="378" t="s">
        <v>207</v>
      </c>
      <c r="BQ713" s="507">
        <v>1364</v>
      </c>
      <c r="BR713" s="508">
        <v>1462</v>
      </c>
      <c r="BS713" s="507">
        <v>1754</v>
      </c>
      <c r="BT713" s="508">
        <v>2026</v>
      </c>
      <c r="BU713" s="508">
        <v>2260</v>
      </c>
      <c r="BV713" s="509">
        <v>2492</v>
      </c>
      <c r="BW713" s="3"/>
      <c r="BX713" s="896">
        <v>920</v>
      </c>
      <c r="BY713" s="896">
        <v>926</v>
      </c>
      <c r="BZ713" s="896">
        <v>1173</v>
      </c>
      <c r="CA713" s="896">
        <v>1666</v>
      </c>
      <c r="CB713" s="89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6" t="s">
        <v>326</v>
      </c>
      <c r="C714" s="1387"/>
      <c r="D714" s="1387"/>
      <c r="E714" s="1387"/>
      <c r="F714" s="1388"/>
      <c r="G714" s="1573">
        <v>20</v>
      </c>
      <c r="H714" s="1574"/>
      <c r="I714" s="1574"/>
      <c r="J714" s="1575"/>
      <c r="K714" s="1570">
        <v>376</v>
      </c>
      <c r="L714" s="1571"/>
      <c r="M714" s="1571"/>
      <c r="N714" s="1572"/>
      <c r="O714" s="1567">
        <v>785</v>
      </c>
      <c r="P714" s="1568"/>
      <c r="Q714" s="1568"/>
      <c r="R714" s="1568"/>
      <c r="S714" s="1569"/>
      <c r="T714" s="1567">
        <v>100</v>
      </c>
      <c r="U714" s="1568"/>
      <c r="V714" s="1568"/>
      <c r="W714" s="1569"/>
      <c r="X714" s="1393">
        <f t="shared" ref="X714:X738" si="51">O714+T714</f>
        <v>885</v>
      </c>
      <c r="Y714" s="1394"/>
      <c r="Z714" s="1394"/>
      <c r="AA714" s="1394"/>
      <c r="AB714" s="1395"/>
      <c r="AC714" s="1405">
        <v>0.3</v>
      </c>
      <c r="AD714" s="1406"/>
      <c r="AE714" s="1406"/>
      <c r="AF714" s="1406"/>
      <c r="AG714" s="1407"/>
      <c r="AH714" s="1389">
        <f t="shared" ref="AH714:AH738" si="52">IF($AC714&gt;0,($X714/$BA656), " ")</f>
        <v>0.3</v>
      </c>
      <c r="AI714" s="1390"/>
      <c r="AJ714" s="1391"/>
      <c r="AK714" s="1386" t="s">
        <v>1104</v>
      </c>
      <c r="AL714" s="1387"/>
      <c r="AM714" s="1387"/>
      <c r="AN714" s="1387"/>
      <c r="AO714" s="1388"/>
      <c r="AP714" s="3"/>
      <c r="AQ714" s="3"/>
      <c r="AR714" s="3"/>
      <c r="AS714" s="3"/>
      <c r="AY714" s="1133"/>
      <c r="AZ714" s="1133"/>
      <c r="BA714" s="1133"/>
      <c r="BB714" s="1133"/>
      <c r="BC714" s="1133"/>
      <c r="BD714" s="3"/>
      <c r="BE714" s="3"/>
      <c r="BF714" s="3"/>
      <c r="BG714" s="894">
        <f>SUM(BG689:BG713)</f>
        <v>174</v>
      </c>
      <c r="BH714" s="321">
        <f>SUM(BH689:BH713)</f>
        <v>1</v>
      </c>
      <c r="BI714" s="321">
        <f>SUM(BI689:BI713)</f>
        <v>0.42124042145593871</v>
      </c>
      <c r="BK714" s="3"/>
      <c r="BL714" s="3"/>
      <c r="BM714" s="3"/>
      <c r="BN714" s="3"/>
      <c r="BO714" s="3"/>
      <c r="BP714" s="304"/>
      <c r="BQ714" s="208"/>
      <c r="BR714" s="313"/>
      <c r="BS714" s="313"/>
      <c r="BT714" s="313"/>
      <c r="BU714" s="313"/>
      <c r="BV714" s="313"/>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6" t="s">
        <v>326</v>
      </c>
      <c r="C715" s="1387"/>
      <c r="D715" s="1387"/>
      <c r="E715" s="1387"/>
      <c r="F715" s="1388"/>
      <c r="G715" s="1573">
        <v>10</v>
      </c>
      <c r="H715" s="1574"/>
      <c r="I715" s="1574"/>
      <c r="J715" s="1575"/>
      <c r="K715" s="1570">
        <v>376</v>
      </c>
      <c r="L715" s="1571"/>
      <c r="M715" s="1571"/>
      <c r="N715" s="1572"/>
      <c r="O715" s="1567">
        <v>785</v>
      </c>
      <c r="P715" s="1568"/>
      <c r="Q715" s="1568"/>
      <c r="R715" s="1568"/>
      <c r="S715" s="1569"/>
      <c r="T715" s="1567">
        <v>100</v>
      </c>
      <c r="U715" s="1568"/>
      <c r="V715" s="1568"/>
      <c r="W715" s="1569"/>
      <c r="X715" s="1393">
        <f t="shared" si="51"/>
        <v>885</v>
      </c>
      <c r="Y715" s="1394"/>
      <c r="Z715" s="1394"/>
      <c r="AA715" s="1394"/>
      <c r="AB715" s="1395"/>
      <c r="AC715" s="1405">
        <v>0.3</v>
      </c>
      <c r="AD715" s="1406"/>
      <c r="AE715" s="1406"/>
      <c r="AF715" s="1406"/>
      <c r="AG715" s="1407"/>
      <c r="AH715" s="1389">
        <f t="shared" si="52"/>
        <v>0.3</v>
      </c>
      <c r="AI715" s="1390"/>
      <c r="AJ715" s="1391"/>
      <c r="AK715" s="1386" t="s">
        <v>600</v>
      </c>
      <c r="AL715" s="1387"/>
      <c r="AM715" s="1387"/>
      <c r="AN715" s="1387"/>
      <c r="AO715" s="1388"/>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6" t="s">
        <v>326</v>
      </c>
      <c r="C716" s="1387"/>
      <c r="D716" s="1387"/>
      <c r="E716" s="1387"/>
      <c r="F716" s="1388"/>
      <c r="G716" s="1573">
        <v>5</v>
      </c>
      <c r="H716" s="1574"/>
      <c r="I716" s="1574"/>
      <c r="J716" s="1575"/>
      <c r="K716" s="1570">
        <v>376</v>
      </c>
      <c r="L716" s="1571"/>
      <c r="M716" s="1571"/>
      <c r="N716" s="1572"/>
      <c r="O716" s="1567">
        <v>1080</v>
      </c>
      <c r="P716" s="1568"/>
      <c r="Q716" s="1568"/>
      <c r="R716" s="1568"/>
      <c r="S716" s="1569"/>
      <c r="T716" s="1567">
        <v>100</v>
      </c>
      <c r="U716" s="1568"/>
      <c r="V716" s="1568"/>
      <c r="W716" s="1569"/>
      <c r="X716" s="1393">
        <f t="shared" si="51"/>
        <v>1180</v>
      </c>
      <c r="Y716" s="1394"/>
      <c r="Z716" s="1394"/>
      <c r="AA716" s="1394"/>
      <c r="AB716" s="1395"/>
      <c r="AC716" s="1405">
        <v>0.4</v>
      </c>
      <c r="AD716" s="1406"/>
      <c r="AE716" s="1406"/>
      <c r="AF716" s="1406"/>
      <c r="AG716" s="1407"/>
      <c r="AH716" s="1389">
        <f t="shared" si="52"/>
        <v>0.4</v>
      </c>
      <c r="AI716" s="1390"/>
      <c r="AJ716" s="1391"/>
      <c r="AK716" s="1386" t="s">
        <v>600</v>
      </c>
      <c r="AL716" s="1387"/>
      <c r="AM716" s="1387"/>
      <c r="AN716" s="1387"/>
      <c r="AO716" s="1388"/>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6" t="s">
        <v>326</v>
      </c>
      <c r="C717" s="1387"/>
      <c r="D717" s="1387"/>
      <c r="E717" s="1387"/>
      <c r="F717" s="1388"/>
      <c r="G717" s="1573">
        <v>4</v>
      </c>
      <c r="H717" s="1574"/>
      <c r="I717" s="1574"/>
      <c r="J717" s="1575"/>
      <c r="K717" s="1570">
        <v>376</v>
      </c>
      <c r="L717" s="1571"/>
      <c r="M717" s="1571"/>
      <c r="N717" s="1572"/>
      <c r="O717" s="1567">
        <v>1375</v>
      </c>
      <c r="P717" s="1568"/>
      <c r="Q717" s="1568"/>
      <c r="R717" s="1568"/>
      <c r="S717" s="1569"/>
      <c r="T717" s="1567">
        <v>100</v>
      </c>
      <c r="U717" s="1568"/>
      <c r="V717" s="1568"/>
      <c r="W717" s="1569"/>
      <c r="X717" s="1393">
        <f t="shared" si="51"/>
        <v>1475</v>
      </c>
      <c r="Y717" s="1394"/>
      <c r="Z717" s="1394"/>
      <c r="AA717" s="1394"/>
      <c r="AB717" s="1395"/>
      <c r="AC717" s="1405">
        <v>0.5</v>
      </c>
      <c r="AD717" s="1406"/>
      <c r="AE717" s="1406"/>
      <c r="AF717" s="1406"/>
      <c r="AG717" s="1407"/>
      <c r="AH717" s="1389">
        <f t="shared" si="52"/>
        <v>0.5</v>
      </c>
      <c r="AI717" s="1390"/>
      <c r="AJ717" s="1391"/>
      <c r="AK717" s="1386" t="s">
        <v>600</v>
      </c>
      <c r="AL717" s="1387"/>
      <c r="AM717" s="1387"/>
      <c r="AN717" s="1387"/>
      <c r="AO717" s="1388"/>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6" t="s">
        <v>327</v>
      </c>
      <c r="C718" s="1387"/>
      <c r="D718" s="1387"/>
      <c r="E718" s="1387"/>
      <c r="F718" s="1388"/>
      <c r="G718" s="1573">
        <v>20</v>
      </c>
      <c r="H718" s="1574"/>
      <c r="I718" s="1574"/>
      <c r="J718" s="1575"/>
      <c r="K718" s="1570">
        <v>553</v>
      </c>
      <c r="L718" s="1571"/>
      <c r="M718" s="1571"/>
      <c r="N718" s="1572"/>
      <c r="O718" s="1567">
        <v>840</v>
      </c>
      <c r="P718" s="1568"/>
      <c r="Q718" s="1568"/>
      <c r="R718" s="1568"/>
      <c r="S718" s="1569"/>
      <c r="T718" s="1567">
        <v>108</v>
      </c>
      <c r="U718" s="1568"/>
      <c r="V718" s="1568"/>
      <c r="W718" s="1569"/>
      <c r="X718" s="1393">
        <f t="shared" si="51"/>
        <v>948</v>
      </c>
      <c r="Y718" s="1394"/>
      <c r="Z718" s="1394"/>
      <c r="AA718" s="1394"/>
      <c r="AB718" s="1395"/>
      <c r="AC718" s="1405">
        <v>0.3</v>
      </c>
      <c r="AD718" s="1406"/>
      <c r="AE718" s="1406"/>
      <c r="AF718" s="1406"/>
      <c r="AG718" s="1407"/>
      <c r="AH718" s="1389">
        <f t="shared" si="52"/>
        <v>0.3</v>
      </c>
      <c r="AI718" s="1390"/>
      <c r="AJ718" s="1391"/>
      <c r="AK718" s="1386" t="s">
        <v>1104</v>
      </c>
      <c r="AL718" s="1387"/>
      <c r="AM718" s="1387"/>
      <c r="AN718" s="1387"/>
      <c r="AO718" s="1388"/>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6" t="s">
        <v>327</v>
      </c>
      <c r="C719" s="1387"/>
      <c r="D719" s="1387"/>
      <c r="E719" s="1387"/>
      <c r="F719" s="1388"/>
      <c r="G719" s="1573">
        <v>7</v>
      </c>
      <c r="H719" s="1574"/>
      <c r="I719" s="1574"/>
      <c r="J719" s="1575"/>
      <c r="K719" s="1570">
        <v>553</v>
      </c>
      <c r="L719" s="1571"/>
      <c r="M719" s="1571"/>
      <c r="N719" s="1572"/>
      <c r="O719" s="1567">
        <v>840</v>
      </c>
      <c r="P719" s="1568"/>
      <c r="Q719" s="1568"/>
      <c r="R719" s="1568"/>
      <c r="S719" s="1569"/>
      <c r="T719" s="1567">
        <v>108</v>
      </c>
      <c r="U719" s="1568"/>
      <c r="V719" s="1568"/>
      <c r="W719" s="1569"/>
      <c r="X719" s="1393">
        <f t="shared" si="51"/>
        <v>948</v>
      </c>
      <c r="Y719" s="1394"/>
      <c r="Z719" s="1394"/>
      <c r="AA719" s="1394"/>
      <c r="AB719" s="1395"/>
      <c r="AC719" s="1405">
        <v>0.3</v>
      </c>
      <c r="AD719" s="1406"/>
      <c r="AE719" s="1406"/>
      <c r="AF719" s="1406"/>
      <c r="AG719" s="1407"/>
      <c r="AH719" s="1389">
        <f t="shared" si="52"/>
        <v>0.3</v>
      </c>
      <c r="AI719" s="1390"/>
      <c r="AJ719" s="1391"/>
      <c r="AK719" s="1386" t="s">
        <v>600</v>
      </c>
      <c r="AL719" s="1387"/>
      <c r="AM719" s="1387"/>
      <c r="AN719" s="1387"/>
      <c r="AO719" s="1388"/>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6" t="s">
        <v>327</v>
      </c>
      <c r="C720" s="1387"/>
      <c r="D720" s="1387"/>
      <c r="E720" s="1387"/>
      <c r="F720" s="1388"/>
      <c r="G720" s="1573">
        <v>5</v>
      </c>
      <c r="H720" s="1574"/>
      <c r="I720" s="1574"/>
      <c r="J720" s="1575"/>
      <c r="K720" s="1570">
        <v>553</v>
      </c>
      <c r="L720" s="1571"/>
      <c r="M720" s="1571"/>
      <c r="N720" s="1572"/>
      <c r="O720" s="1567">
        <v>1156</v>
      </c>
      <c r="P720" s="1568"/>
      <c r="Q720" s="1568"/>
      <c r="R720" s="1568"/>
      <c r="S720" s="1569"/>
      <c r="T720" s="1567">
        <v>108</v>
      </c>
      <c r="U720" s="1568"/>
      <c r="V720" s="1568"/>
      <c r="W720" s="1569"/>
      <c r="X720" s="1393">
        <f t="shared" si="51"/>
        <v>1264</v>
      </c>
      <c r="Y720" s="1394"/>
      <c r="Z720" s="1394"/>
      <c r="AA720" s="1394"/>
      <c r="AB720" s="1395"/>
      <c r="AC720" s="1405">
        <v>0.4</v>
      </c>
      <c r="AD720" s="1406"/>
      <c r="AE720" s="1406"/>
      <c r="AF720" s="1406"/>
      <c r="AG720" s="1407"/>
      <c r="AH720" s="1389">
        <f t="shared" si="52"/>
        <v>0.4</v>
      </c>
      <c r="AI720" s="1390"/>
      <c r="AJ720" s="1391"/>
      <c r="AK720" s="1386" t="s">
        <v>600</v>
      </c>
      <c r="AL720" s="1387"/>
      <c r="AM720" s="1387"/>
      <c r="AN720" s="1387"/>
      <c r="AO720" s="1388"/>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6" t="s">
        <v>327</v>
      </c>
      <c r="C721" s="1387"/>
      <c r="D721" s="1387"/>
      <c r="E721" s="1387"/>
      <c r="F721" s="1388"/>
      <c r="G721" s="1573">
        <v>6</v>
      </c>
      <c r="H721" s="1574"/>
      <c r="I721" s="1574"/>
      <c r="J721" s="1575"/>
      <c r="K721" s="1570">
        <v>553</v>
      </c>
      <c r="L721" s="1571"/>
      <c r="M721" s="1571"/>
      <c r="N721" s="1572"/>
      <c r="O721" s="1567">
        <v>1472</v>
      </c>
      <c r="P721" s="1568"/>
      <c r="Q721" s="1568"/>
      <c r="R721" s="1568"/>
      <c r="S721" s="1569"/>
      <c r="T721" s="1567">
        <v>108</v>
      </c>
      <c r="U721" s="1568"/>
      <c r="V721" s="1568"/>
      <c r="W721" s="1569"/>
      <c r="X721" s="1393">
        <f t="shared" si="51"/>
        <v>1580</v>
      </c>
      <c r="Y721" s="1394"/>
      <c r="Z721" s="1394"/>
      <c r="AA721" s="1394"/>
      <c r="AB721" s="1395"/>
      <c r="AC721" s="1405">
        <v>0.5</v>
      </c>
      <c r="AD721" s="1406"/>
      <c r="AE721" s="1406"/>
      <c r="AF721" s="1406"/>
      <c r="AG721" s="1407"/>
      <c r="AH721" s="1389">
        <f t="shared" si="52"/>
        <v>0.5</v>
      </c>
      <c r="AI721" s="1390"/>
      <c r="AJ721" s="1391"/>
      <c r="AK721" s="1386" t="s">
        <v>600</v>
      </c>
      <c r="AL721" s="1387"/>
      <c r="AM721" s="1387"/>
      <c r="AN721" s="1387"/>
      <c r="AO721" s="1388"/>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6" t="s">
        <v>327</v>
      </c>
      <c r="C722" s="1387"/>
      <c r="D722" s="1387"/>
      <c r="E722" s="1387"/>
      <c r="F722" s="1388"/>
      <c r="G722" s="1573">
        <v>9</v>
      </c>
      <c r="H722" s="1574"/>
      <c r="I722" s="1574"/>
      <c r="J722" s="1575"/>
      <c r="K722" s="1570">
        <v>553</v>
      </c>
      <c r="L722" s="1571"/>
      <c r="M722" s="1571"/>
      <c r="N722" s="1572"/>
      <c r="O722" s="1567">
        <v>1788</v>
      </c>
      <c r="P722" s="1568"/>
      <c r="Q722" s="1568"/>
      <c r="R722" s="1568"/>
      <c r="S722" s="1569"/>
      <c r="T722" s="1567">
        <v>108</v>
      </c>
      <c r="U722" s="1568"/>
      <c r="V722" s="1568"/>
      <c r="W722" s="1569"/>
      <c r="X722" s="1393">
        <f t="shared" si="51"/>
        <v>1896</v>
      </c>
      <c r="Y722" s="1394"/>
      <c r="Z722" s="1394"/>
      <c r="AA722" s="1394"/>
      <c r="AB722" s="1395"/>
      <c r="AC722" s="1405">
        <v>0.6</v>
      </c>
      <c r="AD722" s="1406"/>
      <c r="AE722" s="1406"/>
      <c r="AF722" s="1406"/>
      <c r="AG722" s="1407"/>
      <c r="AH722" s="1389">
        <f t="shared" si="52"/>
        <v>0.6</v>
      </c>
      <c r="AI722" s="1390"/>
      <c r="AJ722" s="1391"/>
      <c r="AK722" s="1386" t="s">
        <v>600</v>
      </c>
      <c r="AL722" s="1387"/>
      <c r="AM722" s="1387"/>
      <c r="AN722" s="1387"/>
      <c r="AO722" s="1388"/>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6" t="s">
        <v>164</v>
      </c>
      <c r="C723" s="1387"/>
      <c r="D723" s="1387"/>
      <c r="E723" s="1387"/>
      <c r="F723" s="1388"/>
      <c r="G723" s="1573">
        <v>3</v>
      </c>
      <c r="H723" s="1574"/>
      <c r="I723" s="1574"/>
      <c r="J723" s="1575"/>
      <c r="K723" s="1570">
        <v>781</v>
      </c>
      <c r="L723" s="1571"/>
      <c r="M723" s="1571"/>
      <c r="N723" s="1572"/>
      <c r="O723" s="1567">
        <v>996</v>
      </c>
      <c r="P723" s="1568"/>
      <c r="Q723" s="1568"/>
      <c r="R723" s="1568"/>
      <c r="S723" s="1569"/>
      <c r="T723" s="1567">
        <v>141</v>
      </c>
      <c r="U723" s="1568"/>
      <c r="V723" s="1568"/>
      <c r="W723" s="1569"/>
      <c r="X723" s="1393">
        <f t="shared" si="51"/>
        <v>1137</v>
      </c>
      <c r="Y723" s="1394"/>
      <c r="Z723" s="1394"/>
      <c r="AA723" s="1394"/>
      <c r="AB723" s="1395"/>
      <c r="AC723" s="1405">
        <v>0.3</v>
      </c>
      <c r="AD723" s="1406"/>
      <c r="AE723" s="1406"/>
      <c r="AF723" s="1406"/>
      <c r="AG723" s="1407"/>
      <c r="AH723" s="1389">
        <f t="shared" si="52"/>
        <v>0.29984177215189872</v>
      </c>
      <c r="AI723" s="1390"/>
      <c r="AJ723" s="1391"/>
      <c r="AK723" s="1386" t="s">
        <v>1104</v>
      </c>
      <c r="AL723" s="1387"/>
      <c r="AM723" s="1387"/>
      <c r="AN723" s="1387"/>
      <c r="AO723" s="1388"/>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6" t="s">
        <v>164</v>
      </c>
      <c r="C724" s="1387"/>
      <c r="D724" s="1387"/>
      <c r="E724" s="1387"/>
      <c r="F724" s="1388"/>
      <c r="G724" s="1573">
        <v>12</v>
      </c>
      <c r="H724" s="1574"/>
      <c r="I724" s="1574"/>
      <c r="J724" s="1575"/>
      <c r="K724" s="1570">
        <v>781</v>
      </c>
      <c r="L724" s="1571"/>
      <c r="M724" s="1571"/>
      <c r="N724" s="1572"/>
      <c r="O724" s="1567">
        <v>996</v>
      </c>
      <c r="P724" s="1568"/>
      <c r="Q724" s="1568"/>
      <c r="R724" s="1568"/>
      <c r="S724" s="1569"/>
      <c r="T724" s="1567">
        <v>141</v>
      </c>
      <c r="U724" s="1568"/>
      <c r="V724" s="1568"/>
      <c r="W724" s="1569"/>
      <c r="X724" s="1393">
        <f t="shared" si="51"/>
        <v>1137</v>
      </c>
      <c r="Y724" s="1394"/>
      <c r="Z724" s="1394"/>
      <c r="AA724" s="1394"/>
      <c r="AB724" s="1395"/>
      <c r="AC724" s="1405">
        <v>0.3</v>
      </c>
      <c r="AD724" s="1406"/>
      <c r="AE724" s="1406"/>
      <c r="AF724" s="1406"/>
      <c r="AG724" s="1407"/>
      <c r="AH724" s="1389">
        <f t="shared" si="52"/>
        <v>0.29984177215189872</v>
      </c>
      <c r="AI724" s="1390"/>
      <c r="AJ724" s="1391"/>
      <c r="AK724" s="1386" t="s">
        <v>600</v>
      </c>
      <c r="AL724" s="1387"/>
      <c r="AM724" s="1387"/>
      <c r="AN724" s="1387"/>
      <c r="AO724" s="1388"/>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6" t="s">
        <v>164</v>
      </c>
      <c r="C725" s="1387"/>
      <c r="D725" s="1387"/>
      <c r="E725" s="1387"/>
      <c r="F725" s="1388"/>
      <c r="G725" s="1573">
        <v>3</v>
      </c>
      <c r="H725" s="1574"/>
      <c r="I725" s="1574"/>
      <c r="J725" s="1575"/>
      <c r="K725" s="1570">
        <v>781</v>
      </c>
      <c r="L725" s="1571"/>
      <c r="M725" s="1571"/>
      <c r="N725" s="1572"/>
      <c r="O725" s="1567">
        <v>1375</v>
      </c>
      <c r="P725" s="1568"/>
      <c r="Q725" s="1568"/>
      <c r="R725" s="1568"/>
      <c r="S725" s="1569"/>
      <c r="T725" s="1567">
        <v>141</v>
      </c>
      <c r="U725" s="1568"/>
      <c r="V725" s="1568"/>
      <c r="W725" s="1569"/>
      <c r="X725" s="1393">
        <f t="shared" si="51"/>
        <v>1516</v>
      </c>
      <c r="Y725" s="1394"/>
      <c r="Z725" s="1394"/>
      <c r="AA725" s="1394"/>
      <c r="AB725" s="1395"/>
      <c r="AC725" s="1405">
        <v>0.4</v>
      </c>
      <c r="AD725" s="1406"/>
      <c r="AE725" s="1406"/>
      <c r="AF725" s="1406"/>
      <c r="AG725" s="1407"/>
      <c r="AH725" s="1389">
        <f t="shared" si="52"/>
        <v>0.39978902953586498</v>
      </c>
      <c r="AI725" s="1390"/>
      <c r="AJ725" s="1391"/>
      <c r="AK725" s="1386" t="s">
        <v>600</v>
      </c>
      <c r="AL725" s="1387"/>
      <c r="AM725" s="1387"/>
      <c r="AN725" s="1387"/>
      <c r="AO725" s="1388"/>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6" t="s">
        <v>164</v>
      </c>
      <c r="C726" s="1387"/>
      <c r="D726" s="1387"/>
      <c r="E726" s="1387"/>
      <c r="F726" s="1388"/>
      <c r="G726" s="1573">
        <v>3</v>
      </c>
      <c r="H726" s="1574"/>
      <c r="I726" s="1574"/>
      <c r="J726" s="1575"/>
      <c r="K726" s="1570">
        <v>781</v>
      </c>
      <c r="L726" s="1571"/>
      <c r="M726" s="1571"/>
      <c r="N726" s="1572"/>
      <c r="O726" s="1567">
        <v>1755</v>
      </c>
      <c r="P726" s="1568"/>
      <c r="Q726" s="1568"/>
      <c r="R726" s="1568"/>
      <c r="S726" s="1569"/>
      <c r="T726" s="1567">
        <v>141</v>
      </c>
      <c r="U726" s="1568"/>
      <c r="V726" s="1568"/>
      <c r="W726" s="1569"/>
      <c r="X726" s="1393">
        <f t="shared" si="51"/>
        <v>1896</v>
      </c>
      <c r="Y726" s="1394"/>
      <c r="Z726" s="1394"/>
      <c r="AA726" s="1394"/>
      <c r="AB726" s="1395"/>
      <c r="AC726" s="1405">
        <v>0.5</v>
      </c>
      <c r="AD726" s="1406"/>
      <c r="AE726" s="1406"/>
      <c r="AF726" s="1406"/>
      <c r="AG726" s="1407"/>
      <c r="AH726" s="1389">
        <f t="shared" si="52"/>
        <v>0.5</v>
      </c>
      <c r="AI726" s="1390"/>
      <c r="AJ726" s="1391"/>
      <c r="AK726" s="1386" t="s">
        <v>600</v>
      </c>
      <c r="AL726" s="1387"/>
      <c r="AM726" s="1387"/>
      <c r="AN726" s="1387"/>
      <c r="AO726" s="1388"/>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6" t="s">
        <v>164</v>
      </c>
      <c r="C727" s="1387"/>
      <c r="D727" s="1387"/>
      <c r="E727" s="1387"/>
      <c r="F727" s="1388"/>
      <c r="G727" s="1573">
        <v>6</v>
      </c>
      <c r="H727" s="1574"/>
      <c r="I727" s="1574"/>
      <c r="J727" s="1575"/>
      <c r="K727" s="1570">
        <v>781</v>
      </c>
      <c r="L727" s="1571"/>
      <c r="M727" s="1571"/>
      <c r="N727" s="1572"/>
      <c r="O727" s="1567">
        <v>1755</v>
      </c>
      <c r="P727" s="1568"/>
      <c r="Q727" s="1568"/>
      <c r="R727" s="1568"/>
      <c r="S727" s="1569"/>
      <c r="T727" s="1567">
        <v>141</v>
      </c>
      <c r="U727" s="1568"/>
      <c r="V727" s="1568"/>
      <c r="W727" s="1569"/>
      <c r="X727" s="1393">
        <f t="shared" si="51"/>
        <v>1896</v>
      </c>
      <c r="Y727" s="1394"/>
      <c r="Z727" s="1394"/>
      <c r="AA727" s="1394"/>
      <c r="AB727" s="1395"/>
      <c r="AC727" s="1405">
        <v>0.5</v>
      </c>
      <c r="AD727" s="1406"/>
      <c r="AE727" s="1406"/>
      <c r="AF727" s="1406"/>
      <c r="AG727" s="1407"/>
      <c r="AH727" s="1389">
        <f t="shared" si="52"/>
        <v>0.5</v>
      </c>
      <c r="AI727" s="1390"/>
      <c r="AJ727" s="1391"/>
      <c r="AK727" s="1386" t="s">
        <v>600</v>
      </c>
      <c r="AL727" s="1387"/>
      <c r="AM727" s="1387"/>
      <c r="AN727" s="1387"/>
      <c r="AO727" s="1388"/>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6" t="s">
        <v>164</v>
      </c>
      <c r="C728" s="1387"/>
      <c r="D728" s="1387"/>
      <c r="E728" s="1387"/>
      <c r="F728" s="1388"/>
      <c r="G728" s="1573">
        <v>12</v>
      </c>
      <c r="H728" s="1574"/>
      <c r="I728" s="1574"/>
      <c r="J728" s="1575"/>
      <c r="K728" s="1570">
        <v>781</v>
      </c>
      <c r="L728" s="1571"/>
      <c r="M728" s="1571"/>
      <c r="N728" s="1572"/>
      <c r="O728" s="1567">
        <v>2134</v>
      </c>
      <c r="P728" s="1568"/>
      <c r="Q728" s="1568"/>
      <c r="R728" s="1568"/>
      <c r="S728" s="1569"/>
      <c r="T728" s="1567">
        <v>141</v>
      </c>
      <c r="U728" s="1568"/>
      <c r="V728" s="1568"/>
      <c r="W728" s="1569"/>
      <c r="X728" s="1393">
        <f t="shared" si="51"/>
        <v>2275</v>
      </c>
      <c r="Y728" s="1394"/>
      <c r="Z728" s="1394"/>
      <c r="AA728" s="1394"/>
      <c r="AB728" s="1395"/>
      <c r="AC728" s="1405">
        <v>0.6</v>
      </c>
      <c r="AD728" s="1406"/>
      <c r="AE728" s="1406"/>
      <c r="AF728" s="1406"/>
      <c r="AG728" s="1407"/>
      <c r="AH728" s="1389">
        <f t="shared" si="52"/>
        <v>0.59994725738396626</v>
      </c>
      <c r="AI728" s="1390"/>
      <c r="AJ728" s="1391"/>
      <c r="AK728" s="1386" t="s">
        <v>600</v>
      </c>
      <c r="AL728" s="1387"/>
      <c r="AM728" s="1387"/>
      <c r="AN728" s="1387"/>
      <c r="AO728" s="1388"/>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6" t="s">
        <v>164</v>
      </c>
      <c r="C729" s="1387"/>
      <c r="D729" s="1387"/>
      <c r="E729" s="1387"/>
      <c r="F729" s="1388"/>
      <c r="G729" s="1573">
        <v>5</v>
      </c>
      <c r="H729" s="1574"/>
      <c r="I729" s="1574"/>
      <c r="J729" s="1575"/>
      <c r="K729" s="1570">
        <v>781</v>
      </c>
      <c r="L729" s="1571"/>
      <c r="M729" s="1571"/>
      <c r="N729" s="1572"/>
      <c r="O729" s="1567">
        <v>2513</v>
      </c>
      <c r="P729" s="1568"/>
      <c r="Q729" s="1568"/>
      <c r="R729" s="1568"/>
      <c r="S729" s="1569"/>
      <c r="T729" s="1567">
        <v>141</v>
      </c>
      <c r="U729" s="1568"/>
      <c r="V729" s="1568"/>
      <c r="W729" s="1569"/>
      <c r="X729" s="1393">
        <f t="shared" si="51"/>
        <v>2654</v>
      </c>
      <c r="Y729" s="1394"/>
      <c r="Z729" s="1394"/>
      <c r="AA729" s="1394"/>
      <c r="AB729" s="1395"/>
      <c r="AC729" s="1405">
        <v>0.7</v>
      </c>
      <c r="AD729" s="1406"/>
      <c r="AE729" s="1406"/>
      <c r="AF729" s="1406"/>
      <c r="AG729" s="1407"/>
      <c r="AH729" s="1389">
        <f t="shared" si="52"/>
        <v>0.69989451476793252</v>
      </c>
      <c r="AI729" s="1390"/>
      <c r="AJ729" s="1391"/>
      <c r="AK729" s="1386" t="s">
        <v>600</v>
      </c>
      <c r="AL729" s="1387"/>
      <c r="AM729" s="1387"/>
      <c r="AN729" s="1387"/>
      <c r="AO729" s="1388"/>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6" t="s">
        <v>165</v>
      </c>
      <c r="C730" s="1387"/>
      <c r="D730" s="1387"/>
      <c r="E730" s="1387"/>
      <c r="F730" s="1388"/>
      <c r="G730" s="1573">
        <v>2</v>
      </c>
      <c r="H730" s="1574"/>
      <c r="I730" s="1574"/>
      <c r="J730" s="1575"/>
      <c r="K730" s="1570">
        <v>1081</v>
      </c>
      <c r="L730" s="1571"/>
      <c r="M730" s="1571"/>
      <c r="N730" s="1572"/>
      <c r="O730" s="1567">
        <v>1141</v>
      </c>
      <c r="P730" s="1568"/>
      <c r="Q730" s="1568"/>
      <c r="R730" s="1568"/>
      <c r="S730" s="1569"/>
      <c r="T730" s="1567">
        <v>173</v>
      </c>
      <c r="U730" s="1568"/>
      <c r="V730" s="1568"/>
      <c r="W730" s="1569"/>
      <c r="X730" s="1393">
        <f t="shared" si="51"/>
        <v>1314</v>
      </c>
      <c r="Y730" s="1394"/>
      <c r="Z730" s="1394"/>
      <c r="AA730" s="1394"/>
      <c r="AB730" s="1395"/>
      <c r="AC730" s="1405">
        <v>0.3</v>
      </c>
      <c r="AD730" s="1406"/>
      <c r="AE730" s="1406"/>
      <c r="AF730" s="1406"/>
      <c r="AG730" s="1407"/>
      <c r="AH730" s="1389">
        <f t="shared" si="52"/>
        <v>0.3</v>
      </c>
      <c r="AI730" s="1390"/>
      <c r="AJ730" s="1391"/>
      <c r="AK730" s="1386" t="s">
        <v>1104</v>
      </c>
      <c r="AL730" s="1387"/>
      <c r="AM730" s="1387"/>
      <c r="AN730" s="1387"/>
      <c r="AO730" s="1388"/>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6" t="s">
        <v>165</v>
      </c>
      <c r="C731" s="1387"/>
      <c r="D731" s="1387"/>
      <c r="E731" s="1387"/>
      <c r="F731" s="1388"/>
      <c r="G731" s="1573">
        <v>13</v>
      </c>
      <c r="H731" s="1574"/>
      <c r="I731" s="1574"/>
      <c r="J731" s="1575"/>
      <c r="K731" s="1570">
        <v>1081</v>
      </c>
      <c r="L731" s="1571"/>
      <c r="M731" s="1571"/>
      <c r="N731" s="1572"/>
      <c r="O731" s="1567">
        <v>1141</v>
      </c>
      <c r="P731" s="1568"/>
      <c r="Q731" s="1568"/>
      <c r="R731" s="1568"/>
      <c r="S731" s="1569"/>
      <c r="T731" s="1567">
        <v>173</v>
      </c>
      <c r="U731" s="1568"/>
      <c r="V731" s="1568"/>
      <c r="W731" s="1569"/>
      <c r="X731" s="1393">
        <f t="shared" si="51"/>
        <v>1314</v>
      </c>
      <c r="Y731" s="1394"/>
      <c r="Z731" s="1394"/>
      <c r="AA731" s="1394"/>
      <c r="AB731" s="1395"/>
      <c r="AC731" s="1405">
        <v>0.3</v>
      </c>
      <c r="AD731" s="1406"/>
      <c r="AE731" s="1406"/>
      <c r="AF731" s="1406"/>
      <c r="AG731" s="1407"/>
      <c r="AH731" s="1389">
        <f t="shared" si="52"/>
        <v>0.3</v>
      </c>
      <c r="AI731" s="1390"/>
      <c r="AJ731" s="1391"/>
      <c r="AK731" s="1386" t="s">
        <v>600</v>
      </c>
      <c r="AL731" s="1387"/>
      <c r="AM731" s="1387"/>
      <c r="AN731" s="1387"/>
      <c r="AO731" s="1388"/>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6" t="s">
        <v>165</v>
      </c>
      <c r="C732" s="1387"/>
      <c r="D732" s="1387"/>
      <c r="E732" s="1387"/>
      <c r="F732" s="1388"/>
      <c r="G732" s="1573">
        <v>3</v>
      </c>
      <c r="H732" s="1574"/>
      <c r="I732" s="1574"/>
      <c r="J732" s="1575"/>
      <c r="K732" s="1570">
        <v>1081</v>
      </c>
      <c r="L732" s="1571"/>
      <c r="M732" s="1571"/>
      <c r="N732" s="1572"/>
      <c r="O732" s="1567">
        <v>1579</v>
      </c>
      <c r="P732" s="1568"/>
      <c r="Q732" s="1568"/>
      <c r="R732" s="1568"/>
      <c r="S732" s="1569"/>
      <c r="T732" s="1567">
        <v>173</v>
      </c>
      <c r="U732" s="1568"/>
      <c r="V732" s="1568"/>
      <c r="W732" s="1569"/>
      <c r="X732" s="1393">
        <f t="shared" si="51"/>
        <v>1752</v>
      </c>
      <c r="Y732" s="1394"/>
      <c r="Z732" s="1394"/>
      <c r="AA732" s="1394"/>
      <c r="AB732" s="1395"/>
      <c r="AC732" s="1405">
        <v>0.4</v>
      </c>
      <c r="AD732" s="1406"/>
      <c r="AE732" s="1406"/>
      <c r="AF732" s="1406"/>
      <c r="AG732" s="1407"/>
      <c r="AH732" s="1389">
        <f t="shared" si="52"/>
        <v>0.4</v>
      </c>
      <c r="AI732" s="1390"/>
      <c r="AJ732" s="1391"/>
      <c r="AK732" s="1386" t="s">
        <v>600</v>
      </c>
      <c r="AL732" s="1387"/>
      <c r="AM732" s="1387"/>
      <c r="AN732" s="1387"/>
      <c r="AO732" s="1388"/>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6" t="s">
        <v>165</v>
      </c>
      <c r="C733" s="1387"/>
      <c r="D733" s="1387"/>
      <c r="E733" s="1387"/>
      <c r="F733" s="1388"/>
      <c r="G733" s="1573">
        <v>2</v>
      </c>
      <c r="H733" s="1574"/>
      <c r="I733" s="1574"/>
      <c r="J733" s="1575"/>
      <c r="K733" s="1570">
        <v>1081</v>
      </c>
      <c r="L733" s="1571"/>
      <c r="M733" s="1571"/>
      <c r="N733" s="1572"/>
      <c r="O733" s="1567">
        <v>2017</v>
      </c>
      <c r="P733" s="1568"/>
      <c r="Q733" s="1568"/>
      <c r="R733" s="1568"/>
      <c r="S733" s="1569"/>
      <c r="T733" s="1567">
        <v>173</v>
      </c>
      <c r="U733" s="1568"/>
      <c r="V733" s="1568"/>
      <c r="W733" s="1569"/>
      <c r="X733" s="1393">
        <f t="shared" si="51"/>
        <v>2190</v>
      </c>
      <c r="Y733" s="1394"/>
      <c r="Z733" s="1394"/>
      <c r="AA733" s="1394"/>
      <c r="AB733" s="1395"/>
      <c r="AC733" s="1405">
        <v>0.5</v>
      </c>
      <c r="AD733" s="1406"/>
      <c r="AE733" s="1406"/>
      <c r="AF733" s="1406"/>
      <c r="AG733" s="1407"/>
      <c r="AH733" s="1389">
        <f t="shared" si="52"/>
        <v>0.5</v>
      </c>
      <c r="AI733" s="1390"/>
      <c r="AJ733" s="1391"/>
      <c r="AK733" s="1386" t="s">
        <v>600</v>
      </c>
      <c r="AL733" s="1387"/>
      <c r="AM733" s="1387"/>
      <c r="AN733" s="1387"/>
      <c r="AO733" s="1388"/>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6" t="s">
        <v>165</v>
      </c>
      <c r="C734" s="1387"/>
      <c r="D734" s="1387"/>
      <c r="E734" s="1387"/>
      <c r="F734" s="1388"/>
      <c r="G734" s="1573">
        <v>7</v>
      </c>
      <c r="H734" s="1574"/>
      <c r="I734" s="1574"/>
      <c r="J734" s="1575"/>
      <c r="K734" s="1570">
        <v>1081</v>
      </c>
      <c r="L734" s="1571"/>
      <c r="M734" s="1571"/>
      <c r="N734" s="1572"/>
      <c r="O734" s="1567">
        <v>2017</v>
      </c>
      <c r="P734" s="1568"/>
      <c r="Q734" s="1568"/>
      <c r="R734" s="1568"/>
      <c r="S734" s="1569"/>
      <c r="T734" s="1567">
        <v>173</v>
      </c>
      <c r="U734" s="1568"/>
      <c r="V734" s="1568"/>
      <c r="W734" s="1569"/>
      <c r="X734" s="1393">
        <f t="shared" si="51"/>
        <v>2190</v>
      </c>
      <c r="Y734" s="1394"/>
      <c r="Z734" s="1394"/>
      <c r="AA734" s="1394"/>
      <c r="AB734" s="1395"/>
      <c r="AC734" s="1405">
        <v>0.5</v>
      </c>
      <c r="AD734" s="1406"/>
      <c r="AE734" s="1406"/>
      <c r="AF734" s="1406"/>
      <c r="AG734" s="1407"/>
      <c r="AH734" s="1389">
        <f t="shared" si="52"/>
        <v>0.5</v>
      </c>
      <c r="AI734" s="1390"/>
      <c r="AJ734" s="1391"/>
      <c r="AK734" s="1386" t="s">
        <v>600</v>
      </c>
      <c r="AL734" s="1387"/>
      <c r="AM734" s="1387"/>
      <c r="AN734" s="1387"/>
      <c r="AO734" s="1388"/>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6" t="s">
        <v>165</v>
      </c>
      <c r="C735" s="1387"/>
      <c r="D735" s="1387"/>
      <c r="E735" s="1387"/>
      <c r="F735" s="1388"/>
      <c r="G735" s="1573">
        <v>12</v>
      </c>
      <c r="H735" s="1574"/>
      <c r="I735" s="1574"/>
      <c r="J735" s="1575"/>
      <c r="K735" s="1570">
        <v>1081</v>
      </c>
      <c r="L735" s="1571"/>
      <c r="M735" s="1571"/>
      <c r="N735" s="1572"/>
      <c r="O735" s="1567">
        <v>2455</v>
      </c>
      <c r="P735" s="1568"/>
      <c r="Q735" s="1568"/>
      <c r="R735" s="1568"/>
      <c r="S735" s="1569"/>
      <c r="T735" s="1567">
        <v>173</v>
      </c>
      <c r="U735" s="1568"/>
      <c r="V735" s="1568"/>
      <c r="W735" s="1569"/>
      <c r="X735" s="1393">
        <f t="shared" si="51"/>
        <v>2628</v>
      </c>
      <c r="Y735" s="1394"/>
      <c r="Z735" s="1394"/>
      <c r="AA735" s="1394"/>
      <c r="AB735" s="1395"/>
      <c r="AC735" s="1405">
        <v>0.6</v>
      </c>
      <c r="AD735" s="1406"/>
      <c r="AE735" s="1406"/>
      <c r="AF735" s="1406"/>
      <c r="AG735" s="1407"/>
      <c r="AH735" s="1389">
        <f t="shared" si="52"/>
        <v>0.6</v>
      </c>
      <c r="AI735" s="1390"/>
      <c r="AJ735" s="1391"/>
      <c r="AK735" s="1386" t="s">
        <v>600</v>
      </c>
      <c r="AL735" s="1387"/>
      <c r="AM735" s="1387"/>
      <c r="AN735" s="1387"/>
      <c r="AO735" s="1388"/>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6" t="s">
        <v>165</v>
      </c>
      <c r="C736" s="1387"/>
      <c r="D736" s="1387"/>
      <c r="E736" s="1387"/>
      <c r="F736" s="1388"/>
      <c r="G736" s="1573">
        <v>5</v>
      </c>
      <c r="H736" s="1574"/>
      <c r="I736" s="1574"/>
      <c r="J736" s="1575"/>
      <c r="K736" s="1570">
        <v>1081</v>
      </c>
      <c r="L736" s="1571"/>
      <c r="M736" s="1571"/>
      <c r="N736" s="1572"/>
      <c r="O736" s="1567">
        <v>2893</v>
      </c>
      <c r="P736" s="1568"/>
      <c r="Q736" s="1568"/>
      <c r="R736" s="1568"/>
      <c r="S736" s="1569"/>
      <c r="T736" s="1567">
        <v>173</v>
      </c>
      <c r="U736" s="1568"/>
      <c r="V736" s="1568"/>
      <c r="W736" s="1569"/>
      <c r="X736" s="1393">
        <f t="shared" si="51"/>
        <v>3066</v>
      </c>
      <c r="Y736" s="1394"/>
      <c r="Z736" s="1394"/>
      <c r="AA736" s="1394"/>
      <c r="AB736" s="1395"/>
      <c r="AC736" s="1405">
        <v>0.7</v>
      </c>
      <c r="AD736" s="1406"/>
      <c r="AE736" s="1406"/>
      <c r="AF736" s="1406"/>
      <c r="AG736" s="1407"/>
      <c r="AH736" s="1389">
        <f t="shared" si="52"/>
        <v>0.7</v>
      </c>
      <c r="AI736" s="1390"/>
      <c r="AJ736" s="1391"/>
      <c r="AK736" s="1386" t="s">
        <v>600</v>
      </c>
      <c r="AL736" s="1387"/>
      <c r="AM736" s="1387"/>
      <c r="AN736" s="1387"/>
      <c r="AO736" s="1388"/>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3">
        <f t="shared" si="51"/>
        <v>0</v>
      </c>
      <c r="Y737" s="1394"/>
      <c r="Z737" s="1394"/>
      <c r="AA737" s="1394"/>
      <c r="AB737" s="1395"/>
      <c r="AC737" s="1405">
        <v>0</v>
      </c>
      <c r="AD737" s="1406"/>
      <c r="AE737" s="1406"/>
      <c r="AF737" s="1406"/>
      <c r="AG737" s="1407"/>
      <c r="AH737" s="1389" t="str">
        <f t="shared" si="52"/>
        <v xml:space="preserve"> </v>
      </c>
      <c r="AI737" s="1390"/>
      <c r="AJ737" s="1391"/>
      <c r="AK737" s="1386" t="s">
        <v>600</v>
      </c>
      <c r="AL737" s="1387"/>
      <c r="AM737" s="1387"/>
      <c r="AN737" s="1387"/>
      <c r="AO737" s="1388"/>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3">
        <f t="shared" si="51"/>
        <v>0</v>
      </c>
      <c r="Y738" s="1394"/>
      <c r="Z738" s="1394"/>
      <c r="AA738" s="1394"/>
      <c r="AB738" s="1395"/>
      <c r="AC738" s="1405">
        <v>0</v>
      </c>
      <c r="AD738" s="1406"/>
      <c r="AE738" s="1406"/>
      <c r="AF738" s="1406"/>
      <c r="AG738" s="1407"/>
      <c r="AH738" s="1389" t="str">
        <f t="shared" si="52"/>
        <v xml:space="preserve"> </v>
      </c>
      <c r="AI738" s="1390"/>
      <c r="AJ738" s="1391"/>
      <c r="AK738" s="1386" t="s">
        <v>600</v>
      </c>
      <c r="AL738" s="1387"/>
      <c r="AM738" s="1387"/>
      <c r="AN738" s="1387"/>
      <c r="AO738" s="1388"/>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80" t="s">
        <v>126</v>
      </c>
      <c r="C739" s="1581"/>
      <c r="D739" s="1581"/>
      <c r="E739" s="1581"/>
      <c r="F739" s="1582"/>
      <c r="G739" s="1577">
        <f>SUM(G714:J738)</f>
        <v>174</v>
      </c>
      <c r="H739" s="1578"/>
      <c r="I739" s="1578"/>
      <c r="J739" s="1579"/>
      <c r="K739" s="938" t="s">
        <v>125</v>
      </c>
      <c r="L739" s="5"/>
      <c r="M739" s="5"/>
      <c r="N739" s="46"/>
      <c r="O739" s="1393">
        <f>SUMPRODUCT(G714:G738,O714:O738)</f>
        <v>244797</v>
      </c>
      <c r="P739" s="1394"/>
      <c r="Q739" s="1394"/>
      <c r="R739" s="1394"/>
      <c r="S739" s="1395"/>
      <c r="X739" s="940" t="s">
        <v>933</v>
      </c>
      <c r="Y739" s="939"/>
      <c r="Z739" s="939"/>
      <c r="AA739" s="939"/>
      <c r="AB739" s="941"/>
      <c r="AC739" s="1583">
        <f>BI682</f>
        <v>0.42126436781609206</v>
      </c>
      <c r="AD739" s="1584"/>
      <c r="AE739" s="1584"/>
      <c r="AF739" s="1584"/>
      <c r="AG739" s="1585"/>
      <c r="AH739" s="1583">
        <f>BI714</f>
        <v>0.42124042145593871</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16" t="s">
        <v>2257</v>
      </c>
      <c r="C740" s="1816"/>
      <c r="D740" s="1816"/>
      <c r="E740" s="1816"/>
      <c r="F740" s="1816"/>
      <c r="G740" s="1816"/>
      <c r="H740" s="1816"/>
      <c r="I740" s="1816"/>
      <c r="J740" s="1816"/>
      <c r="K740" s="1816"/>
      <c r="L740" s="1816"/>
      <c r="M740" s="1816"/>
      <c r="N740" s="1816"/>
      <c r="O740" s="1816"/>
      <c r="P740" s="1816"/>
      <c r="Q740" s="1816"/>
      <c r="R740" s="1816"/>
      <c r="S740" s="1816"/>
      <c r="T740" s="1816"/>
      <c r="U740" s="1816"/>
      <c r="V740" s="1816"/>
      <c r="W740" s="1816"/>
      <c r="X740" s="1816"/>
      <c r="Y740" s="1816"/>
      <c r="Z740" s="1816"/>
      <c r="AA740" s="1816"/>
      <c r="AB740" s="1816"/>
      <c r="AC740" s="1816"/>
      <c r="AD740" s="1816"/>
      <c r="AE740" s="1816"/>
      <c r="AF740" s="1816"/>
      <c r="AG740" s="1816"/>
      <c r="AH740" s="181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16"/>
      <c r="C741" s="1816"/>
      <c r="D741" s="1816"/>
      <c r="E741" s="1816"/>
      <c r="F741" s="1816"/>
      <c r="G741" s="1816"/>
      <c r="H741" s="1816"/>
      <c r="I741" s="1816"/>
      <c r="J741" s="1816"/>
      <c r="K741" s="1816"/>
      <c r="L741" s="1816"/>
      <c r="M741" s="1816"/>
      <c r="N741" s="1816"/>
      <c r="O741" s="1816"/>
      <c r="P741" s="1816"/>
      <c r="Q741" s="1816"/>
      <c r="R741" s="1816"/>
      <c r="S741" s="1816"/>
      <c r="T741" s="1816"/>
      <c r="U741" s="1816"/>
      <c r="V741" s="1816"/>
      <c r="W741" s="1816"/>
      <c r="X741" s="1816"/>
      <c r="Y741" s="1816"/>
      <c r="Z741" s="1816"/>
      <c r="AA741" s="1816"/>
      <c r="AB741" s="1816"/>
      <c r="AC741" s="1816"/>
      <c r="AD741" s="1816"/>
      <c r="AE741" s="1816"/>
      <c r="AF741" s="1816"/>
      <c r="AG741" s="1816"/>
      <c r="AH741" s="181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2255</v>
      </c>
      <c r="D742" s="1075"/>
      <c r="E742" s="1075"/>
      <c r="F742" s="1075"/>
      <c r="G742" s="1076"/>
      <c r="H742" s="1076"/>
      <c r="I742" s="1076"/>
      <c r="J742" s="1076"/>
      <c r="K742" s="1075"/>
      <c r="L742" s="1075"/>
      <c r="M742" s="1075"/>
      <c r="N742" s="1075"/>
      <c r="O742" s="1423">
        <f>CS623</f>
        <v>306</v>
      </c>
      <c r="P742" s="1423"/>
      <c r="Q742" s="1423"/>
      <c r="R742" s="1423"/>
      <c r="S742" s="1005"/>
      <c r="T742" s="1005"/>
      <c r="U742" s="118" t="s">
        <v>2256</v>
      </c>
      <c r="V742" s="1075"/>
      <c r="W742" s="1075"/>
      <c r="X742" s="1075"/>
      <c r="Y742" s="1076"/>
      <c r="Z742" s="1076"/>
      <c r="AA742" s="1076"/>
      <c r="AB742" s="1076"/>
      <c r="AC742" s="1075"/>
      <c r="AD742" s="1075"/>
      <c r="AE742" s="1075"/>
      <c r="AF742" s="1075"/>
      <c r="AG742" s="1689"/>
      <c r="AH742" s="1689"/>
      <c r="AI742" s="1689"/>
      <c r="AJ742" s="1689"/>
      <c r="AT742"/>
      <c r="AU742"/>
      <c r="AV742"/>
      <c r="AW742"/>
      <c r="AX742"/>
      <c r="AY742"/>
    </row>
    <row r="743" spans="1:16383" ht="12.9" customHeight="1">
      <c r="B743" s="57"/>
      <c r="E743" s="56"/>
      <c r="F743" s="56"/>
      <c r="G743" s="340"/>
      <c r="H743" s="340"/>
      <c r="I743" s="340"/>
      <c r="J743" s="340"/>
      <c r="K743" s="56"/>
      <c r="L743" s="56"/>
      <c r="M743" s="56"/>
      <c r="N743" s="56"/>
      <c r="O743" s="56"/>
      <c r="P743" s="185"/>
      <c r="Q743" s="185"/>
      <c r="R743" s="185"/>
      <c r="S743" s="185"/>
      <c r="T743" s="185"/>
      <c r="Y743" s="311"/>
      <c r="Z743" s="311"/>
      <c r="AA743" s="311"/>
      <c r="AB743" s="311"/>
      <c r="AH743" s="311"/>
      <c r="AI743" s="311"/>
      <c r="AJ743" s="311"/>
      <c r="AK743" s="311"/>
      <c r="AL743" s="311"/>
      <c r="AP743" s="311"/>
      <c r="AQ743" s="311"/>
      <c r="AR743" s="311"/>
      <c r="AS743" s="311"/>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2254</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750" t="s">
        <v>600</v>
      </c>
      <c r="AE744" s="1750"/>
      <c r="AF744" s="1750"/>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8" t="s">
        <v>2511</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1"/>
      <c r="BC745" s="311"/>
      <c r="BD745" s="311"/>
      <c r="BE745" s="311"/>
      <c r="BF745" s="311"/>
      <c r="BG745" s="311"/>
      <c r="BH745" s="311"/>
      <c r="BI745" s="311"/>
      <c r="BJ745" s="311"/>
      <c r="BK745" s="311"/>
      <c r="BL745" s="311"/>
      <c r="BM745" s="311"/>
      <c r="BN745" s="311"/>
      <c r="BO745" s="311"/>
      <c r="BP745" s="311"/>
      <c r="BQ745" s="311"/>
      <c r="BR745" s="311"/>
      <c r="BS745" s="311"/>
      <c r="BT745" s="311"/>
      <c r="BU745" s="311"/>
      <c r="BV745" s="311"/>
      <c r="BW745" s="311"/>
      <c r="BX745" s="311"/>
      <c r="BY745" s="311"/>
      <c r="BZ745" s="311"/>
      <c r="CA745" s="311"/>
      <c r="CB745" s="311"/>
      <c r="CC745" s="311"/>
      <c r="CE745" s="3"/>
      <c r="CF745" s="311"/>
      <c r="CG745" s="311"/>
      <c r="CH745" s="311"/>
      <c r="CI745" s="311"/>
      <c r="CJ745" s="311"/>
      <c r="CK745" s="311"/>
      <c r="CL745" s="311"/>
      <c r="CM745" s="311"/>
      <c r="CN745" s="311"/>
      <c r="CO745" s="311"/>
      <c r="CP745" s="311"/>
      <c r="CQ745" s="311"/>
      <c r="CR745" s="311"/>
      <c r="CS745" s="311"/>
      <c r="CT745" s="311"/>
      <c r="CU745" s="311"/>
      <c r="CV745" s="311"/>
      <c r="CW745" s="311"/>
      <c r="CX745" s="311"/>
      <c r="CY745" s="311"/>
      <c r="CZ745" s="311"/>
      <c r="DA745" s="311"/>
      <c r="DB745" s="311"/>
      <c r="DC745" s="311"/>
      <c r="DD745" s="311"/>
      <c r="DE745" s="311"/>
      <c r="DF745" s="311"/>
      <c r="DG745" s="311"/>
      <c r="DH745" s="311"/>
      <c r="DI745" s="311"/>
      <c r="DJ745" s="311"/>
      <c r="DK745" s="311"/>
      <c r="DL745" s="311"/>
      <c r="DM745" s="311"/>
      <c r="DN745" s="311"/>
      <c r="DO745" s="311"/>
      <c r="DP745" s="311"/>
      <c r="DQ745" s="311"/>
      <c r="DR745" s="311"/>
      <c r="DS745" s="311"/>
      <c r="DT745" s="311"/>
      <c r="DU745" s="311"/>
      <c r="DV745" s="311"/>
      <c r="DW745" s="311"/>
      <c r="DX745" s="311"/>
      <c r="DY745" s="311"/>
      <c r="DZ745" s="311"/>
      <c r="EA745" s="311"/>
      <c r="EB745" s="311"/>
      <c r="EC745" s="311"/>
      <c r="ED745" s="311"/>
      <c r="EE745" s="311"/>
      <c r="EF745" s="311"/>
      <c r="EG745" s="311"/>
      <c r="EH745" s="311"/>
      <c r="EI745" s="311"/>
      <c r="EJ745" s="311"/>
      <c r="EK745" s="311"/>
      <c r="EL745" s="311"/>
      <c r="EM745" s="311"/>
      <c r="EN745" s="311"/>
      <c r="EO745" s="311"/>
      <c r="EP745" s="311"/>
      <c r="EQ745" s="311"/>
      <c r="ER745" s="311"/>
      <c r="ES745" s="311"/>
      <c r="ET745" s="311"/>
      <c r="EU745" s="311"/>
      <c r="EV745" s="311"/>
      <c r="EW745" s="311"/>
      <c r="EX745" s="311"/>
      <c r="EY745" s="311"/>
      <c r="EZ745" s="311"/>
      <c r="FA745" s="311"/>
      <c r="FB745" s="311"/>
      <c r="FC745" s="311"/>
      <c r="FD745" s="311"/>
      <c r="FE745" s="311"/>
      <c r="FF745" s="311"/>
      <c r="FG745" s="311"/>
      <c r="FH745" s="311"/>
      <c r="FI745" s="311"/>
      <c r="FJ745" s="311"/>
      <c r="FK745" s="311"/>
      <c r="FL745" s="311"/>
      <c r="FM745" s="311"/>
      <c r="FN745" s="311"/>
      <c r="FO745" s="311"/>
      <c r="FP745" s="311"/>
      <c r="FQ745" s="311"/>
      <c r="FR745" s="311"/>
      <c r="FS745" s="311"/>
      <c r="FT745" s="311"/>
      <c r="FU745" s="311"/>
      <c r="FV745" s="311"/>
      <c r="FW745" s="311"/>
      <c r="FX745" s="311"/>
      <c r="FY745" s="311"/>
      <c r="FZ745" s="311"/>
      <c r="GA745" s="311"/>
      <c r="GB745" s="311"/>
      <c r="GC745" s="311"/>
      <c r="GD745" s="311"/>
      <c r="GE745" s="311"/>
      <c r="GF745" s="311"/>
      <c r="GG745" s="311"/>
      <c r="GH745" s="311"/>
      <c r="GI745" s="311"/>
      <c r="GJ745" s="311"/>
      <c r="GK745" s="311"/>
      <c r="GL745" s="311"/>
      <c r="GM745" s="311"/>
      <c r="GN745" s="311"/>
      <c r="GO745" s="311"/>
      <c r="GP745" s="311"/>
      <c r="GQ745" s="311"/>
      <c r="GR745" s="311"/>
      <c r="GS745" s="311"/>
      <c r="GT745" s="311"/>
      <c r="GU745" s="311"/>
      <c r="GV745" s="311"/>
      <c r="GW745" s="311"/>
      <c r="GX745" s="311"/>
      <c r="GY745" s="311"/>
      <c r="GZ745" s="311"/>
      <c r="HA745" s="311"/>
      <c r="HB745" s="311"/>
      <c r="HC745" s="311"/>
      <c r="HD745" s="311"/>
      <c r="HE745" s="311"/>
      <c r="HF745" s="311"/>
      <c r="HG745" s="311"/>
      <c r="HH745" s="311"/>
      <c r="HI745" s="311"/>
      <c r="HJ745" s="311"/>
      <c r="HK745" s="311"/>
      <c r="HL745" s="311"/>
      <c r="HM745" s="311"/>
      <c r="HN745" s="311"/>
      <c r="HO745" s="311"/>
      <c r="HP745" s="311"/>
      <c r="HQ745" s="311"/>
      <c r="HR745" s="311"/>
      <c r="HS745" s="311"/>
      <c r="HT745" s="311"/>
      <c r="HU745" s="311"/>
      <c r="HV745" s="311"/>
      <c r="HW745" s="311"/>
      <c r="HX745" s="311"/>
      <c r="HY745" s="311"/>
      <c r="HZ745" s="311"/>
      <c r="IA745" s="311"/>
      <c r="IB745" s="311"/>
      <c r="IC745" s="311"/>
      <c r="ID745" s="311"/>
      <c r="IE745" s="311"/>
      <c r="IF745" s="311"/>
      <c r="IG745" s="311"/>
      <c r="IH745" s="311"/>
      <c r="II745" s="311"/>
      <c r="IJ745" s="311"/>
      <c r="IK745" s="311"/>
      <c r="IL745" s="311"/>
      <c r="IM745" s="311"/>
      <c r="IN745" s="311"/>
      <c r="IO745" s="311"/>
      <c r="IP745" s="311"/>
      <c r="IQ745" s="311"/>
      <c r="IR745" s="311"/>
      <c r="IS745" s="311"/>
      <c r="IT745" s="311"/>
      <c r="IU745" s="311"/>
      <c r="IV745" s="311"/>
      <c r="IW745" s="311"/>
      <c r="IX745" s="311"/>
      <c r="IY745" s="311"/>
      <c r="IZ745" s="311"/>
      <c r="JA745" s="311"/>
      <c r="JB745" s="311"/>
      <c r="JC745" s="311"/>
      <c r="JD745" s="311"/>
      <c r="JE745" s="311"/>
      <c r="JF745" s="311"/>
      <c r="JG745" s="311"/>
      <c r="JH745" s="311"/>
      <c r="JI745" s="311"/>
      <c r="JJ745" s="311"/>
      <c r="JK745" s="311"/>
      <c r="JL745" s="311"/>
      <c r="JM745" s="311"/>
      <c r="JN745" s="311"/>
      <c r="JO745" s="311"/>
      <c r="JP745" s="311"/>
      <c r="JQ745" s="311"/>
      <c r="JR745" s="311"/>
      <c r="JS745" s="311"/>
      <c r="JT745" s="311"/>
      <c r="JU745" s="311"/>
      <c r="JV745" s="311"/>
      <c r="JW745" s="311"/>
      <c r="JX745" s="311"/>
      <c r="JY745" s="311"/>
      <c r="JZ745" s="311"/>
      <c r="KA745" s="311"/>
      <c r="KB745" s="311"/>
      <c r="KC745" s="311"/>
      <c r="KD745" s="311"/>
      <c r="KE745" s="311"/>
      <c r="KF745" s="311"/>
      <c r="KG745" s="311"/>
      <c r="KH745" s="311"/>
      <c r="KI745" s="311"/>
      <c r="KJ745" s="311"/>
      <c r="KK745" s="311"/>
      <c r="KL745" s="311"/>
      <c r="KM745" s="311"/>
      <c r="KN745" s="311"/>
      <c r="KO745" s="311"/>
      <c r="KP745" s="311"/>
      <c r="KQ745" s="311"/>
      <c r="KR745" s="311"/>
      <c r="KS745" s="311"/>
      <c r="KT745" s="311"/>
      <c r="KU745" s="311"/>
      <c r="KV745" s="311"/>
      <c r="KW745" s="311"/>
      <c r="KX745" s="311"/>
      <c r="KY745" s="311"/>
      <c r="KZ745" s="311"/>
      <c r="LA745" s="311"/>
      <c r="LB745" s="311"/>
      <c r="LC745" s="311"/>
      <c r="LD745" s="311"/>
      <c r="LE745" s="311"/>
      <c r="LF745" s="311"/>
      <c r="LG745" s="311"/>
      <c r="LH745" s="311"/>
      <c r="LI745" s="311"/>
      <c r="LJ745" s="311"/>
      <c r="LK745" s="311"/>
      <c r="LL745" s="311"/>
      <c r="LM745" s="311"/>
      <c r="LN745" s="311"/>
      <c r="LO745" s="311"/>
      <c r="LP745" s="311"/>
      <c r="LQ745" s="311"/>
      <c r="LR745" s="311"/>
      <c r="LS745" s="311"/>
      <c r="LT745" s="311"/>
      <c r="LU745" s="311"/>
      <c r="LV745" s="311"/>
      <c r="LW745" s="311"/>
      <c r="LX745" s="311"/>
      <c r="LY745" s="311"/>
      <c r="LZ745" s="311"/>
      <c r="MA745" s="311"/>
      <c r="MB745" s="311"/>
      <c r="MC745" s="311"/>
      <c r="MD745" s="311"/>
      <c r="ME745" s="311"/>
      <c r="MF745" s="311"/>
      <c r="MG745" s="311"/>
      <c r="MH745" s="311"/>
      <c r="MI745" s="311"/>
      <c r="MJ745" s="311"/>
      <c r="MK745" s="311"/>
      <c r="ML745" s="311"/>
      <c r="MM745" s="311"/>
      <c r="MN745" s="311"/>
      <c r="MO745" s="311"/>
      <c r="MP745" s="311"/>
      <c r="MQ745" s="311"/>
      <c r="MR745" s="311"/>
      <c r="MS745" s="311"/>
      <c r="MT745" s="311"/>
      <c r="MU745" s="311"/>
      <c r="MV745" s="311"/>
      <c r="MW745" s="311"/>
      <c r="MX745" s="311"/>
      <c r="MY745" s="311"/>
      <c r="MZ745" s="311"/>
      <c r="NA745" s="311"/>
      <c r="NB745" s="311"/>
      <c r="NC745" s="311"/>
      <c r="ND745" s="311"/>
      <c r="NE745" s="311"/>
      <c r="NF745" s="311"/>
      <c r="NG745" s="311"/>
      <c r="NH745" s="311"/>
      <c r="NI745" s="311"/>
      <c r="NJ745" s="311"/>
      <c r="NK745" s="311"/>
      <c r="NL745" s="311"/>
      <c r="NM745" s="311"/>
      <c r="NN745" s="311"/>
      <c r="NO745" s="311"/>
      <c r="NP745" s="311"/>
      <c r="NQ745" s="311"/>
      <c r="NR745" s="311"/>
      <c r="NS745" s="311"/>
      <c r="NT745" s="311"/>
      <c r="NU745" s="311"/>
      <c r="NV745" s="311"/>
      <c r="NW745" s="311"/>
      <c r="NX745" s="311"/>
      <c r="NY745" s="311"/>
      <c r="NZ745" s="311"/>
      <c r="OA745" s="311"/>
      <c r="OB745" s="311"/>
      <c r="OC745" s="311"/>
      <c r="OD745" s="311"/>
      <c r="OE745" s="311"/>
      <c r="OF745" s="311"/>
      <c r="OG745" s="311"/>
      <c r="OH745" s="311"/>
      <c r="OI745" s="311"/>
      <c r="OJ745" s="311"/>
      <c r="OK745" s="311"/>
      <c r="OL745" s="311"/>
      <c r="OM745" s="311"/>
      <c r="ON745" s="311"/>
      <c r="OO745" s="311"/>
      <c r="OP745" s="311"/>
      <c r="OQ745" s="311"/>
      <c r="OR745" s="311"/>
      <c r="OS745" s="311"/>
      <c r="OT745" s="311"/>
      <c r="OU745" s="311"/>
      <c r="OV745" s="311"/>
      <c r="OW745" s="311"/>
      <c r="OX745" s="311"/>
      <c r="OY745" s="311"/>
      <c r="OZ745" s="311"/>
      <c r="PA745" s="311"/>
      <c r="PB745" s="311"/>
      <c r="PC745" s="311"/>
      <c r="PD745" s="311"/>
      <c r="PE745" s="311"/>
      <c r="PF745" s="311"/>
      <c r="PG745" s="311"/>
      <c r="PH745" s="311"/>
      <c r="PI745" s="311"/>
      <c r="PJ745" s="311"/>
      <c r="PK745" s="311"/>
      <c r="PL745" s="311"/>
      <c r="PM745" s="311"/>
      <c r="PN745" s="311"/>
      <c r="PO745" s="311"/>
      <c r="PP745" s="311"/>
      <c r="PQ745" s="311"/>
      <c r="PR745" s="311"/>
      <c r="PS745" s="311"/>
      <c r="PT745" s="311"/>
      <c r="PU745" s="311"/>
      <c r="PV745" s="311"/>
      <c r="PW745" s="311"/>
      <c r="PX745" s="311"/>
      <c r="PY745" s="311"/>
      <c r="PZ745" s="311"/>
      <c r="QA745" s="311"/>
      <c r="QB745" s="311"/>
      <c r="QC745" s="311"/>
      <c r="QD745" s="311"/>
      <c r="QE745" s="311"/>
      <c r="QF745" s="311"/>
      <c r="QG745" s="311"/>
      <c r="QH745" s="311"/>
      <c r="QI745" s="311"/>
      <c r="QJ745" s="311"/>
      <c r="QK745" s="311"/>
      <c r="QL745" s="311"/>
      <c r="QM745" s="311"/>
      <c r="QN745" s="311"/>
      <c r="QO745" s="311"/>
      <c r="QP745" s="311"/>
      <c r="QQ745" s="311"/>
      <c r="QR745" s="311"/>
      <c r="QS745" s="311"/>
      <c r="QT745" s="311"/>
      <c r="QU745" s="311"/>
      <c r="QV745" s="311"/>
      <c r="QW745" s="311"/>
      <c r="QX745" s="311"/>
      <c r="QY745" s="311"/>
      <c r="QZ745" s="311"/>
      <c r="RA745" s="311"/>
      <c r="RB745" s="311"/>
      <c r="RC745" s="311"/>
      <c r="RD745" s="311"/>
      <c r="RE745" s="311"/>
      <c r="RF745" s="311"/>
      <c r="RG745" s="311"/>
      <c r="RH745" s="311"/>
      <c r="RI745" s="311"/>
      <c r="RJ745" s="311"/>
      <c r="RK745" s="311"/>
      <c r="RL745" s="311"/>
      <c r="RM745" s="311"/>
      <c r="RN745" s="311"/>
      <c r="RO745" s="311"/>
      <c r="RP745" s="311"/>
      <c r="RQ745" s="311"/>
      <c r="RR745" s="311"/>
      <c r="RS745" s="311"/>
      <c r="RT745" s="311"/>
      <c r="RU745" s="311"/>
      <c r="RV745" s="311"/>
      <c r="RW745" s="311"/>
      <c r="RX745" s="311"/>
      <c r="RY745" s="311"/>
      <c r="RZ745" s="311"/>
      <c r="SA745" s="311"/>
      <c r="SB745" s="311"/>
      <c r="SC745" s="311"/>
      <c r="SD745" s="311"/>
      <c r="SE745" s="311"/>
      <c r="SF745" s="311"/>
      <c r="SG745" s="311"/>
      <c r="SH745" s="311"/>
      <c r="SI745" s="311"/>
      <c r="SJ745" s="311"/>
      <c r="SK745" s="311"/>
      <c r="SL745" s="311"/>
      <c r="SM745" s="311"/>
      <c r="SN745" s="311"/>
      <c r="SO745" s="311"/>
      <c r="SP745" s="311"/>
      <c r="SQ745" s="311"/>
      <c r="SR745" s="311"/>
      <c r="SS745" s="311"/>
      <c r="ST745" s="311"/>
      <c r="SU745" s="311"/>
      <c r="SV745" s="311"/>
      <c r="SW745" s="311"/>
      <c r="SX745" s="311"/>
      <c r="SY745" s="311"/>
      <c r="SZ745" s="311"/>
      <c r="TA745" s="311"/>
      <c r="TB745" s="311"/>
      <c r="TC745" s="311"/>
      <c r="TD745" s="311"/>
      <c r="TE745" s="311"/>
      <c r="TF745" s="311"/>
      <c r="TG745" s="311"/>
      <c r="TH745" s="311"/>
      <c r="TI745" s="311"/>
      <c r="TJ745" s="311"/>
      <c r="TK745" s="311"/>
      <c r="TL745" s="311"/>
      <c r="TM745" s="311"/>
      <c r="TN745" s="311"/>
      <c r="TO745" s="311"/>
      <c r="TP745" s="311"/>
      <c r="TQ745" s="311"/>
      <c r="TR745" s="311"/>
      <c r="TS745" s="311"/>
      <c r="TT745" s="311"/>
      <c r="TU745" s="311"/>
      <c r="TV745" s="311"/>
      <c r="TW745" s="311"/>
      <c r="TX745" s="311"/>
      <c r="TY745" s="311"/>
      <c r="TZ745" s="311"/>
      <c r="UA745" s="311"/>
      <c r="UB745" s="311"/>
      <c r="UC745" s="311"/>
      <c r="UD745" s="311"/>
      <c r="UE745" s="311"/>
      <c r="UF745" s="311"/>
      <c r="UG745" s="311"/>
      <c r="UH745" s="311"/>
      <c r="UI745" s="311"/>
      <c r="UJ745" s="311"/>
      <c r="UK745" s="311"/>
      <c r="UL745" s="311"/>
      <c r="UM745" s="311"/>
      <c r="UN745" s="311"/>
      <c r="UO745" s="311"/>
      <c r="UP745" s="311"/>
      <c r="UQ745" s="311"/>
      <c r="UR745" s="311"/>
      <c r="US745" s="311"/>
      <c r="UT745" s="311"/>
      <c r="UU745" s="311"/>
      <c r="UV745" s="311"/>
      <c r="UW745" s="311"/>
      <c r="UX745" s="311"/>
      <c r="UY745" s="311"/>
      <c r="UZ745" s="311"/>
      <c r="VA745" s="311"/>
      <c r="VB745" s="311"/>
      <c r="VC745" s="311"/>
      <c r="VD745" s="311"/>
      <c r="VE745" s="311"/>
      <c r="VF745" s="311"/>
      <c r="VG745" s="311"/>
      <c r="VH745" s="311"/>
      <c r="VI745" s="311"/>
      <c r="VJ745" s="311"/>
      <c r="VK745" s="311"/>
      <c r="VL745" s="311"/>
      <c r="VM745" s="311"/>
      <c r="VN745" s="311"/>
      <c r="VO745" s="311"/>
      <c r="VP745" s="311"/>
      <c r="VQ745" s="311"/>
      <c r="VR745" s="311"/>
      <c r="VS745" s="311"/>
      <c r="VT745" s="311"/>
      <c r="VU745" s="311"/>
      <c r="VV745" s="311"/>
      <c r="VW745" s="311"/>
      <c r="VX745" s="311"/>
      <c r="VY745" s="311"/>
      <c r="VZ745" s="311"/>
      <c r="WA745" s="311"/>
      <c r="WB745" s="311"/>
      <c r="WC745" s="311"/>
      <c r="WD745" s="311"/>
      <c r="WE745" s="311"/>
      <c r="WF745" s="311"/>
      <c r="WG745" s="311"/>
      <c r="WH745" s="311"/>
      <c r="WI745" s="311"/>
      <c r="WJ745" s="311"/>
      <c r="WK745" s="311"/>
      <c r="WL745" s="311"/>
      <c r="WM745" s="311"/>
      <c r="WN745" s="311"/>
      <c r="WO745" s="311"/>
      <c r="WP745" s="311"/>
      <c r="WQ745" s="311"/>
      <c r="WR745" s="311"/>
      <c r="WS745" s="311"/>
      <c r="WT745" s="311"/>
      <c r="WU745" s="311"/>
      <c r="WV745" s="311"/>
      <c r="WW745" s="311"/>
      <c r="WX745" s="311"/>
      <c r="WY745" s="311"/>
      <c r="WZ745" s="311"/>
      <c r="XA745" s="311"/>
      <c r="XB745" s="311"/>
      <c r="XC745" s="311"/>
      <c r="XD745" s="311"/>
      <c r="XE745" s="311"/>
      <c r="XF745" s="311"/>
      <c r="XG745" s="311"/>
      <c r="XH745" s="311"/>
      <c r="XI745" s="311"/>
      <c r="XJ745" s="311"/>
      <c r="XK745" s="311"/>
      <c r="XL745" s="311"/>
      <c r="XM745" s="311"/>
      <c r="XN745" s="311"/>
      <c r="XO745" s="311"/>
      <c r="XP745" s="311"/>
      <c r="XQ745" s="311"/>
      <c r="XR745" s="311"/>
      <c r="XS745" s="311"/>
      <c r="XT745" s="311"/>
      <c r="XU745" s="311"/>
      <c r="XV745" s="311"/>
      <c r="XW745" s="311"/>
      <c r="XX745" s="311"/>
      <c r="XY745" s="311"/>
      <c r="XZ745" s="311"/>
      <c r="YA745" s="311"/>
      <c r="YB745" s="311"/>
      <c r="YC745" s="311"/>
      <c r="YD745" s="311"/>
      <c r="YE745" s="311"/>
      <c r="YF745" s="311"/>
      <c r="YG745" s="311"/>
      <c r="YH745" s="311"/>
      <c r="YI745" s="311"/>
      <c r="YJ745" s="311"/>
      <c r="YK745" s="311"/>
      <c r="YL745" s="311"/>
      <c r="YM745" s="311"/>
      <c r="YN745" s="311"/>
      <c r="YO745" s="311"/>
      <c r="YP745" s="311"/>
      <c r="YQ745" s="311"/>
      <c r="YR745" s="311"/>
      <c r="YS745" s="311"/>
      <c r="YT745" s="311"/>
      <c r="YU745" s="311"/>
      <c r="YV745" s="311"/>
      <c r="YW745" s="311"/>
      <c r="YX745" s="311"/>
      <c r="YY745" s="311"/>
      <c r="YZ745" s="311"/>
      <c r="ZA745" s="311"/>
      <c r="ZB745" s="311"/>
      <c r="ZC745" s="311"/>
      <c r="ZD745" s="311"/>
      <c r="ZE745" s="311"/>
      <c r="ZF745" s="311"/>
      <c r="ZG745" s="311"/>
      <c r="ZH745" s="311"/>
      <c r="ZI745" s="311"/>
      <c r="ZJ745" s="311"/>
      <c r="ZK745" s="311"/>
      <c r="ZL745" s="311"/>
      <c r="ZM745" s="311"/>
      <c r="ZN745" s="311"/>
      <c r="ZO745" s="311"/>
      <c r="ZP745" s="311"/>
      <c r="ZQ745" s="311"/>
      <c r="ZR745" s="311"/>
      <c r="ZS745" s="311"/>
      <c r="ZT745" s="311"/>
      <c r="ZU745" s="311"/>
      <c r="ZV745" s="311"/>
      <c r="ZW745" s="311"/>
      <c r="ZX745" s="311"/>
      <c r="ZY745" s="311"/>
      <c r="ZZ745" s="311"/>
      <c r="AAA745" s="311"/>
      <c r="AAB745" s="311"/>
      <c r="AAC745" s="311"/>
      <c r="AAD745" s="311"/>
      <c r="AAE745" s="311"/>
      <c r="AAF745" s="311"/>
      <c r="AAG745" s="311"/>
      <c r="AAH745" s="311"/>
      <c r="AAI745" s="311"/>
      <c r="AAJ745" s="311"/>
      <c r="AAK745" s="311"/>
      <c r="AAL745" s="311"/>
      <c r="AAM745" s="311"/>
      <c r="AAN745" s="311"/>
      <c r="AAO745" s="311"/>
      <c r="AAP745" s="311"/>
      <c r="AAQ745" s="311"/>
      <c r="AAR745" s="311"/>
      <c r="AAS745" s="311"/>
      <c r="AAT745" s="311"/>
      <c r="AAU745" s="311"/>
      <c r="AAV745" s="311"/>
      <c r="AAW745" s="311"/>
      <c r="AAX745" s="311"/>
      <c r="AAY745" s="311"/>
      <c r="AAZ745" s="311"/>
      <c r="ABA745" s="311"/>
      <c r="ABB745" s="311"/>
      <c r="ABC745" s="311"/>
      <c r="ABD745" s="311"/>
      <c r="ABE745" s="311"/>
      <c r="ABF745" s="311"/>
      <c r="ABG745" s="311"/>
      <c r="ABH745" s="311"/>
      <c r="ABI745" s="311"/>
      <c r="ABJ745" s="311"/>
      <c r="ABK745" s="311"/>
      <c r="ABL745" s="311"/>
      <c r="ABM745" s="311"/>
      <c r="ABN745" s="311"/>
      <c r="ABO745" s="311"/>
      <c r="ABP745" s="311"/>
      <c r="ABQ745" s="311"/>
      <c r="ABR745" s="311"/>
      <c r="ABS745" s="311"/>
      <c r="ABT745" s="311"/>
      <c r="ABU745" s="311"/>
      <c r="ABV745" s="311"/>
      <c r="ABW745" s="311"/>
      <c r="ABX745" s="311"/>
      <c r="ABY745" s="311"/>
      <c r="ABZ745" s="311"/>
      <c r="ACA745" s="311"/>
      <c r="ACB745" s="311"/>
      <c r="ACC745" s="311"/>
      <c r="ACD745" s="311"/>
      <c r="ACE745" s="311"/>
      <c r="ACF745" s="311"/>
      <c r="ACG745" s="311"/>
      <c r="ACH745" s="311"/>
      <c r="ACI745" s="311"/>
      <c r="ACJ745" s="311"/>
      <c r="ACK745" s="311"/>
      <c r="ACL745" s="311"/>
      <c r="ACM745" s="311"/>
      <c r="ACN745" s="311"/>
      <c r="ACO745" s="311"/>
      <c r="ACP745" s="311"/>
      <c r="ACQ745" s="311"/>
      <c r="ACR745" s="311"/>
      <c r="ACS745" s="311"/>
      <c r="ACT745" s="311"/>
      <c r="ACU745" s="311"/>
      <c r="ACV745" s="311"/>
      <c r="ACW745" s="311"/>
      <c r="ACX745" s="311"/>
      <c r="ACY745" s="311"/>
      <c r="ACZ745" s="311"/>
      <c r="ADA745" s="311"/>
      <c r="ADB745" s="311"/>
      <c r="ADC745" s="311"/>
      <c r="ADD745" s="311"/>
      <c r="ADE745" s="311"/>
      <c r="ADF745" s="311"/>
      <c r="ADG745" s="311"/>
      <c r="ADH745" s="311"/>
      <c r="ADI745" s="311"/>
      <c r="ADJ745" s="311"/>
      <c r="ADK745" s="311"/>
      <c r="ADL745" s="311"/>
      <c r="ADM745" s="311"/>
      <c r="ADN745" s="311"/>
      <c r="ADO745" s="311"/>
      <c r="ADP745" s="311"/>
      <c r="ADQ745" s="311"/>
      <c r="ADR745" s="311"/>
      <c r="ADS745" s="311"/>
      <c r="ADT745" s="311"/>
      <c r="ADU745" s="311"/>
      <c r="ADV745" s="311"/>
      <c r="ADW745" s="311"/>
      <c r="ADX745" s="311"/>
      <c r="ADY745" s="311"/>
      <c r="ADZ745" s="311"/>
      <c r="AEA745" s="311"/>
      <c r="AEB745" s="311"/>
      <c r="AEC745" s="311"/>
      <c r="AED745" s="311"/>
      <c r="AEE745" s="311"/>
      <c r="AEF745" s="311"/>
      <c r="AEG745" s="311"/>
      <c r="AEH745" s="311"/>
      <c r="AEI745" s="311"/>
      <c r="AEJ745" s="311"/>
      <c r="AEK745" s="311"/>
      <c r="AEL745" s="311"/>
      <c r="AEM745" s="311"/>
      <c r="AEN745" s="311"/>
      <c r="AEO745" s="311"/>
      <c r="AEP745" s="311"/>
      <c r="AEQ745" s="311"/>
      <c r="AER745" s="311"/>
      <c r="AES745" s="311"/>
      <c r="AET745" s="311"/>
      <c r="AEU745" s="311"/>
      <c r="AEV745" s="311"/>
      <c r="AEW745" s="311"/>
      <c r="AEX745" s="311"/>
      <c r="AEY745" s="311"/>
      <c r="AEZ745" s="311"/>
      <c r="AFA745" s="311"/>
      <c r="AFB745" s="311"/>
      <c r="AFC745" s="311"/>
      <c r="AFD745" s="311"/>
      <c r="AFE745" s="311"/>
      <c r="AFF745" s="311"/>
      <c r="AFG745" s="311"/>
      <c r="AFH745" s="311"/>
      <c r="AFI745" s="311"/>
      <c r="AFJ745" s="311"/>
      <c r="AFK745" s="311"/>
      <c r="AFL745" s="311"/>
      <c r="AFM745" s="311"/>
      <c r="AFN745" s="311"/>
      <c r="AFO745" s="311"/>
      <c r="AFP745" s="311"/>
      <c r="AFQ745" s="311"/>
      <c r="AFR745" s="311"/>
      <c r="AFS745" s="311"/>
      <c r="AFT745" s="311"/>
      <c r="AFU745" s="311"/>
      <c r="AFV745" s="311"/>
      <c r="AFW745" s="311"/>
      <c r="AFX745" s="311"/>
      <c r="AFY745" s="311"/>
      <c r="AFZ745" s="311"/>
      <c r="AGA745" s="311"/>
      <c r="AGB745" s="311"/>
      <c r="AGC745" s="311"/>
      <c r="AGD745" s="311"/>
      <c r="AGE745" s="311"/>
      <c r="AGF745" s="311"/>
      <c r="AGG745" s="311"/>
      <c r="AGH745" s="311"/>
      <c r="AGI745" s="311"/>
      <c r="AGJ745" s="311"/>
      <c r="AGK745" s="311"/>
      <c r="AGL745" s="311"/>
      <c r="AGM745" s="311"/>
      <c r="AGN745" s="311"/>
      <c r="AGO745" s="311"/>
      <c r="AGP745" s="311"/>
      <c r="AGQ745" s="311"/>
      <c r="AGR745" s="311"/>
      <c r="AGS745" s="311"/>
      <c r="AGT745" s="311"/>
      <c r="AGU745" s="311"/>
      <c r="AGV745" s="311"/>
      <c r="AGW745" s="311"/>
      <c r="AGX745" s="311"/>
      <c r="AGY745" s="311"/>
      <c r="AGZ745" s="311"/>
      <c r="AHA745" s="311"/>
      <c r="AHB745" s="311"/>
      <c r="AHC745" s="311"/>
      <c r="AHD745" s="311"/>
      <c r="AHE745" s="311"/>
      <c r="AHF745" s="311"/>
      <c r="AHG745" s="311"/>
      <c r="AHH745" s="311"/>
      <c r="AHI745" s="311"/>
      <c r="AHJ745" s="311"/>
      <c r="AHK745" s="311"/>
      <c r="AHL745" s="311"/>
      <c r="AHM745" s="311"/>
      <c r="AHN745" s="311"/>
      <c r="AHO745" s="311"/>
      <c r="AHP745" s="311"/>
      <c r="AHQ745" s="311"/>
      <c r="AHR745" s="311"/>
      <c r="AHS745" s="311"/>
      <c r="AHT745" s="311"/>
      <c r="AHU745" s="311"/>
      <c r="AHV745" s="311"/>
      <c r="AHW745" s="311"/>
      <c r="AHX745" s="311"/>
      <c r="AHY745" s="311"/>
      <c r="AHZ745" s="311"/>
      <c r="AIA745" s="311"/>
      <c r="AIB745" s="311"/>
      <c r="AIC745" s="311"/>
      <c r="AID745" s="311"/>
      <c r="AIE745" s="311"/>
      <c r="AIF745" s="311"/>
      <c r="AIG745" s="311"/>
      <c r="AIH745" s="311"/>
      <c r="AII745" s="311"/>
      <c r="AIJ745" s="311"/>
      <c r="AIK745" s="311"/>
      <c r="AIL745" s="311"/>
      <c r="AIM745" s="311"/>
      <c r="AIN745" s="311"/>
      <c r="AIO745" s="311"/>
      <c r="AIP745" s="311"/>
      <c r="AIQ745" s="311"/>
      <c r="AIR745" s="311"/>
      <c r="AIS745" s="311"/>
      <c r="AIT745" s="311"/>
      <c r="AIU745" s="311"/>
      <c r="AIV745" s="311"/>
      <c r="AIW745" s="311"/>
      <c r="AIX745" s="311"/>
      <c r="AIY745" s="311"/>
      <c r="AIZ745" s="311"/>
      <c r="AJA745" s="311"/>
      <c r="AJB745" s="311"/>
      <c r="AJC745" s="311"/>
      <c r="AJD745" s="311"/>
      <c r="AJE745" s="311"/>
      <c r="AJF745" s="311"/>
      <c r="AJG745" s="311"/>
      <c r="AJH745" s="311"/>
      <c r="AJI745" s="311"/>
      <c r="AJJ745" s="311"/>
      <c r="AJK745" s="311"/>
      <c r="AJL745" s="311"/>
      <c r="AJM745" s="311"/>
      <c r="AJN745" s="311"/>
      <c r="AJO745" s="311"/>
      <c r="AJP745" s="311"/>
      <c r="AJQ745" s="311"/>
      <c r="AJR745" s="311"/>
      <c r="AJS745" s="311"/>
      <c r="AJT745" s="311"/>
      <c r="AJU745" s="311"/>
      <c r="AJV745" s="311"/>
      <c r="AJW745" s="311"/>
      <c r="AJX745" s="311"/>
      <c r="AJY745" s="311"/>
      <c r="AJZ745" s="311"/>
      <c r="AKA745" s="311"/>
      <c r="AKB745" s="311"/>
      <c r="AKC745" s="311"/>
      <c r="AKD745" s="311"/>
      <c r="AKE745" s="311"/>
      <c r="AKF745" s="311"/>
      <c r="AKG745" s="311"/>
      <c r="AKH745" s="311"/>
      <c r="AKI745" s="311"/>
      <c r="AKJ745" s="311"/>
      <c r="AKK745" s="311"/>
      <c r="AKL745" s="311"/>
      <c r="AKM745" s="311"/>
      <c r="AKN745" s="311"/>
      <c r="AKO745" s="311"/>
      <c r="AKP745" s="311"/>
      <c r="AKQ745" s="311"/>
      <c r="AKR745" s="311"/>
      <c r="AKS745" s="311"/>
      <c r="AKT745" s="311"/>
      <c r="AKU745" s="311"/>
      <c r="AKV745" s="311"/>
      <c r="AKW745" s="311"/>
      <c r="AKX745" s="311"/>
      <c r="AKY745" s="311"/>
      <c r="AKZ745" s="311"/>
      <c r="ALA745" s="311"/>
      <c r="ALB745" s="311"/>
      <c r="ALC745" s="311"/>
      <c r="ALD745" s="311"/>
      <c r="ALE745" s="311"/>
      <c r="ALF745" s="311"/>
      <c r="ALG745" s="311"/>
      <c r="ALH745" s="311"/>
      <c r="ALI745" s="311"/>
      <c r="ALJ745" s="311"/>
      <c r="ALK745" s="311"/>
      <c r="ALL745" s="311"/>
      <c r="ALM745" s="311"/>
      <c r="ALN745" s="311"/>
      <c r="ALO745" s="311"/>
      <c r="ALP745" s="311"/>
      <c r="ALQ745" s="311"/>
      <c r="ALR745" s="311"/>
      <c r="ALS745" s="311"/>
      <c r="ALT745" s="311"/>
      <c r="ALU745" s="311"/>
      <c r="ALV745" s="311"/>
      <c r="ALW745" s="311"/>
      <c r="ALX745" s="311"/>
      <c r="ALY745" s="311"/>
      <c r="ALZ745" s="311"/>
      <c r="AMA745" s="311"/>
      <c r="AMB745" s="311"/>
      <c r="AMC745" s="311"/>
      <c r="AMD745" s="311"/>
      <c r="AME745" s="311"/>
      <c r="AMF745" s="311"/>
      <c r="AMG745" s="311"/>
      <c r="AMH745" s="311"/>
      <c r="AMI745" s="311"/>
      <c r="AMJ745" s="311"/>
      <c r="AMK745" s="311"/>
      <c r="AML745" s="311"/>
      <c r="AMM745" s="311"/>
      <c r="AMN745" s="311"/>
      <c r="AMO745" s="311"/>
      <c r="AMP745" s="311"/>
      <c r="AMQ745" s="311"/>
      <c r="AMR745" s="311"/>
      <c r="AMS745" s="311"/>
      <c r="AMT745" s="311"/>
      <c r="AMU745" s="311"/>
      <c r="AMV745" s="311"/>
      <c r="AMW745" s="311"/>
      <c r="AMX745" s="311"/>
      <c r="AMY745" s="311"/>
      <c r="AMZ745" s="311"/>
      <c r="ANA745" s="311"/>
      <c r="ANB745" s="311"/>
      <c r="ANC745" s="311"/>
      <c r="AND745" s="311"/>
      <c r="ANE745" s="311"/>
      <c r="ANF745" s="311"/>
      <c r="ANG745" s="311"/>
      <c r="ANH745" s="311"/>
      <c r="ANI745" s="311"/>
      <c r="ANJ745" s="311"/>
      <c r="ANK745" s="311"/>
      <c r="ANL745" s="311"/>
      <c r="ANM745" s="311"/>
      <c r="ANN745" s="311"/>
      <c r="ANO745" s="311"/>
      <c r="ANP745" s="311"/>
      <c r="ANQ745" s="311"/>
      <c r="ANR745" s="311"/>
      <c r="ANS745" s="311"/>
      <c r="ANT745" s="311"/>
      <c r="ANU745" s="311"/>
      <c r="ANV745" s="311"/>
      <c r="ANW745" s="311"/>
      <c r="ANX745" s="311"/>
      <c r="ANY745" s="311"/>
      <c r="ANZ745" s="311"/>
      <c r="AOA745" s="311"/>
      <c r="AOB745" s="311"/>
      <c r="AOC745" s="311"/>
      <c r="AOD745" s="311"/>
      <c r="AOE745" s="311"/>
      <c r="AOF745" s="311"/>
      <c r="AOG745" s="311"/>
      <c r="AOH745" s="311"/>
      <c r="AOI745" s="311"/>
      <c r="AOJ745" s="311"/>
      <c r="AOK745" s="311"/>
      <c r="AOL745" s="311"/>
      <c r="AOM745" s="311"/>
      <c r="AON745" s="311"/>
      <c r="AOO745" s="311"/>
      <c r="AOP745" s="311"/>
      <c r="AOQ745" s="311"/>
      <c r="AOR745" s="311"/>
      <c r="AOS745" s="311"/>
      <c r="AOT745" s="311"/>
      <c r="AOU745" s="311"/>
      <c r="AOV745" s="311"/>
      <c r="AOW745" s="311"/>
      <c r="AOX745" s="311"/>
      <c r="AOY745" s="311"/>
      <c r="AOZ745" s="311"/>
      <c r="APA745" s="311"/>
      <c r="APB745" s="311"/>
      <c r="APC745" s="311"/>
      <c r="APD745" s="311"/>
      <c r="APE745" s="311"/>
      <c r="APF745" s="311"/>
      <c r="APG745" s="311"/>
      <c r="APH745" s="311"/>
      <c r="API745" s="311"/>
      <c r="APJ745" s="311"/>
      <c r="APK745" s="311"/>
      <c r="APL745" s="311"/>
      <c r="APM745" s="311"/>
      <c r="APN745" s="311"/>
      <c r="APO745" s="311"/>
      <c r="APP745" s="311"/>
      <c r="APQ745" s="311"/>
      <c r="APR745" s="311"/>
      <c r="APS745" s="311"/>
      <c r="APT745" s="311"/>
      <c r="APU745" s="311"/>
      <c r="APV745" s="311"/>
      <c r="APW745" s="311"/>
      <c r="APX745" s="311"/>
      <c r="APY745" s="311"/>
      <c r="APZ745" s="311"/>
      <c r="AQA745" s="311"/>
      <c r="AQB745" s="311"/>
      <c r="AQC745" s="311"/>
      <c r="AQD745" s="311"/>
      <c r="AQE745" s="311"/>
      <c r="AQF745" s="311"/>
      <c r="AQG745" s="311"/>
      <c r="AQH745" s="311"/>
      <c r="AQI745" s="311"/>
      <c r="AQJ745" s="311"/>
      <c r="AQK745" s="311"/>
      <c r="AQL745" s="311"/>
      <c r="AQM745" s="311"/>
      <c r="AQN745" s="311"/>
      <c r="AQO745" s="311"/>
      <c r="AQP745" s="311"/>
      <c r="AQQ745" s="311"/>
      <c r="AQR745" s="311"/>
      <c r="AQS745" s="311"/>
      <c r="AQT745" s="311"/>
      <c r="AQU745" s="311"/>
      <c r="AQV745" s="311"/>
      <c r="AQW745" s="311"/>
      <c r="AQX745" s="311"/>
      <c r="AQY745" s="311"/>
      <c r="AQZ745" s="311"/>
      <c r="ARA745" s="311"/>
      <c r="ARB745" s="311"/>
      <c r="ARC745" s="311"/>
      <c r="ARD745" s="311"/>
      <c r="ARE745" s="311"/>
      <c r="ARF745" s="311"/>
      <c r="ARG745" s="311"/>
      <c r="ARH745" s="311"/>
      <c r="ARI745" s="311"/>
      <c r="ARJ745" s="311"/>
      <c r="ARK745" s="311"/>
      <c r="ARL745" s="311"/>
      <c r="ARM745" s="311"/>
      <c r="ARN745" s="311"/>
      <c r="ARO745" s="311"/>
      <c r="ARP745" s="311"/>
      <c r="ARQ745" s="311"/>
      <c r="ARR745" s="311"/>
      <c r="ARS745" s="311"/>
      <c r="ART745" s="311"/>
      <c r="ARU745" s="311"/>
      <c r="ARV745" s="311"/>
      <c r="ARW745" s="311"/>
      <c r="ARX745" s="311"/>
      <c r="ARY745" s="311"/>
      <c r="ARZ745" s="311"/>
      <c r="ASA745" s="311"/>
      <c r="ASB745" s="311"/>
      <c r="ASC745" s="311"/>
      <c r="ASD745" s="311"/>
      <c r="ASE745" s="311"/>
      <c r="ASF745" s="311"/>
      <c r="ASG745" s="311"/>
      <c r="ASH745" s="311"/>
      <c r="ASI745" s="311"/>
      <c r="ASJ745" s="311"/>
      <c r="ASK745" s="311"/>
      <c r="ASL745" s="311"/>
      <c r="ASM745" s="311"/>
      <c r="ASN745" s="311"/>
      <c r="ASO745" s="311"/>
      <c r="ASP745" s="311"/>
      <c r="ASQ745" s="311"/>
      <c r="ASR745" s="311"/>
      <c r="ASS745" s="311"/>
      <c r="AST745" s="311"/>
      <c r="ASU745" s="311"/>
      <c r="ASV745" s="311"/>
      <c r="ASW745" s="311"/>
      <c r="ASX745" s="311"/>
      <c r="ASY745" s="311"/>
      <c r="ASZ745" s="311"/>
      <c r="ATA745" s="311"/>
      <c r="ATB745" s="311"/>
      <c r="ATC745" s="311"/>
      <c r="ATD745" s="311"/>
      <c r="ATE745" s="311"/>
      <c r="ATF745" s="311"/>
      <c r="ATG745" s="311"/>
      <c r="ATH745" s="311"/>
      <c r="ATI745" s="311"/>
      <c r="ATJ745" s="311"/>
      <c r="ATK745" s="311"/>
      <c r="ATL745" s="311"/>
      <c r="ATM745" s="311"/>
      <c r="ATN745" s="311"/>
      <c r="ATO745" s="311"/>
      <c r="ATP745" s="311"/>
      <c r="ATQ745" s="311"/>
      <c r="ATR745" s="311"/>
      <c r="ATS745" s="311"/>
      <c r="ATT745" s="311"/>
      <c r="ATU745" s="311"/>
      <c r="ATV745" s="311"/>
      <c r="ATW745" s="311"/>
      <c r="ATX745" s="311"/>
      <c r="ATY745" s="311"/>
      <c r="ATZ745" s="311"/>
      <c r="AUA745" s="311"/>
      <c r="AUB745" s="311"/>
      <c r="AUC745" s="311"/>
      <c r="AUD745" s="311"/>
      <c r="AUE745" s="311"/>
      <c r="AUF745" s="311"/>
      <c r="AUG745" s="311"/>
      <c r="AUH745" s="311"/>
      <c r="AUI745" s="311"/>
      <c r="AUJ745" s="311"/>
      <c r="AUK745" s="311"/>
      <c r="AUL745" s="311"/>
      <c r="AUM745" s="311"/>
      <c r="AUN745" s="311"/>
      <c r="AUO745" s="311"/>
      <c r="AUP745" s="311"/>
      <c r="AUQ745" s="311"/>
      <c r="AUR745" s="311"/>
      <c r="AUS745" s="311"/>
      <c r="AUT745" s="311"/>
      <c r="AUU745" s="311"/>
      <c r="AUV745" s="311"/>
      <c r="AUW745" s="311"/>
      <c r="AUX745" s="311"/>
      <c r="AUY745" s="311"/>
      <c r="AUZ745" s="311"/>
      <c r="AVA745" s="311"/>
      <c r="AVB745" s="311"/>
      <c r="AVC745" s="311"/>
      <c r="AVD745" s="311"/>
      <c r="AVE745" s="311"/>
      <c r="AVF745" s="311"/>
      <c r="AVG745" s="311"/>
      <c r="AVH745" s="311"/>
      <c r="AVI745" s="311"/>
      <c r="AVJ745" s="311"/>
      <c r="AVK745" s="311"/>
      <c r="AVL745" s="311"/>
      <c r="AVM745" s="311"/>
      <c r="AVN745" s="311"/>
      <c r="AVO745" s="311"/>
      <c r="AVP745" s="311"/>
      <c r="AVQ745" s="311"/>
      <c r="AVR745" s="311"/>
      <c r="AVS745" s="311"/>
      <c r="AVT745" s="311"/>
      <c r="AVU745" s="311"/>
      <c r="AVV745" s="311"/>
      <c r="AVW745" s="311"/>
      <c r="AVX745" s="311"/>
      <c r="AVY745" s="311"/>
      <c r="AVZ745" s="311"/>
      <c r="AWA745" s="311"/>
      <c r="AWB745" s="311"/>
      <c r="AWC745" s="311"/>
      <c r="AWD745" s="311"/>
      <c r="AWE745" s="311"/>
      <c r="AWF745" s="311"/>
      <c r="AWG745" s="311"/>
      <c r="AWH745" s="311"/>
      <c r="AWI745" s="311"/>
      <c r="AWJ745" s="311"/>
      <c r="AWK745" s="311"/>
      <c r="AWL745" s="311"/>
      <c r="AWM745" s="311"/>
      <c r="AWN745" s="311"/>
      <c r="AWO745" s="311"/>
      <c r="AWP745" s="311"/>
      <c r="AWQ745" s="311"/>
      <c r="AWR745" s="311"/>
      <c r="AWS745" s="311"/>
      <c r="AWT745" s="311"/>
      <c r="AWU745" s="311"/>
      <c r="AWV745" s="311"/>
      <c r="AWW745" s="311"/>
      <c r="AWX745" s="311"/>
      <c r="AWY745" s="311"/>
      <c r="AWZ745" s="311"/>
      <c r="AXA745" s="311"/>
      <c r="AXB745" s="311"/>
      <c r="AXC745" s="311"/>
      <c r="AXD745" s="311"/>
      <c r="AXE745" s="311"/>
      <c r="AXF745" s="311"/>
      <c r="AXG745" s="311"/>
      <c r="AXH745" s="311"/>
      <c r="AXI745" s="311"/>
      <c r="AXJ745" s="311"/>
      <c r="AXK745" s="311"/>
      <c r="AXL745" s="311"/>
      <c r="AXM745" s="311"/>
      <c r="AXN745" s="311"/>
      <c r="AXO745" s="311"/>
      <c r="AXP745" s="311"/>
      <c r="AXQ745" s="311"/>
      <c r="AXR745" s="311"/>
      <c r="AXS745" s="311"/>
      <c r="AXT745" s="311"/>
      <c r="AXU745" s="311"/>
      <c r="AXV745" s="311"/>
      <c r="AXW745" s="311"/>
      <c r="AXX745" s="311"/>
      <c r="AXY745" s="311"/>
      <c r="AXZ745" s="311"/>
      <c r="AYA745" s="311"/>
      <c r="AYB745" s="311"/>
      <c r="AYC745" s="311"/>
      <c r="AYD745" s="311"/>
      <c r="AYE745" s="311"/>
      <c r="AYF745" s="311"/>
      <c r="AYG745" s="311"/>
      <c r="AYH745" s="311"/>
      <c r="AYI745" s="311"/>
      <c r="AYJ745" s="311"/>
      <c r="AYK745" s="311"/>
      <c r="AYL745" s="311"/>
      <c r="AYM745" s="311"/>
      <c r="AYN745" s="311"/>
      <c r="AYO745" s="311"/>
      <c r="AYP745" s="311"/>
      <c r="AYQ745" s="311"/>
      <c r="AYR745" s="311"/>
      <c r="AYS745" s="311"/>
      <c r="AYT745" s="311"/>
      <c r="AYU745" s="311"/>
      <c r="AYV745" s="311"/>
      <c r="AYW745" s="311"/>
      <c r="AYX745" s="311"/>
      <c r="AYY745" s="311"/>
      <c r="AYZ745" s="311"/>
      <c r="AZA745" s="311"/>
      <c r="AZB745" s="311"/>
      <c r="AZC745" s="311"/>
      <c r="AZD745" s="311"/>
      <c r="AZE745" s="311"/>
      <c r="AZF745" s="311"/>
      <c r="AZG745" s="311"/>
      <c r="AZH745" s="311"/>
      <c r="AZI745" s="311"/>
      <c r="AZJ745" s="311"/>
      <c r="AZK745" s="311"/>
      <c r="AZL745" s="311"/>
      <c r="AZM745" s="311"/>
      <c r="AZN745" s="311"/>
      <c r="AZO745" s="311"/>
      <c r="AZP745" s="311"/>
      <c r="AZQ745" s="311"/>
      <c r="AZR745" s="311"/>
      <c r="AZS745" s="311"/>
      <c r="AZT745" s="311"/>
      <c r="AZU745" s="311"/>
      <c r="AZV745" s="311"/>
      <c r="AZW745" s="311"/>
      <c r="AZX745" s="311"/>
      <c r="AZY745" s="311"/>
      <c r="AZZ745" s="311"/>
      <c r="BAA745" s="311"/>
      <c r="BAB745" s="311"/>
      <c r="BAC745" s="311"/>
      <c r="BAD745" s="311"/>
      <c r="BAE745" s="311"/>
      <c r="BAF745" s="311"/>
      <c r="BAG745" s="311"/>
      <c r="BAH745" s="311"/>
      <c r="BAI745" s="311"/>
      <c r="BAJ745" s="311"/>
      <c r="BAK745" s="311"/>
      <c r="BAL745" s="311"/>
      <c r="BAM745" s="311"/>
      <c r="BAN745" s="311"/>
      <c r="BAO745" s="311"/>
      <c r="BAP745" s="311"/>
      <c r="BAQ745" s="311"/>
      <c r="BAR745" s="311"/>
      <c r="BAS745" s="311"/>
      <c r="BAT745" s="311"/>
      <c r="BAU745" s="311"/>
      <c r="BAV745" s="311"/>
      <c r="BAW745" s="311"/>
      <c r="BAX745" s="311"/>
      <c r="BAY745" s="311"/>
      <c r="BAZ745" s="311"/>
      <c r="BBA745" s="311"/>
      <c r="BBB745" s="311"/>
      <c r="BBC745" s="311"/>
      <c r="BBD745" s="311"/>
      <c r="BBE745" s="311"/>
      <c r="BBF745" s="311"/>
      <c r="BBG745" s="311"/>
      <c r="BBH745" s="311"/>
      <c r="BBI745" s="311"/>
      <c r="BBJ745" s="311"/>
      <c r="BBK745" s="311"/>
      <c r="BBL745" s="311"/>
      <c r="BBM745" s="311"/>
      <c r="BBN745" s="311"/>
      <c r="BBO745" s="311"/>
      <c r="BBP745" s="311"/>
      <c r="BBQ745" s="311"/>
      <c r="BBR745" s="311"/>
      <c r="BBS745" s="311"/>
      <c r="BBT745" s="311"/>
      <c r="BBU745" s="311"/>
      <c r="BBV745" s="311"/>
      <c r="BBW745" s="311"/>
      <c r="BBX745" s="311"/>
      <c r="BBY745" s="311"/>
      <c r="BBZ745" s="311"/>
      <c r="BCA745" s="311"/>
      <c r="BCB745" s="311"/>
      <c r="BCC745" s="311"/>
      <c r="BCD745" s="311"/>
      <c r="BCE745" s="311"/>
      <c r="BCF745" s="311"/>
      <c r="BCG745" s="311"/>
      <c r="BCH745" s="311"/>
      <c r="BCI745" s="311"/>
      <c r="BCJ745" s="311"/>
      <c r="BCK745" s="311"/>
      <c r="BCL745" s="311"/>
      <c r="BCM745" s="311"/>
      <c r="BCN745" s="311"/>
      <c r="BCO745" s="311"/>
      <c r="BCP745" s="311"/>
      <c r="BCQ745" s="311"/>
      <c r="BCR745" s="311"/>
      <c r="BCS745" s="311"/>
      <c r="BCT745" s="311"/>
      <c r="BCU745" s="311"/>
      <c r="BCV745" s="311"/>
      <c r="BCW745" s="311"/>
      <c r="BCX745" s="311"/>
      <c r="BCY745" s="311"/>
      <c r="BCZ745" s="311"/>
      <c r="BDA745" s="311"/>
      <c r="BDB745" s="311"/>
      <c r="BDC745" s="311"/>
      <c r="BDD745" s="311"/>
      <c r="BDE745" s="311"/>
      <c r="BDF745" s="311"/>
      <c r="BDG745" s="311"/>
      <c r="BDH745" s="311"/>
      <c r="BDI745" s="311"/>
      <c r="BDJ745" s="311"/>
      <c r="BDK745" s="311"/>
      <c r="BDL745" s="311"/>
      <c r="BDM745" s="311"/>
      <c r="BDN745" s="311"/>
      <c r="BDO745" s="311"/>
      <c r="BDP745" s="311"/>
      <c r="BDQ745" s="311"/>
      <c r="BDR745" s="311"/>
      <c r="BDS745" s="311"/>
      <c r="BDT745" s="311"/>
      <c r="BDU745" s="311"/>
      <c r="BDV745" s="311"/>
      <c r="BDW745" s="311"/>
      <c r="BDX745" s="311"/>
      <c r="BDY745" s="311"/>
      <c r="BDZ745" s="311"/>
      <c r="BEA745" s="311"/>
      <c r="BEB745" s="311"/>
      <c r="BEC745" s="311"/>
      <c r="BED745" s="311"/>
      <c r="BEE745" s="311"/>
      <c r="BEF745" s="311"/>
      <c r="BEG745" s="311"/>
      <c r="BEH745" s="311"/>
      <c r="BEI745" s="311"/>
      <c r="BEJ745" s="311"/>
      <c r="BEK745" s="311"/>
      <c r="BEL745" s="311"/>
      <c r="BEM745" s="311"/>
      <c r="BEN745" s="311"/>
      <c r="BEO745" s="311"/>
      <c r="BEP745" s="311"/>
      <c r="BEQ745" s="311"/>
      <c r="BER745" s="311"/>
      <c r="BES745" s="311"/>
      <c r="BET745" s="311"/>
      <c r="BEU745" s="311"/>
      <c r="BEV745" s="311"/>
      <c r="BEW745" s="311"/>
      <c r="BEX745" s="311"/>
      <c r="BEY745" s="311"/>
      <c r="BEZ745" s="311"/>
      <c r="BFA745" s="311"/>
      <c r="BFB745" s="311"/>
      <c r="BFC745" s="311"/>
      <c r="BFD745" s="311"/>
      <c r="BFE745" s="311"/>
      <c r="BFF745" s="311"/>
      <c r="BFG745" s="311"/>
      <c r="BFH745" s="311"/>
      <c r="BFI745" s="311"/>
      <c r="BFJ745" s="311"/>
      <c r="BFK745" s="311"/>
      <c r="BFL745" s="311"/>
      <c r="BFM745" s="311"/>
      <c r="BFN745" s="311"/>
      <c r="BFO745" s="311"/>
      <c r="BFP745" s="311"/>
      <c r="BFQ745" s="311"/>
      <c r="BFR745" s="311"/>
      <c r="BFS745" s="311"/>
      <c r="BFT745" s="311"/>
      <c r="BFU745" s="311"/>
      <c r="BFV745" s="311"/>
      <c r="BFW745" s="311"/>
      <c r="BFX745" s="311"/>
      <c r="BFY745" s="311"/>
      <c r="BFZ745" s="311"/>
      <c r="BGA745" s="311"/>
      <c r="BGB745" s="311"/>
      <c r="BGC745" s="311"/>
      <c r="BGD745" s="311"/>
      <c r="BGE745" s="311"/>
      <c r="BGF745" s="311"/>
      <c r="BGG745" s="311"/>
      <c r="BGH745" s="311"/>
      <c r="BGI745" s="311"/>
      <c r="BGJ745" s="311"/>
      <c r="BGK745" s="311"/>
      <c r="BGL745" s="311"/>
      <c r="BGM745" s="311"/>
      <c r="BGN745" s="311"/>
      <c r="BGO745" s="311"/>
      <c r="BGP745" s="311"/>
      <c r="BGQ745" s="311"/>
      <c r="BGR745" s="311"/>
      <c r="BGS745" s="311"/>
      <c r="BGT745" s="311"/>
      <c r="BGU745" s="311"/>
      <c r="BGV745" s="311"/>
      <c r="BGW745" s="311"/>
      <c r="BGX745" s="311"/>
      <c r="BGY745" s="311"/>
      <c r="BGZ745" s="311"/>
      <c r="BHA745" s="311"/>
      <c r="BHB745" s="311"/>
      <c r="BHC745" s="311"/>
      <c r="BHD745" s="311"/>
      <c r="BHE745" s="311"/>
      <c r="BHF745" s="311"/>
      <c r="BHG745" s="311"/>
      <c r="BHH745" s="311"/>
      <c r="BHI745" s="311"/>
      <c r="BHJ745" s="311"/>
      <c r="BHK745" s="311"/>
      <c r="BHL745" s="311"/>
      <c r="BHM745" s="311"/>
      <c r="BHN745" s="311"/>
      <c r="BHO745" s="311"/>
      <c r="BHP745" s="311"/>
      <c r="BHQ745" s="311"/>
      <c r="BHR745" s="311"/>
      <c r="BHS745" s="311"/>
      <c r="BHT745" s="311"/>
      <c r="BHU745" s="311"/>
      <c r="BHV745" s="311"/>
      <c r="BHW745" s="311"/>
      <c r="BHX745" s="311"/>
      <c r="BHY745" s="311"/>
      <c r="BHZ745" s="311"/>
      <c r="BIA745" s="311"/>
      <c r="BIB745" s="311"/>
      <c r="BIC745" s="311"/>
      <c r="BID745" s="311"/>
      <c r="BIE745" s="311"/>
      <c r="BIF745" s="311"/>
      <c r="BIG745" s="311"/>
      <c r="BIH745" s="311"/>
      <c r="BII745" s="311"/>
      <c r="BIJ745" s="311"/>
      <c r="BIK745" s="311"/>
      <c r="BIL745" s="311"/>
      <c r="BIM745" s="311"/>
      <c r="BIN745" s="311"/>
      <c r="BIO745" s="311"/>
      <c r="BIP745" s="311"/>
      <c r="BIQ745" s="311"/>
      <c r="BIR745" s="311"/>
      <c r="BIS745" s="311"/>
      <c r="BIT745" s="311"/>
      <c r="BIU745" s="311"/>
      <c r="BIV745" s="311"/>
      <c r="BIW745" s="311"/>
      <c r="BIX745" s="311"/>
      <c r="BIY745" s="311"/>
      <c r="BIZ745" s="311"/>
      <c r="BJA745" s="311"/>
      <c r="BJB745" s="311"/>
      <c r="BJC745" s="311"/>
      <c r="BJD745" s="311"/>
      <c r="BJE745" s="311"/>
      <c r="BJF745" s="311"/>
      <c r="BJG745" s="311"/>
      <c r="BJH745" s="311"/>
      <c r="BJI745" s="311"/>
      <c r="BJJ745" s="311"/>
      <c r="BJK745" s="311"/>
      <c r="BJL745" s="311"/>
      <c r="BJM745" s="311"/>
      <c r="BJN745" s="311"/>
      <c r="BJO745" s="311"/>
      <c r="BJP745" s="311"/>
      <c r="BJQ745" s="311"/>
      <c r="BJR745" s="311"/>
      <c r="BJS745" s="311"/>
      <c r="BJT745" s="311"/>
      <c r="BJU745" s="311"/>
      <c r="BJV745" s="311"/>
      <c r="BJW745" s="311"/>
      <c r="BJX745" s="311"/>
      <c r="BJY745" s="311"/>
      <c r="BJZ745" s="311"/>
      <c r="BKA745" s="311"/>
      <c r="BKB745" s="311"/>
      <c r="BKC745" s="311"/>
      <c r="BKD745" s="311"/>
      <c r="BKE745" s="311"/>
      <c r="BKF745" s="311"/>
      <c r="BKG745" s="311"/>
      <c r="BKH745" s="311"/>
      <c r="BKI745" s="311"/>
      <c r="BKJ745" s="311"/>
      <c r="BKK745" s="311"/>
      <c r="BKL745" s="311"/>
      <c r="BKM745" s="311"/>
      <c r="BKN745" s="311"/>
      <c r="BKO745" s="311"/>
      <c r="BKP745" s="311"/>
      <c r="BKQ745" s="311"/>
      <c r="BKR745" s="311"/>
      <c r="BKS745" s="311"/>
      <c r="BKT745" s="311"/>
      <c r="BKU745" s="311"/>
      <c r="BKV745" s="311"/>
      <c r="BKW745" s="311"/>
      <c r="BKX745" s="311"/>
      <c r="BKY745" s="311"/>
      <c r="BKZ745" s="311"/>
      <c r="BLA745" s="311"/>
      <c r="BLB745" s="311"/>
      <c r="BLC745" s="311"/>
      <c r="BLD745" s="311"/>
      <c r="BLE745" s="311"/>
      <c r="BLF745" s="311"/>
      <c r="BLG745" s="311"/>
      <c r="BLH745" s="311"/>
      <c r="BLI745" s="311"/>
      <c r="BLJ745" s="311"/>
      <c r="BLK745" s="311"/>
      <c r="BLL745" s="311"/>
      <c r="BLM745" s="311"/>
      <c r="BLN745" s="311"/>
      <c r="BLO745" s="311"/>
      <c r="BLP745" s="311"/>
      <c r="BLQ745" s="311"/>
      <c r="BLR745" s="311"/>
      <c r="BLS745" s="311"/>
      <c r="BLT745" s="311"/>
      <c r="BLU745" s="311"/>
      <c r="BLV745" s="311"/>
      <c r="BLW745" s="311"/>
      <c r="BLX745" s="311"/>
      <c r="BLY745" s="311"/>
      <c r="BLZ745" s="311"/>
      <c r="BMA745" s="311"/>
      <c r="BMB745" s="311"/>
      <c r="BMC745" s="311"/>
      <c r="BMD745" s="311"/>
      <c r="BME745" s="311"/>
      <c r="BMF745" s="311"/>
      <c r="BMG745" s="311"/>
      <c r="BMH745" s="311"/>
      <c r="BMI745" s="311"/>
      <c r="BMJ745" s="311"/>
      <c r="BMK745" s="311"/>
      <c r="BML745" s="311"/>
      <c r="BMM745" s="311"/>
      <c r="BMN745" s="311"/>
      <c r="BMO745" s="311"/>
      <c r="BMP745" s="311"/>
      <c r="BMQ745" s="311"/>
      <c r="BMR745" s="311"/>
      <c r="BMS745" s="311"/>
      <c r="BMT745" s="311"/>
      <c r="BMU745" s="311"/>
      <c r="BMV745" s="311"/>
      <c r="BMW745" s="311"/>
      <c r="BMX745" s="311"/>
      <c r="BMY745" s="311"/>
      <c r="BMZ745" s="311"/>
      <c r="BNA745" s="311"/>
      <c r="BNB745" s="311"/>
      <c r="BNC745" s="311"/>
      <c r="BND745" s="311"/>
      <c r="BNE745" s="311"/>
      <c r="BNF745" s="311"/>
      <c r="BNG745" s="311"/>
      <c r="BNH745" s="311"/>
      <c r="BNI745" s="311"/>
      <c r="BNJ745" s="311"/>
      <c r="BNK745" s="311"/>
      <c r="BNL745" s="311"/>
      <c r="BNM745" s="311"/>
      <c r="BNN745" s="311"/>
      <c r="BNO745" s="311"/>
      <c r="BNP745" s="311"/>
      <c r="BNQ745" s="311"/>
      <c r="BNR745" s="311"/>
      <c r="BNS745" s="311"/>
      <c r="BNT745" s="311"/>
      <c r="BNU745" s="311"/>
      <c r="BNV745" s="311"/>
      <c r="BNW745" s="311"/>
      <c r="BNX745" s="311"/>
      <c r="BNY745" s="311"/>
      <c r="BNZ745" s="311"/>
      <c r="BOA745" s="311"/>
      <c r="BOB745" s="311"/>
      <c r="BOC745" s="311"/>
      <c r="BOD745" s="311"/>
      <c r="BOE745" s="311"/>
      <c r="BOF745" s="311"/>
      <c r="BOG745" s="311"/>
      <c r="BOH745" s="311"/>
      <c r="BOI745" s="311"/>
      <c r="BOJ745" s="311"/>
      <c r="BOK745" s="311"/>
      <c r="BOL745" s="311"/>
      <c r="BOM745" s="311"/>
      <c r="BON745" s="311"/>
      <c r="BOO745" s="311"/>
      <c r="BOP745" s="311"/>
      <c r="BOQ745" s="311"/>
      <c r="BOR745" s="311"/>
      <c r="BOS745" s="311"/>
      <c r="BOT745" s="311"/>
      <c r="BOU745" s="311"/>
      <c r="BOV745" s="311"/>
      <c r="BOW745" s="311"/>
      <c r="BOX745" s="311"/>
      <c r="BOY745" s="311"/>
      <c r="BOZ745" s="311"/>
      <c r="BPA745" s="311"/>
      <c r="BPB745" s="311"/>
      <c r="BPC745" s="311"/>
      <c r="BPD745" s="311"/>
      <c r="BPE745" s="311"/>
      <c r="BPF745" s="311"/>
      <c r="BPG745" s="311"/>
      <c r="BPH745" s="311"/>
      <c r="BPI745" s="311"/>
      <c r="BPJ745" s="311"/>
      <c r="BPK745" s="311"/>
      <c r="BPL745" s="311"/>
      <c r="BPM745" s="311"/>
      <c r="BPN745" s="311"/>
      <c r="BPO745" s="311"/>
      <c r="BPP745" s="311"/>
      <c r="BPQ745" s="311"/>
      <c r="BPR745" s="311"/>
      <c r="BPS745" s="311"/>
      <c r="BPT745" s="311"/>
      <c r="BPU745" s="311"/>
      <c r="BPV745" s="311"/>
      <c r="BPW745" s="311"/>
      <c r="BPX745" s="311"/>
      <c r="BPY745" s="311"/>
      <c r="BPZ745" s="311"/>
      <c r="BQA745" s="311"/>
      <c r="BQB745" s="311"/>
      <c r="BQC745" s="311"/>
      <c r="BQD745" s="311"/>
      <c r="BQE745" s="311"/>
      <c r="BQF745" s="311"/>
      <c r="BQG745" s="311"/>
      <c r="BQH745" s="311"/>
      <c r="BQI745" s="311"/>
      <c r="BQJ745" s="311"/>
      <c r="BQK745" s="311"/>
      <c r="BQL745" s="311"/>
      <c r="BQM745" s="311"/>
      <c r="BQN745" s="311"/>
      <c r="BQO745" s="311"/>
      <c r="BQP745" s="311"/>
      <c r="BQQ745" s="311"/>
      <c r="BQR745" s="311"/>
      <c r="BQS745" s="311"/>
      <c r="BQT745" s="311"/>
      <c r="BQU745" s="311"/>
      <c r="BQV745" s="311"/>
      <c r="BQW745" s="311"/>
      <c r="BQX745" s="311"/>
      <c r="BQY745" s="311"/>
      <c r="BQZ745" s="311"/>
      <c r="BRA745" s="311"/>
      <c r="BRB745" s="311"/>
      <c r="BRC745" s="311"/>
      <c r="BRD745" s="311"/>
      <c r="BRE745" s="311"/>
      <c r="BRF745" s="311"/>
      <c r="BRG745" s="311"/>
      <c r="BRH745" s="311"/>
      <c r="BRI745" s="311"/>
      <c r="BRJ745" s="311"/>
      <c r="BRK745" s="311"/>
      <c r="BRL745" s="311"/>
      <c r="BRM745" s="311"/>
      <c r="BRN745" s="311"/>
      <c r="BRO745" s="311"/>
      <c r="BRP745" s="311"/>
      <c r="BRQ745" s="311"/>
      <c r="BRR745" s="311"/>
      <c r="BRS745" s="311"/>
      <c r="BRT745" s="311"/>
      <c r="BRU745" s="311"/>
      <c r="BRV745" s="311"/>
      <c r="BRW745" s="311"/>
      <c r="BRX745" s="311"/>
      <c r="BRY745" s="311"/>
      <c r="BRZ745" s="311"/>
      <c r="BSA745" s="311"/>
      <c r="BSB745" s="311"/>
      <c r="BSC745" s="311"/>
      <c r="BSD745" s="311"/>
      <c r="BSE745" s="311"/>
      <c r="BSF745" s="311"/>
      <c r="BSG745" s="311"/>
      <c r="BSH745" s="311"/>
      <c r="BSI745" s="311"/>
      <c r="BSJ745" s="311"/>
      <c r="BSK745" s="311"/>
      <c r="BSL745" s="311"/>
      <c r="BSM745" s="311"/>
      <c r="BSN745" s="311"/>
      <c r="BSO745" s="311"/>
      <c r="BSP745" s="311"/>
      <c r="BSQ745" s="311"/>
      <c r="BSR745" s="311"/>
      <c r="BSS745" s="311"/>
      <c r="BST745" s="311"/>
      <c r="BSU745" s="311"/>
      <c r="BSV745" s="311"/>
      <c r="BSW745" s="311"/>
      <c r="BSX745" s="311"/>
      <c r="BSY745" s="311"/>
      <c r="BSZ745" s="311"/>
      <c r="BTA745" s="311"/>
      <c r="BTB745" s="311"/>
      <c r="BTC745" s="311"/>
      <c r="BTD745" s="311"/>
      <c r="BTE745" s="311"/>
      <c r="BTF745" s="311"/>
      <c r="BTG745" s="311"/>
      <c r="BTH745" s="311"/>
      <c r="BTI745" s="311"/>
      <c r="BTJ745" s="311"/>
      <c r="BTK745" s="311"/>
      <c r="BTL745" s="311"/>
      <c r="BTM745" s="311"/>
      <c r="BTN745" s="311"/>
      <c r="BTO745" s="311"/>
      <c r="BTP745" s="311"/>
      <c r="BTQ745" s="311"/>
      <c r="BTR745" s="311"/>
      <c r="BTS745" s="311"/>
      <c r="BTT745" s="311"/>
      <c r="BTU745" s="311"/>
      <c r="BTV745" s="311"/>
      <c r="BTW745" s="311"/>
      <c r="BTX745" s="311"/>
      <c r="BTY745" s="311"/>
      <c r="BTZ745" s="311"/>
      <c r="BUA745" s="311"/>
      <c r="BUB745" s="311"/>
      <c r="BUC745" s="311"/>
      <c r="BUD745" s="311"/>
      <c r="BUE745" s="311"/>
      <c r="BUF745" s="311"/>
      <c r="BUG745" s="311"/>
      <c r="BUH745" s="311"/>
      <c r="BUI745" s="311"/>
      <c r="BUJ745" s="311"/>
      <c r="BUK745" s="311"/>
      <c r="BUL745" s="311"/>
      <c r="BUM745" s="311"/>
      <c r="BUN745" s="311"/>
      <c r="BUO745" s="311"/>
      <c r="BUP745" s="311"/>
      <c r="BUQ745" s="311"/>
      <c r="BUR745" s="311"/>
      <c r="BUS745" s="311"/>
      <c r="BUT745" s="311"/>
      <c r="BUU745" s="311"/>
      <c r="BUV745" s="311"/>
      <c r="BUW745" s="311"/>
      <c r="BUX745" s="311"/>
      <c r="BUY745" s="311"/>
      <c r="BUZ745" s="311"/>
      <c r="BVA745" s="311"/>
      <c r="BVB745" s="311"/>
      <c r="BVC745" s="311"/>
      <c r="BVD745" s="311"/>
      <c r="BVE745" s="311"/>
      <c r="BVF745" s="311"/>
      <c r="BVG745" s="311"/>
      <c r="BVH745" s="311"/>
      <c r="BVI745" s="311"/>
      <c r="BVJ745" s="311"/>
      <c r="BVK745" s="311"/>
      <c r="BVL745" s="311"/>
      <c r="BVM745" s="311"/>
      <c r="BVN745" s="311"/>
      <c r="BVO745" s="311"/>
      <c r="BVP745" s="311"/>
      <c r="BVQ745" s="311"/>
      <c r="BVR745" s="311"/>
      <c r="BVS745" s="311"/>
      <c r="BVT745" s="311"/>
      <c r="BVU745" s="311"/>
      <c r="BVV745" s="311"/>
      <c r="BVW745" s="311"/>
      <c r="BVX745" s="311"/>
      <c r="BVY745" s="311"/>
      <c r="BVZ745" s="311"/>
      <c r="BWA745" s="311"/>
      <c r="BWB745" s="311"/>
      <c r="BWC745" s="311"/>
      <c r="BWD745" s="311"/>
      <c r="BWE745" s="311"/>
      <c r="BWF745" s="311"/>
      <c r="BWG745" s="311"/>
      <c r="BWH745" s="311"/>
      <c r="BWI745" s="311"/>
      <c r="BWJ745" s="311"/>
      <c r="BWK745" s="311"/>
      <c r="BWL745" s="311"/>
      <c r="BWM745" s="311"/>
      <c r="BWN745" s="311"/>
      <c r="BWO745" s="311"/>
      <c r="BWP745" s="311"/>
      <c r="BWQ745" s="311"/>
      <c r="BWR745" s="311"/>
      <c r="BWS745" s="311"/>
      <c r="BWT745" s="311"/>
      <c r="BWU745" s="311"/>
      <c r="BWV745" s="311"/>
      <c r="BWW745" s="311"/>
      <c r="BWX745" s="311"/>
      <c r="BWY745" s="311"/>
      <c r="BWZ745" s="311"/>
      <c r="BXA745" s="311"/>
      <c r="BXB745" s="311"/>
      <c r="BXC745" s="311"/>
      <c r="BXD745" s="311"/>
      <c r="BXE745" s="311"/>
      <c r="BXF745" s="311"/>
      <c r="BXG745" s="311"/>
      <c r="BXH745" s="311"/>
      <c r="BXI745" s="311"/>
      <c r="BXJ745" s="311"/>
      <c r="BXK745" s="311"/>
      <c r="BXL745" s="311"/>
      <c r="BXM745" s="311"/>
      <c r="BXN745" s="311"/>
      <c r="BXO745" s="311"/>
      <c r="BXP745" s="311"/>
      <c r="BXQ745" s="311"/>
      <c r="BXR745" s="311"/>
      <c r="BXS745" s="311"/>
      <c r="BXT745" s="311"/>
      <c r="BXU745" s="311"/>
      <c r="BXV745" s="311"/>
      <c r="BXW745" s="311"/>
      <c r="BXX745" s="311"/>
      <c r="BXY745" s="311"/>
      <c r="BXZ745" s="311"/>
      <c r="BYA745" s="311"/>
      <c r="BYB745" s="311"/>
      <c r="BYC745" s="311"/>
      <c r="BYD745" s="311"/>
      <c r="BYE745" s="311"/>
      <c r="BYF745" s="311"/>
      <c r="BYG745" s="311"/>
      <c r="BYH745" s="311"/>
      <c r="BYI745" s="311"/>
      <c r="BYJ745" s="311"/>
      <c r="BYK745" s="311"/>
      <c r="BYL745" s="311"/>
      <c r="BYM745" s="311"/>
      <c r="BYN745" s="311"/>
      <c r="BYO745" s="311"/>
      <c r="BYP745" s="311"/>
      <c r="BYQ745" s="311"/>
      <c r="BYR745" s="311"/>
      <c r="BYS745" s="311"/>
      <c r="BYT745" s="311"/>
      <c r="BYU745" s="311"/>
      <c r="BYV745" s="311"/>
      <c r="BYW745" s="311"/>
      <c r="BYX745" s="311"/>
      <c r="BYY745" s="311"/>
      <c r="BYZ745" s="311"/>
      <c r="BZA745" s="311"/>
      <c r="BZB745" s="311"/>
      <c r="BZC745" s="311"/>
      <c r="BZD745" s="311"/>
      <c r="BZE745" s="311"/>
      <c r="BZF745" s="311"/>
      <c r="BZG745" s="311"/>
      <c r="BZH745" s="311"/>
      <c r="BZI745" s="311"/>
      <c r="BZJ745" s="311"/>
      <c r="BZK745" s="311"/>
      <c r="BZL745" s="311"/>
      <c r="BZM745" s="311"/>
      <c r="BZN745" s="311"/>
      <c r="BZO745" s="311"/>
      <c r="BZP745" s="311"/>
      <c r="BZQ745" s="311"/>
      <c r="BZR745" s="311"/>
      <c r="BZS745" s="311"/>
      <c r="BZT745" s="311"/>
      <c r="BZU745" s="311"/>
      <c r="BZV745" s="311"/>
      <c r="BZW745" s="311"/>
      <c r="BZX745" s="311"/>
      <c r="BZY745" s="311"/>
      <c r="BZZ745" s="311"/>
      <c r="CAA745" s="311"/>
      <c r="CAB745" s="311"/>
      <c r="CAC745" s="311"/>
      <c r="CAD745" s="311"/>
      <c r="CAE745" s="311"/>
      <c r="CAF745" s="311"/>
      <c r="CAG745" s="311"/>
      <c r="CAH745" s="311"/>
      <c r="CAI745" s="311"/>
      <c r="CAJ745" s="311"/>
      <c r="CAK745" s="311"/>
      <c r="CAL745" s="311"/>
      <c r="CAM745" s="311"/>
      <c r="CAN745" s="311"/>
      <c r="CAO745" s="311"/>
      <c r="CAP745" s="311"/>
      <c r="CAQ745" s="311"/>
      <c r="CAR745" s="311"/>
      <c r="CAS745" s="311"/>
      <c r="CAT745" s="311"/>
      <c r="CAU745" s="311"/>
      <c r="CAV745" s="311"/>
      <c r="CAW745" s="311"/>
      <c r="CAX745" s="311"/>
      <c r="CAY745" s="311"/>
      <c r="CAZ745" s="311"/>
      <c r="CBA745" s="311"/>
      <c r="CBB745" s="311"/>
      <c r="CBC745" s="311"/>
      <c r="CBD745" s="311"/>
      <c r="CBE745" s="311"/>
      <c r="CBF745" s="311"/>
      <c r="CBG745" s="311"/>
      <c r="CBH745" s="311"/>
      <c r="CBI745" s="311"/>
      <c r="CBJ745" s="311"/>
      <c r="CBK745" s="311"/>
      <c r="CBL745" s="311"/>
      <c r="CBM745" s="311"/>
      <c r="CBN745" s="311"/>
      <c r="CBO745" s="311"/>
      <c r="CBP745" s="311"/>
      <c r="CBQ745" s="311"/>
      <c r="CBR745" s="311"/>
      <c r="CBS745" s="311"/>
      <c r="CBT745" s="311"/>
      <c r="CBU745" s="311"/>
      <c r="CBV745" s="311"/>
      <c r="CBW745" s="311"/>
      <c r="CBX745" s="311"/>
      <c r="CBY745" s="311"/>
      <c r="CBZ745" s="311"/>
      <c r="CCA745" s="311"/>
      <c r="CCB745" s="311"/>
      <c r="CCC745" s="311"/>
      <c r="CCD745" s="311"/>
      <c r="CCE745" s="311"/>
      <c r="CCF745" s="311"/>
      <c r="CCG745" s="311"/>
      <c r="CCH745" s="311"/>
      <c r="CCI745" s="311"/>
      <c r="CCJ745" s="311"/>
      <c r="CCK745" s="311"/>
      <c r="CCL745" s="311"/>
      <c r="CCM745" s="311"/>
      <c r="CCN745" s="311"/>
      <c r="CCO745" s="311"/>
      <c r="CCP745" s="311"/>
      <c r="CCQ745" s="311"/>
      <c r="CCR745" s="311"/>
      <c r="CCS745" s="311"/>
      <c r="CCT745" s="311"/>
      <c r="CCU745" s="311"/>
      <c r="CCV745" s="311"/>
      <c r="CCW745" s="311"/>
      <c r="CCX745" s="311"/>
      <c r="CCY745" s="311"/>
      <c r="CCZ745" s="311"/>
      <c r="CDA745" s="311"/>
      <c r="CDB745" s="311"/>
      <c r="CDC745" s="311"/>
      <c r="CDD745" s="311"/>
      <c r="CDE745" s="311"/>
      <c r="CDF745" s="311"/>
      <c r="CDG745" s="311"/>
      <c r="CDH745" s="311"/>
      <c r="CDI745" s="311"/>
      <c r="CDJ745" s="311"/>
      <c r="CDK745" s="311"/>
      <c r="CDL745" s="311"/>
      <c r="CDM745" s="311"/>
      <c r="CDN745" s="311"/>
      <c r="CDO745" s="311"/>
      <c r="CDP745" s="311"/>
      <c r="CDQ745" s="311"/>
      <c r="CDR745" s="311"/>
      <c r="CDS745" s="311"/>
      <c r="CDT745" s="311"/>
      <c r="CDU745" s="311"/>
      <c r="CDV745" s="311"/>
      <c r="CDW745" s="311"/>
      <c r="CDX745" s="311"/>
      <c r="CDY745" s="311"/>
      <c r="CDZ745" s="311"/>
      <c r="CEA745" s="311"/>
      <c r="CEB745" s="311"/>
      <c r="CEC745" s="311"/>
      <c r="CED745" s="311"/>
      <c r="CEE745" s="311"/>
      <c r="CEF745" s="311"/>
      <c r="CEG745" s="311"/>
      <c r="CEH745" s="311"/>
      <c r="CEI745" s="311"/>
      <c r="CEJ745" s="311"/>
      <c r="CEK745" s="311"/>
      <c r="CEL745" s="311"/>
      <c r="CEM745" s="311"/>
      <c r="CEN745" s="311"/>
      <c r="CEO745" s="311"/>
      <c r="CEP745" s="311"/>
      <c r="CEQ745" s="311"/>
      <c r="CER745" s="311"/>
      <c r="CES745" s="311"/>
      <c r="CET745" s="311"/>
      <c r="CEU745" s="311"/>
      <c r="CEV745" s="311"/>
      <c r="CEW745" s="311"/>
      <c r="CEX745" s="311"/>
      <c r="CEY745" s="311"/>
      <c r="CEZ745" s="311"/>
      <c r="CFA745" s="311"/>
      <c r="CFB745" s="311"/>
      <c r="CFC745" s="311"/>
      <c r="CFD745" s="311"/>
      <c r="CFE745" s="311"/>
      <c r="CFF745" s="311"/>
      <c r="CFG745" s="311"/>
      <c r="CFH745" s="311"/>
      <c r="CFI745" s="311"/>
      <c r="CFJ745" s="311"/>
      <c r="CFK745" s="311"/>
      <c r="CFL745" s="311"/>
      <c r="CFM745" s="311"/>
      <c r="CFN745" s="311"/>
      <c r="CFO745" s="311"/>
      <c r="CFP745" s="311"/>
      <c r="CFQ745" s="311"/>
      <c r="CFR745" s="311"/>
      <c r="CFS745" s="311"/>
      <c r="CFT745" s="311"/>
      <c r="CFU745" s="311"/>
      <c r="CFV745" s="311"/>
      <c r="CFW745" s="311"/>
      <c r="CFX745" s="311"/>
      <c r="CFY745" s="311"/>
      <c r="CFZ745" s="311"/>
      <c r="CGA745" s="311"/>
      <c r="CGB745" s="311"/>
      <c r="CGC745" s="311"/>
      <c r="CGD745" s="311"/>
      <c r="CGE745" s="311"/>
      <c r="CGF745" s="311"/>
      <c r="CGG745" s="311"/>
      <c r="CGH745" s="311"/>
      <c r="CGI745" s="311"/>
      <c r="CGJ745" s="311"/>
      <c r="CGK745" s="311"/>
      <c r="CGL745" s="311"/>
      <c r="CGM745" s="311"/>
      <c r="CGN745" s="311"/>
      <c r="CGO745" s="311"/>
      <c r="CGP745" s="311"/>
      <c r="CGQ745" s="311"/>
      <c r="CGR745" s="311"/>
      <c r="CGS745" s="311"/>
      <c r="CGT745" s="311"/>
      <c r="CGU745" s="311"/>
      <c r="CGV745" s="311"/>
      <c r="CGW745" s="311"/>
      <c r="CGX745" s="311"/>
      <c r="CGY745" s="311"/>
      <c r="CGZ745" s="311"/>
      <c r="CHA745" s="311"/>
      <c r="CHB745" s="311"/>
      <c r="CHC745" s="311"/>
      <c r="CHD745" s="311"/>
      <c r="CHE745" s="311"/>
      <c r="CHF745" s="311"/>
      <c r="CHG745" s="311"/>
      <c r="CHH745" s="311"/>
      <c r="CHI745" s="311"/>
      <c r="CHJ745" s="311"/>
      <c r="CHK745" s="311"/>
      <c r="CHL745" s="311"/>
      <c r="CHM745" s="311"/>
      <c r="CHN745" s="311"/>
      <c r="CHO745" s="311"/>
      <c r="CHP745" s="311"/>
      <c r="CHQ745" s="311"/>
      <c r="CHR745" s="311"/>
      <c r="CHS745" s="311"/>
      <c r="CHT745" s="311"/>
      <c r="CHU745" s="311"/>
      <c r="CHV745" s="311"/>
      <c r="CHW745" s="311"/>
      <c r="CHX745" s="311"/>
      <c r="CHY745" s="311"/>
      <c r="CHZ745" s="311"/>
      <c r="CIA745" s="311"/>
      <c r="CIB745" s="311"/>
      <c r="CIC745" s="311"/>
      <c r="CID745" s="311"/>
      <c r="CIE745" s="311"/>
      <c r="CIF745" s="311"/>
      <c r="CIG745" s="311"/>
      <c r="CIH745" s="311"/>
      <c r="CII745" s="311"/>
      <c r="CIJ745" s="311"/>
      <c r="CIK745" s="311"/>
      <c r="CIL745" s="311"/>
      <c r="CIM745" s="311"/>
      <c r="CIN745" s="311"/>
      <c r="CIO745" s="311"/>
      <c r="CIP745" s="311"/>
      <c r="CIQ745" s="311"/>
      <c r="CIR745" s="311"/>
      <c r="CIS745" s="311"/>
      <c r="CIT745" s="311"/>
      <c r="CIU745" s="311"/>
      <c r="CIV745" s="311"/>
      <c r="CIW745" s="311"/>
      <c r="CIX745" s="311"/>
      <c r="CIY745" s="311"/>
      <c r="CIZ745" s="311"/>
      <c r="CJA745" s="311"/>
      <c r="CJB745" s="311"/>
      <c r="CJC745" s="311"/>
      <c r="CJD745" s="311"/>
      <c r="CJE745" s="311"/>
      <c r="CJF745" s="311"/>
      <c r="CJG745" s="311"/>
      <c r="CJH745" s="311"/>
      <c r="CJI745" s="311"/>
      <c r="CJJ745" s="311"/>
      <c r="CJK745" s="311"/>
      <c r="CJL745" s="311"/>
      <c r="CJM745" s="311"/>
      <c r="CJN745" s="311"/>
      <c r="CJO745" s="311"/>
      <c r="CJP745" s="311"/>
      <c r="CJQ745" s="311"/>
      <c r="CJR745" s="311"/>
      <c r="CJS745" s="311"/>
      <c r="CJT745" s="311"/>
      <c r="CJU745" s="311"/>
      <c r="CJV745" s="311"/>
      <c r="CJW745" s="311"/>
      <c r="CJX745" s="311"/>
      <c r="CJY745" s="311"/>
      <c r="CJZ745" s="311"/>
      <c r="CKA745" s="311"/>
      <c r="CKB745" s="311"/>
      <c r="CKC745" s="311"/>
      <c r="CKD745" s="311"/>
      <c r="CKE745" s="311"/>
      <c r="CKF745" s="311"/>
      <c r="CKG745" s="311"/>
      <c r="CKH745" s="311"/>
      <c r="CKI745" s="311"/>
      <c r="CKJ745" s="311"/>
      <c r="CKK745" s="311"/>
      <c r="CKL745" s="311"/>
      <c r="CKM745" s="311"/>
      <c r="CKN745" s="311"/>
      <c r="CKO745" s="311"/>
      <c r="CKP745" s="311"/>
      <c r="CKQ745" s="311"/>
      <c r="CKR745" s="311"/>
      <c r="CKS745" s="311"/>
      <c r="CKT745" s="311"/>
      <c r="CKU745" s="311"/>
      <c r="CKV745" s="311"/>
      <c r="CKW745" s="311"/>
      <c r="CKX745" s="311"/>
      <c r="CKY745" s="311"/>
      <c r="CKZ745" s="311"/>
      <c r="CLA745" s="311"/>
      <c r="CLB745" s="311"/>
      <c r="CLC745" s="311"/>
      <c r="CLD745" s="311"/>
      <c r="CLE745" s="311"/>
      <c r="CLF745" s="311"/>
      <c r="CLG745" s="311"/>
      <c r="CLH745" s="311"/>
      <c r="CLI745" s="311"/>
      <c r="CLJ745" s="311"/>
      <c r="CLK745" s="311"/>
      <c r="CLL745" s="311"/>
      <c r="CLM745" s="311"/>
      <c r="CLN745" s="311"/>
      <c r="CLO745" s="311"/>
      <c r="CLP745" s="311"/>
      <c r="CLQ745" s="311"/>
      <c r="CLR745" s="311"/>
      <c r="CLS745" s="311"/>
      <c r="CLT745" s="311"/>
      <c r="CLU745" s="311"/>
      <c r="CLV745" s="311"/>
      <c r="CLW745" s="311"/>
      <c r="CLX745" s="311"/>
      <c r="CLY745" s="311"/>
      <c r="CLZ745" s="311"/>
      <c r="CMA745" s="311"/>
      <c r="CMB745" s="311"/>
      <c r="CMC745" s="311"/>
      <c r="CMD745" s="311"/>
      <c r="CME745" s="311"/>
      <c r="CMF745" s="311"/>
      <c r="CMG745" s="311"/>
      <c r="CMH745" s="311"/>
      <c r="CMI745" s="311"/>
      <c r="CMJ745" s="311"/>
      <c r="CMK745" s="311"/>
      <c r="CML745" s="311"/>
      <c r="CMM745" s="311"/>
      <c r="CMN745" s="311"/>
      <c r="CMO745" s="311"/>
      <c r="CMP745" s="311"/>
      <c r="CMQ745" s="311"/>
      <c r="CMR745" s="311"/>
      <c r="CMS745" s="311"/>
      <c r="CMT745" s="311"/>
      <c r="CMU745" s="311"/>
      <c r="CMV745" s="311"/>
      <c r="CMW745" s="311"/>
      <c r="CMX745" s="311"/>
      <c r="CMY745" s="311"/>
      <c r="CMZ745" s="311"/>
      <c r="CNA745" s="311"/>
      <c r="CNB745" s="311"/>
      <c r="CNC745" s="311"/>
      <c r="CND745" s="311"/>
      <c r="CNE745" s="311"/>
      <c r="CNF745" s="311"/>
      <c r="CNG745" s="311"/>
      <c r="CNH745" s="311"/>
      <c r="CNI745" s="311"/>
      <c r="CNJ745" s="311"/>
      <c r="CNK745" s="311"/>
      <c r="CNL745" s="311"/>
      <c r="CNM745" s="311"/>
      <c r="CNN745" s="311"/>
      <c r="CNO745" s="311"/>
      <c r="CNP745" s="311"/>
      <c r="CNQ745" s="311"/>
      <c r="CNR745" s="311"/>
      <c r="CNS745" s="311"/>
      <c r="CNT745" s="311"/>
      <c r="CNU745" s="311"/>
      <c r="CNV745" s="311"/>
      <c r="CNW745" s="311"/>
      <c r="CNX745" s="311"/>
      <c r="CNY745" s="311"/>
      <c r="CNZ745" s="311"/>
      <c r="COA745" s="311"/>
      <c r="COB745" s="311"/>
      <c r="COC745" s="311"/>
      <c r="COD745" s="311"/>
      <c r="COE745" s="311"/>
      <c r="COF745" s="311"/>
      <c r="COG745" s="311"/>
      <c r="COH745" s="311"/>
      <c r="COI745" s="311"/>
      <c r="COJ745" s="311"/>
      <c r="COK745" s="311"/>
      <c r="COL745" s="311"/>
      <c r="COM745" s="311"/>
      <c r="CON745" s="311"/>
      <c r="COO745" s="311"/>
      <c r="COP745" s="311"/>
      <c r="COQ745" s="311"/>
      <c r="COR745" s="311"/>
      <c r="COS745" s="311"/>
      <c r="COT745" s="311"/>
      <c r="COU745" s="311"/>
      <c r="COV745" s="311"/>
      <c r="COW745" s="311"/>
      <c r="COX745" s="311"/>
      <c r="COY745" s="311"/>
      <c r="COZ745" s="311"/>
      <c r="CPA745" s="311"/>
      <c r="CPB745" s="311"/>
      <c r="CPC745" s="311"/>
      <c r="CPD745" s="311"/>
      <c r="CPE745" s="311"/>
      <c r="CPF745" s="311"/>
      <c r="CPG745" s="311"/>
      <c r="CPH745" s="311"/>
      <c r="CPI745" s="311"/>
      <c r="CPJ745" s="311"/>
      <c r="CPK745" s="311"/>
      <c r="CPL745" s="311"/>
      <c r="CPM745" s="311"/>
      <c r="CPN745" s="311"/>
      <c r="CPO745" s="311"/>
      <c r="CPP745" s="311"/>
      <c r="CPQ745" s="311"/>
      <c r="CPR745" s="311"/>
      <c r="CPS745" s="311"/>
      <c r="CPT745" s="311"/>
      <c r="CPU745" s="311"/>
      <c r="CPV745" s="311"/>
      <c r="CPW745" s="311"/>
      <c r="CPX745" s="311"/>
      <c r="CPY745" s="311"/>
      <c r="CPZ745" s="311"/>
      <c r="CQA745" s="311"/>
      <c r="CQB745" s="311"/>
      <c r="CQC745" s="311"/>
      <c r="CQD745" s="311"/>
      <c r="CQE745" s="311"/>
      <c r="CQF745" s="311"/>
      <c r="CQG745" s="311"/>
      <c r="CQH745" s="311"/>
      <c r="CQI745" s="311"/>
      <c r="CQJ745" s="311"/>
      <c r="CQK745" s="311"/>
      <c r="CQL745" s="311"/>
      <c r="CQM745" s="311"/>
      <c r="CQN745" s="311"/>
      <c r="CQO745" s="311"/>
      <c r="CQP745" s="311"/>
      <c r="CQQ745" s="311"/>
      <c r="CQR745" s="311"/>
      <c r="CQS745" s="311"/>
      <c r="CQT745" s="311"/>
      <c r="CQU745" s="311"/>
      <c r="CQV745" s="311"/>
      <c r="CQW745" s="311"/>
      <c r="CQX745" s="311"/>
      <c r="CQY745" s="311"/>
      <c r="CQZ745" s="311"/>
      <c r="CRA745" s="311"/>
      <c r="CRB745" s="311"/>
      <c r="CRC745" s="311"/>
      <c r="CRD745" s="311"/>
      <c r="CRE745" s="311"/>
      <c r="CRF745" s="311"/>
      <c r="CRG745" s="311"/>
      <c r="CRH745" s="311"/>
      <c r="CRI745" s="311"/>
      <c r="CRJ745" s="311"/>
      <c r="CRK745" s="311"/>
      <c r="CRL745" s="311"/>
      <c r="CRM745" s="311"/>
      <c r="CRN745" s="311"/>
      <c r="CRO745" s="311"/>
      <c r="CRP745" s="311"/>
      <c r="CRQ745" s="311"/>
      <c r="CRR745" s="311"/>
      <c r="CRS745" s="311"/>
      <c r="CRT745" s="311"/>
      <c r="CRU745" s="311"/>
      <c r="CRV745" s="311"/>
      <c r="CRW745" s="311"/>
      <c r="CRX745" s="311"/>
      <c r="CRY745" s="311"/>
      <c r="CRZ745" s="311"/>
      <c r="CSA745" s="311"/>
      <c r="CSB745" s="311"/>
      <c r="CSC745" s="311"/>
      <c r="CSD745" s="311"/>
      <c r="CSE745" s="311"/>
      <c r="CSF745" s="311"/>
      <c r="CSG745" s="311"/>
      <c r="CSH745" s="311"/>
      <c r="CSI745" s="311"/>
      <c r="CSJ745" s="311"/>
      <c r="CSK745" s="311"/>
      <c r="CSL745" s="311"/>
      <c r="CSM745" s="311"/>
      <c r="CSN745" s="311"/>
      <c r="CSO745" s="311"/>
      <c r="CSP745" s="311"/>
      <c r="CSQ745" s="311"/>
      <c r="CSR745" s="311"/>
      <c r="CSS745" s="311"/>
      <c r="CST745" s="311"/>
      <c r="CSU745" s="311"/>
      <c r="CSV745" s="311"/>
      <c r="CSW745" s="311"/>
      <c r="CSX745" s="311"/>
      <c r="CSY745" s="311"/>
      <c r="CSZ745" s="311"/>
      <c r="CTA745" s="311"/>
      <c r="CTB745" s="311"/>
      <c r="CTC745" s="311"/>
      <c r="CTD745" s="311"/>
      <c r="CTE745" s="311"/>
      <c r="CTF745" s="311"/>
      <c r="CTG745" s="311"/>
      <c r="CTH745" s="311"/>
      <c r="CTI745" s="311"/>
      <c r="CTJ745" s="311"/>
      <c r="CTK745" s="311"/>
      <c r="CTL745" s="311"/>
      <c r="CTM745" s="311"/>
      <c r="CTN745" s="311"/>
      <c r="CTO745" s="311"/>
      <c r="CTP745" s="311"/>
      <c r="CTQ745" s="311"/>
      <c r="CTR745" s="311"/>
      <c r="CTS745" s="311"/>
      <c r="CTT745" s="311"/>
      <c r="CTU745" s="311"/>
      <c r="CTV745" s="311"/>
      <c r="CTW745" s="311"/>
      <c r="CTX745" s="311"/>
      <c r="CTY745" s="311"/>
      <c r="CTZ745" s="311"/>
      <c r="CUA745" s="311"/>
      <c r="CUB745" s="311"/>
      <c r="CUC745" s="311"/>
      <c r="CUD745" s="311"/>
      <c r="CUE745" s="311"/>
      <c r="CUF745" s="311"/>
      <c r="CUG745" s="311"/>
      <c r="CUH745" s="311"/>
      <c r="CUI745" s="311"/>
      <c r="CUJ745" s="311"/>
      <c r="CUK745" s="311"/>
      <c r="CUL745" s="311"/>
      <c r="CUM745" s="311"/>
      <c r="CUN745" s="311"/>
      <c r="CUO745" s="311"/>
      <c r="CUP745" s="311"/>
      <c r="CUQ745" s="311"/>
      <c r="CUR745" s="311"/>
      <c r="CUS745" s="311"/>
      <c r="CUT745" s="311"/>
      <c r="CUU745" s="311"/>
      <c r="CUV745" s="311"/>
      <c r="CUW745" s="311"/>
      <c r="CUX745" s="311"/>
      <c r="CUY745" s="311"/>
      <c r="CUZ745" s="311"/>
      <c r="CVA745" s="311"/>
      <c r="CVB745" s="311"/>
      <c r="CVC745" s="311"/>
      <c r="CVD745" s="311"/>
      <c r="CVE745" s="311"/>
      <c r="CVF745" s="311"/>
      <c r="CVG745" s="311"/>
      <c r="CVH745" s="311"/>
      <c r="CVI745" s="311"/>
      <c r="CVJ745" s="311"/>
      <c r="CVK745" s="311"/>
      <c r="CVL745" s="311"/>
      <c r="CVM745" s="311"/>
      <c r="CVN745" s="311"/>
      <c r="CVO745" s="311"/>
      <c r="CVP745" s="311"/>
      <c r="CVQ745" s="311"/>
      <c r="CVR745" s="311"/>
      <c r="CVS745" s="311"/>
      <c r="CVT745" s="311"/>
      <c r="CVU745" s="311"/>
      <c r="CVV745" s="311"/>
      <c r="CVW745" s="311"/>
      <c r="CVX745" s="311"/>
      <c r="CVY745" s="311"/>
      <c r="CVZ745" s="311"/>
      <c r="CWA745" s="311"/>
      <c r="CWB745" s="311"/>
      <c r="CWC745" s="311"/>
      <c r="CWD745" s="311"/>
      <c r="CWE745" s="311"/>
      <c r="CWF745" s="311"/>
      <c r="CWG745" s="311"/>
      <c r="CWH745" s="311"/>
      <c r="CWI745" s="311"/>
      <c r="CWJ745" s="311"/>
      <c r="CWK745" s="311"/>
      <c r="CWL745" s="311"/>
      <c r="CWM745" s="311"/>
      <c r="CWN745" s="311"/>
      <c r="CWO745" s="311"/>
      <c r="CWP745" s="311"/>
      <c r="CWQ745" s="311"/>
      <c r="CWR745" s="311"/>
      <c r="CWS745" s="311"/>
      <c r="CWT745" s="311"/>
      <c r="CWU745" s="311"/>
      <c r="CWV745" s="311"/>
      <c r="CWW745" s="311"/>
      <c r="CWX745" s="311"/>
      <c r="CWY745" s="311"/>
      <c r="CWZ745" s="311"/>
      <c r="CXA745" s="311"/>
      <c r="CXB745" s="311"/>
      <c r="CXC745" s="311"/>
      <c r="CXD745" s="311"/>
      <c r="CXE745" s="311"/>
      <c r="CXF745" s="311"/>
      <c r="CXG745" s="311"/>
      <c r="CXH745" s="311"/>
      <c r="CXI745" s="311"/>
      <c r="CXJ745" s="311"/>
      <c r="CXK745" s="311"/>
      <c r="CXL745" s="311"/>
      <c r="CXM745" s="311"/>
      <c r="CXN745" s="311"/>
      <c r="CXO745" s="311"/>
      <c r="CXP745" s="311"/>
      <c r="CXQ745" s="311"/>
      <c r="CXR745" s="311"/>
      <c r="CXS745" s="311"/>
      <c r="CXT745" s="311"/>
      <c r="CXU745" s="311"/>
      <c r="CXV745" s="311"/>
      <c r="CXW745" s="311"/>
      <c r="CXX745" s="311"/>
      <c r="CXY745" s="311"/>
      <c r="CXZ745" s="311"/>
      <c r="CYA745" s="311"/>
      <c r="CYB745" s="311"/>
      <c r="CYC745" s="311"/>
      <c r="CYD745" s="311"/>
      <c r="CYE745" s="311"/>
      <c r="CYF745" s="311"/>
      <c r="CYG745" s="311"/>
      <c r="CYH745" s="311"/>
      <c r="CYI745" s="311"/>
      <c r="CYJ745" s="311"/>
      <c r="CYK745" s="311"/>
      <c r="CYL745" s="311"/>
      <c r="CYM745" s="311"/>
      <c r="CYN745" s="311"/>
      <c r="CYO745" s="311"/>
      <c r="CYP745" s="311"/>
      <c r="CYQ745" s="311"/>
      <c r="CYR745" s="311"/>
      <c r="CYS745" s="311"/>
      <c r="CYT745" s="311"/>
      <c r="CYU745" s="311"/>
      <c r="CYV745" s="311"/>
      <c r="CYW745" s="311"/>
      <c r="CYX745" s="311"/>
      <c r="CYY745" s="311"/>
      <c r="CYZ745" s="311"/>
      <c r="CZA745" s="311"/>
      <c r="CZB745" s="311"/>
      <c r="CZC745" s="311"/>
      <c r="CZD745" s="311"/>
      <c r="CZE745" s="311"/>
      <c r="CZF745" s="311"/>
      <c r="CZG745" s="311"/>
      <c r="CZH745" s="311"/>
      <c r="CZI745" s="311"/>
      <c r="CZJ745" s="311"/>
      <c r="CZK745" s="311"/>
      <c r="CZL745" s="311"/>
      <c r="CZM745" s="311"/>
      <c r="CZN745" s="311"/>
      <c r="CZO745" s="311"/>
      <c r="CZP745" s="311"/>
      <c r="CZQ745" s="311"/>
      <c r="CZR745" s="311"/>
      <c r="CZS745" s="311"/>
      <c r="CZT745" s="311"/>
      <c r="CZU745" s="311"/>
      <c r="CZV745" s="311"/>
      <c r="CZW745" s="311"/>
      <c r="CZX745" s="311"/>
      <c r="CZY745" s="311"/>
      <c r="CZZ745" s="311"/>
      <c r="DAA745" s="311"/>
      <c r="DAB745" s="311"/>
      <c r="DAC745" s="311"/>
      <c r="DAD745" s="311"/>
      <c r="DAE745" s="311"/>
      <c r="DAF745" s="311"/>
      <c r="DAG745" s="311"/>
      <c r="DAH745" s="311"/>
      <c r="DAI745" s="311"/>
      <c r="DAJ745" s="311"/>
      <c r="DAK745" s="311"/>
      <c r="DAL745" s="311"/>
      <c r="DAM745" s="311"/>
      <c r="DAN745" s="311"/>
      <c r="DAO745" s="311"/>
      <c r="DAP745" s="311"/>
      <c r="DAQ745" s="311"/>
      <c r="DAR745" s="311"/>
      <c r="DAS745" s="311"/>
      <c r="DAT745" s="311"/>
      <c r="DAU745" s="311"/>
      <c r="DAV745" s="311"/>
      <c r="DAW745" s="311"/>
      <c r="DAX745" s="311"/>
      <c r="DAY745" s="311"/>
      <c r="DAZ745" s="311"/>
      <c r="DBA745" s="311"/>
      <c r="DBB745" s="311"/>
      <c r="DBC745" s="311"/>
      <c r="DBD745" s="311"/>
      <c r="DBE745" s="311"/>
      <c r="DBF745" s="311"/>
      <c r="DBG745" s="311"/>
      <c r="DBH745" s="311"/>
      <c r="DBI745" s="311"/>
      <c r="DBJ745" s="311"/>
      <c r="DBK745" s="311"/>
      <c r="DBL745" s="311"/>
      <c r="DBM745" s="311"/>
      <c r="DBN745" s="311"/>
      <c r="DBO745" s="311"/>
      <c r="DBP745" s="311"/>
      <c r="DBQ745" s="311"/>
      <c r="DBR745" s="311"/>
      <c r="DBS745" s="311"/>
      <c r="DBT745" s="311"/>
      <c r="DBU745" s="311"/>
      <c r="DBV745" s="311"/>
      <c r="DBW745" s="311"/>
      <c r="DBX745" s="311"/>
      <c r="DBY745" s="311"/>
      <c r="DBZ745" s="311"/>
      <c r="DCA745" s="311"/>
      <c r="DCB745" s="311"/>
      <c r="DCC745" s="311"/>
      <c r="DCD745" s="311"/>
      <c r="DCE745" s="311"/>
      <c r="DCF745" s="311"/>
      <c r="DCG745" s="311"/>
      <c r="DCH745" s="311"/>
      <c r="DCI745" s="311"/>
      <c r="DCJ745" s="311"/>
      <c r="DCK745" s="311"/>
      <c r="DCL745" s="311"/>
      <c r="DCM745" s="311"/>
      <c r="DCN745" s="311"/>
      <c r="DCO745" s="311"/>
      <c r="DCP745" s="311"/>
      <c r="DCQ745" s="311"/>
      <c r="DCR745" s="311"/>
      <c r="DCS745" s="311"/>
      <c r="DCT745" s="311"/>
      <c r="DCU745" s="311"/>
      <c r="DCV745" s="311"/>
      <c r="DCW745" s="311"/>
      <c r="DCX745" s="311"/>
      <c r="DCY745" s="311"/>
      <c r="DCZ745" s="311"/>
      <c r="DDA745" s="311"/>
      <c r="DDB745" s="311"/>
      <c r="DDC745" s="311"/>
      <c r="DDD745" s="311"/>
      <c r="DDE745" s="311"/>
      <c r="DDF745" s="311"/>
      <c r="DDG745" s="311"/>
      <c r="DDH745" s="311"/>
      <c r="DDI745" s="311"/>
      <c r="DDJ745" s="311"/>
      <c r="DDK745" s="311"/>
      <c r="DDL745" s="311"/>
      <c r="DDM745" s="311"/>
      <c r="DDN745" s="311"/>
      <c r="DDO745" s="311"/>
      <c r="DDP745" s="311"/>
      <c r="DDQ745" s="311"/>
      <c r="DDR745" s="311"/>
      <c r="DDS745" s="311"/>
      <c r="DDT745" s="311"/>
      <c r="DDU745" s="311"/>
      <c r="DDV745" s="311"/>
      <c r="DDW745" s="311"/>
      <c r="DDX745" s="311"/>
      <c r="DDY745" s="311"/>
      <c r="DDZ745" s="311"/>
      <c r="DEA745" s="311"/>
      <c r="DEB745" s="311"/>
      <c r="DEC745" s="311"/>
      <c r="DED745" s="311"/>
      <c r="DEE745" s="311"/>
      <c r="DEF745" s="311"/>
      <c r="DEG745" s="311"/>
      <c r="DEH745" s="311"/>
      <c r="DEI745" s="311"/>
      <c r="DEJ745" s="311"/>
      <c r="DEK745" s="311"/>
      <c r="DEL745" s="311"/>
      <c r="DEM745" s="311"/>
      <c r="DEN745" s="311"/>
      <c r="DEO745" s="311"/>
      <c r="DEP745" s="311"/>
      <c r="DEQ745" s="311"/>
      <c r="DER745" s="311"/>
      <c r="DES745" s="311"/>
      <c r="DET745" s="311"/>
      <c r="DEU745" s="311"/>
      <c r="DEV745" s="311"/>
      <c r="DEW745" s="311"/>
      <c r="DEX745" s="311"/>
      <c r="DEY745" s="311"/>
      <c r="DEZ745" s="311"/>
      <c r="DFA745" s="311"/>
      <c r="DFB745" s="311"/>
      <c r="DFC745" s="311"/>
      <c r="DFD745" s="311"/>
      <c r="DFE745" s="311"/>
      <c r="DFF745" s="311"/>
      <c r="DFG745" s="311"/>
      <c r="DFH745" s="311"/>
      <c r="DFI745" s="311"/>
      <c r="DFJ745" s="311"/>
      <c r="DFK745" s="311"/>
      <c r="DFL745" s="311"/>
      <c r="DFM745" s="311"/>
      <c r="DFN745" s="311"/>
      <c r="DFO745" s="311"/>
      <c r="DFP745" s="311"/>
      <c r="DFQ745" s="311"/>
      <c r="DFR745" s="311"/>
      <c r="DFS745" s="311"/>
      <c r="DFT745" s="311"/>
      <c r="DFU745" s="311"/>
      <c r="DFV745" s="311"/>
      <c r="DFW745" s="311"/>
      <c r="DFX745" s="311"/>
      <c r="DFY745" s="311"/>
      <c r="DFZ745" s="311"/>
      <c r="DGA745" s="311"/>
      <c r="DGB745" s="311"/>
      <c r="DGC745" s="311"/>
      <c r="DGD745" s="311"/>
      <c r="DGE745" s="311"/>
      <c r="DGF745" s="311"/>
      <c r="DGG745" s="311"/>
      <c r="DGH745" s="311"/>
      <c r="DGI745" s="311"/>
      <c r="DGJ745" s="311"/>
      <c r="DGK745" s="311"/>
      <c r="DGL745" s="311"/>
      <c r="DGM745" s="311"/>
      <c r="DGN745" s="311"/>
      <c r="DGO745" s="311"/>
      <c r="DGP745" s="311"/>
      <c r="DGQ745" s="311"/>
      <c r="DGR745" s="311"/>
      <c r="DGS745" s="311"/>
      <c r="DGT745" s="311"/>
      <c r="DGU745" s="311"/>
      <c r="DGV745" s="311"/>
      <c r="DGW745" s="311"/>
      <c r="DGX745" s="311"/>
      <c r="DGY745" s="311"/>
      <c r="DGZ745" s="311"/>
      <c r="DHA745" s="311"/>
      <c r="DHB745" s="311"/>
      <c r="DHC745" s="311"/>
      <c r="DHD745" s="311"/>
      <c r="DHE745" s="311"/>
      <c r="DHF745" s="311"/>
      <c r="DHG745" s="311"/>
      <c r="DHH745" s="311"/>
      <c r="DHI745" s="311"/>
      <c r="DHJ745" s="311"/>
      <c r="DHK745" s="311"/>
      <c r="DHL745" s="311"/>
      <c r="DHM745" s="311"/>
      <c r="DHN745" s="311"/>
      <c r="DHO745" s="311"/>
      <c r="DHP745" s="311"/>
      <c r="DHQ745" s="311"/>
      <c r="DHR745" s="311"/>
      <c r="DHS745" s="311"/>
      <c r="DHT745" s="311"/>
      <c r="DHU745" s="311"/>
      <c r="DHV745" s="311"/>
      <c r="DHW745" s="311"/>
      <c r="DHX745" s="311"/>
      <c r="DHY745" s="311"/>
      <c r="DHZ745" s="311"/>
      <c r="DIA745" s="311"/>
      <c r="DIB745" s="311"/>
      <c r="DIC745" s="311"/>
      <c r="DID745" s="311"/>
      <c r="DIE745" s="311"/>
      <c r="DIF745" s="311"/>
      <c r="DIG745" s="311"/>
      <c r="DIH745" s="311"/>
      <c r="DII745" s="311"/>
      <c r="DIJ745" s="311"/>
      <c r="DIK745" s="311"/>
      <c r="DIL745" s="311"/>
      <c r="DIM745" s="311"/>
      <c r="DIN745" s="311"/>
      <c r="DIO745" s="311"/>
      <c r="DIP745" s="311"/>
      <c r="DIQ745" s="311"/>
      <c r="DIR745" s="311"/>
      <c r="DIS745" s="311"/>
      <c r="DIT745" s="311"/>
      <c r="DIU745" s="311"/>
      <c r="DIV745" s="311"/>
      <c r="DIW745" s="311"/>
      <c r="DIX745" s="311"/>
      <c r="DIY745" s="311"/>
      <c r="DIZ745" s="311"/>
      <c r="DJA745" s="311"/>
      <c r="DJB745" s="311"/>
      <c r="DJC745" s="311"/>
      <c r="DJD745" s="311"/>
      <c r="DJE745" s="311"/>
      <c r="DJF745" s="311"/>
      <c r="DJG745" s="311"/>
      <c r="DJH745" s="311"/>
      <c r="DJI745" s="311"/>
      <c r="DJJ745" s="311"/>
      <c r="DJK745" s="311"/>
      <c r="DJL745" s="311"/>
      <c r="DJM745" s="311"/>
      <c r="DJN745" s="311"/>
      <c r="DJO745" s="311"/>
      <c r="DJP745" s="311"/>
      <c r="DJQ745" s="311"/>
      <c r="DJR745" s="311"/>
      <c r="DJS745" s="311"/>
      <c r="DJT745" s="311"/>
      <c r="DJU745" s="311"/>
      <c r="DJV745" s="311"/>
      <c r="DJW745" s="311"/>
      <c r="DJX745" s="311"/>
      <c r="DJY745" s="311"/>
      <c r="DJZ745" s="311"/>
      <c r="DKA745" s="311"/>
      <c r="DKB745" s="311"/>
      <c r="DKC745" s="311"/>
      <c r="DKD745" s="311"/>
      <c r="DKE745" s="311"/>
      <c r="DKF745" s="311"/>
      <c r="DKG745" s="311"/>
      <c r="DKH745" s="311"/>
      <c r="DKI745" s="311"/>
      <c r="DKJ745" s="311"/>
      <c r="DKK745" s="311"/>
      <c r="DKL745" s="311"/>
      <c r="DKM745" s="311"/>
      <c r="DKN745" s="311"/>
      <c r="DKO745" s="311"/>
      <c r="DKP745" s="311"/>
      <c r="DKQ745" s="311"/>
      <c r="DKR745" s="311"/>
      <c r="DKS745" s="311"/>
      <c r="DKT745" s="311"/>
      <c r="DKU745" s="311"/>
      <c r="DKV745" s="311"/>
      <c r="DKW745" s="311"/>
      <c r="DKX745" s="311"/>
      <c r="DKY745" s="311"/>
      <c r="DKZ745" s="311"/>
      <c r="DLA745" s="311"/>
      <c r="DLB745" s="311"/>
      <c r="DLC745" s="311"/>
      <c r="DLD745" s="311"/>
      <c r="DLE745" s="311"/>
      <c r="DLF745" s="311"/>
      <c r="DLG745" s="311"/>
      <c r="DLH745" s="311"/>
      <c r="DLI745" s="311"/>
      <c r="DLJ745" s="311"/>
      <c r="DLK745" s="311"/>
      <c r="DLL745" s="311"/>
      <c r="DLM745" s="311"/>
      <c r="DLN745" s="311"/>
      <c r="DLO745" s="311"/>
      <c r="DLP745" s="311"/>
      <c r="DLQ745" s="311"/>
      <c r="DLR745" s="311"/>
      <c r="DLS745" s="311"/>
      <c r="DLT745" s="311"/>
      <c r="DLU745" s="311"/>
      <c r="DLV745" s="311"/>
      <c r="DLW745" s="311"/>
      <c r="DLX745" s="311"/>
      <c r="DLY745" s="311"/>
      <c r="DLZ745" s="311"/>
      <c r="DMA745" s="311"/>
      <c r="DMB745" s="311"/>
      <c r="DMC745" s="311"/>
      <c r="DMD745" s="311"/>
      <c r="DME745" s="311"/>
      <c r="DMF745" s="311"/>
      <c r="DMG745" s="311"/>
      <c r="DMH745" s="311"/>
      <c r="DMI745" s="311"/>
      <c r="DMJ745" s="311"/>
      <c r="DMK745" s="311"/>
      <c r="DML745" s="311"/>
      <c r="DMM745" s="311"/>
      <c r="DMN745" s="311"/>
      <c r="DMO745" s="311"/>
      <c r="DMP745" s="311"/>
      <c r="DMQ745" s="311"/>
      <c r="DMR745" s="311"/>
      <c r="DMS745" s="311"/>
      <c r="DMT745" s="311"/>
      <c r="DMU745" s="311"/>
      <c r="DMV745" s="311"/>
      <c r="DMW745" s="311"/>
      <c r="DMX745" s="311"/>
      <c r="DMY745" s="311"/>
      <c r="DMZ745" s="311"/>
      <c r="DNA745" s="311"/>
      <c r="DNB745" s="311"/>
      <c r="DNC745" s="311"/>
      <c r="DND745" s="311"/>
      <c r="DNE745" s="311"/>
      <c r="DNF745" s="311"/>
      <c r="DNG745" s="311"/>
      <c r="DNH745" s="311"/>
      <c r="DNI745" s="311"/>
      <c r="DNJ745" s="311"/>
      <c r="DNK745" s="311"/>
      <c r="DNL745" s="311"/>
      <c r="DNM745" s="311"/>
      <c r="DNN745" s="311"/>
      <c r="DNO745" s="311"/>
      <c r="DNP745" s="311"/>
      <c r="DNQ745" s="311"/>
      <c r="DNR745" s="311"/>
      <c r="DNS745" s="311"/>
      <c r="DNT745" s="311"/>
      <c r="DNU745" s="311"/>
      <c r="DNV745" s="311"/>
      <c r="DNW745" s="311"/>
      <c r="DNX745" s="311"/>
      <c r="DNY745" s="311"/>
      <c r="DNZ745" s="311"/>
      <c r="DOA745" s="311"/>
      <c r="DOB745" s="311"/>
      <c r="DOC745" s="311"/>
      <c r="DOD745" s="311"/>
      <c r="DOE745" s="311"/>
      <c r="DOF745" s="311"/>
      <c r="DOG745" s="311"/>
      <c r="DOH745" s="311"/>
      <c r="DOI745" s="311"/>
      <c r="DOJ745" s="311"/>
      <c r="DOK745" s="311"/>
      <c r="DOL745" s="311"/>
      <c r="DOM745" s="311"/>
      <c r="DON745" s="311"/>
      <c r="DOO745" s="311"/>
      <c r="DOP745" s="311"/>
      <c r="DOQ745" s="311"/>
      <c r="DOR745" s="311"/>
      <c r="DOS745" s="311"/>
      <c r="DOT745" s="311"/>
      <c r="DOU745" s="311"/>
      <c r="DOV745" s="311"/>
      <c r="DOW745" s="311"/>
      <c r="DOX745" s="311"/>
      <c r="DOY745" s="311"/>
      <c r="DOZ745" s="311"/>
      <c r="DPA745" s="311"/>
      <c r="DPB745" s="311"/>
      <c r="DPC745" s="311"/>
      <c r="DPD745" s="311"/>
      <c r="DPE745" s="311"/>
      <c r="DPF745" s="311"/>
      <c r="DPG745" s="311"/>
      <c r="DPH745" s="311"/>
      <c r="DPI745" s="311"/>
      <c r="DPJ745" s="311"/>
      <c r="DPK745" s="311"/>
      <c r="DPL745" s="311"/>
      <c r="DPM745" s="311"/>
      <c r="DPN745" s="311"/>
      <c r="DPO745" s="311"/>
      <c r="DPP745" s="311"/>
      <c r="DPQ745" s="311"/>
      <c r="DPR745" s="311"/>
      <c r="DPS745" s="311"/>
      <c r="DPT745" s="311"/>
      <c r="DPU745" s="311"/>
      <c r="DPV745" s="311"/>
      <c r="DPW745" s="311"/>
      <c r="DPX745" s="311"/>
      <c r="DPY745" s="311"/>
      <c r="DPZ745" s="311"/>
      <c r="DQA745" s="311"/>
      <c r="DQB745" s="311"/>
      <c r="DQC745" s="311"/>
      <c r="DQD745" s="311"/>
      <c r="DQE745" s="311"/>
      <c r="DQF745" s="311"/>
      <c r="DQG745" s="311"/>
      <c r="DQH745" s="311"/>
      <c r="DQI745" s="311"/>
      <c r="DQJ745" s="311"/>
      <c r="DQK745" s="311"/>
      <c r="DQL745" s="311"/>
      <c r="DQM745" s="311"/>
      <c r="DQN745" s="311"/>
      <c r="DQO745" s="311"/>
      <c r="DQP745" s="311"/>
      <c r="DQQ745" s="311"/>
      <c r="DQR745" s="311"/>
      <c r="DQS745" s="311"/>
      <c r="DQT745" s="311"/>
      <c r="DQU745" s="311"/>
      <c r="DQV745" s="311"/>
      <c r="DQW745" s="311"/>
      <c r="DQX745" s="311"/>
      <c r="DQY745" s="311"/>
      <c r="DQZ745" s="311"/>
      <c r="DRA745" s="311"/>
      <c r="DRB745" s="311"/>
      <c r="DRC745" s="311"/>
      <c r="DRD745" s="311"/>
      <c r="DRE745" s="311"/>
      <c r="DRF745" s="311"/>
      <c r="DRG745" s="311"/>
      <c r="DRH745" s="311"/>
      <c r="DRI745" s="311"/>
      <c r="DRJ745" s="311"/>
      <c r="DRK745" s="311"/>
      <c r="DRL745" s="311"/>
      <c r="DRM745" s="311"/>
      <c r="DRN745" s="311"/>
      <c r="DRO745" s="311"/>
      <c r="DRP745" s="311"/>
      <c r="DRQ745" s="311"/>
      <c r="DRR745" s="311"/>
      <c r="DRS745" s="311"/>
      <c r="DRT745" s="311"/>
      <c r="DRU745" s="311"/>
      <c r="DRV745" s="311"/>
      <c r="DRW745" s="311"/>
      <c r="DRX745" s="311"/>
      <c r="DRY745" s="311"/>
      <c r="DRZ745" s="311"/>
      <c r="DSA745" s="311"/>
      <c r="DSB745" s="311"/>
      <c r="DSC745" s="311"/>
      <c r="DSD745" s="311"/>
      <c r="DSE745" s="311"/>
      <c r="DSF745" s="311"/>
      <c r="DSG745" s="311"/>
      <c r="DSH745" s="311"/>
      <c r="DSI745" s="311"/>
      <c r="DSJ745" s="311"/>
      <c r="DSK745" s="311"/>
      <c r="DSL745" s="311"/>
      <c r="DSM745" s="311"/>
      <c r="DSN745" s="311"/>
      <c r="DSO745" s="311"/>
      <c r="DSP745" s="311"/>
      <c r="DSQ745" s="311"/>
      <c r="DSR745" s="311"/>
      <c r="DSS745" s="311"/>
      <c r="DST745" s="311"/>
      <c r="DSU745" s="311"/>
      <c r="DSV745" s="311"/>
      <c r="DSW745" s="311"/>
      <c r="DSX745" s="311"/>
      <c r="DSY745" s="311"/>
      <c r="DSZ745" s="311"/>
      <c r="DTA745" s="311"/>
      <c r="DTB745" s="311"/>
      <c r="DTC745" s="311"/>
      <c r="DTD745" s="311"/>
      <c r="DTE745" s="311"/>
      <c r="DTF745" s="311"/>
      <c r="DTG745" s="311"/>
      <c r="DTH745" s="311"/>
      <c r="DTI745" s="311"/>
      <c r="DTJ745" s="311"/>
      <c r="DTK745" s="311"/>
      <c r="DTL745" s="311"/>
      <c r="DTM745" s="311"/>
      <c r="DTN745" s="311"/>
      <c r="DTO745" s="311"/>
      <c r="DTP745" s="311"/>
      <c r="DTQ745" s="311"/>
      <c r="DTR745" s="311"/>
      <c r="DTS745" s="311"/>
      <c r="DTT745" s="311"/>
      <c r="DTU745" s="311"/>
      <c r="DTV745" s="311"/>
      <c r="DTW745" s="311"/>
      <c r="DTX745" s="311"/>
      <c r="DTY745" s="311"/>
      <c r="DTZ745" s="311"/>
      <c r="DUA745" s="311"/>
      <c r="DUB745" s="311"/>
      <c r="DUC745" s="311"/>
      <c r="DUD745" s="311"/>
      <c r="DUE745" s="311"/>
      <c r="DUF745" s="311"/>
      <c r="DUG745" s="311"/>
      <c r="DUH745" s="311"/>
      <c r="DUI745" s="311"/>
      <c r="DUJ745" s="311"/>
      <c r="DUK745" s="311"/>
      <c r="DUL745" s="311"/>
      <c r="DUM745" s="311"/>
      <c r="DUN745" s="311"/>
      <c r="DUO745" s="311"/>
      <c r="DUP745" s="311"/>
      <c r="DUQ745" s="311"/>
      <c r="DUR745" s="311"/>
      <c r="DUS745" s="311"/>
      <c r="DUT745" s="311"/>
      <c r="DUU745" s="311"/>
      <c r="DUV745" s="311"/>
      <c r="DUW745" s="311"/>
      <c r="DUX745" s="311"/>
      <c r="DUY745" s="311"/>
      <c r="DUZ745" s="311"/>
      <c r="DVA745" s="311"/>
      <c r="DVB745" s="311"/>
      <c r="DVC745" s="311"/>
      <c r="DVD745" s="311"/>
      <c r="DVE745" s="311"/>
      <c r="DVF745" s="311"/>
      <c r="DVG745" s="311"/>
      <c r="DVH745" s="311"/>
      <c r="DVI745" s="311"/>
      <c r="DVJ745" s="311"/>
      <c r="DVK745" s="311"/>
      <c r="DVL745" s="311"/>
      <c r="DVM745" s="311"/>
      <c r="DVN745" s="311"/>
      <c r="DVO745" s="311"/>
      <c r="DVP745" s="311"/>
      <c r="DVQ745" s="311"/>
      <c r="DVR745" s="311"/>
      <c r="DVS745" s="311"/>
      <c r="DVT745" s="311"/>
      <c r="DVU745" s="311"/>
      <c r="DVV745" s="311"/>
      <c r="DVW745" s="311"/>
      <c r="DVX745" s="311"/>
      <c r="DVY745" s="311"/>
      <c r="DVZ745" s="311"/>
      <c r="DWA745" s="311"/>
      <c r="DWB745" s="311"/>
      <c r="DWC745" s="311"/>
      <c r="DWD745" s="311"/>
      <c r="DWE745" s="311"/>
      <c r="DWF745" s="311"/>
      <c r="DWG745" s="311"/>
      <c r="DWH745" s="311"/>
      <c r="DWI745" s="311"/>
      <c r="DWJ745" s="311"/>
      <c r="DWK745" s="311"/>
      <c r="DWL745" s="311"/>
      <c r="DWM745" s="311"/>
      <c r="DWN745" s="311"/>
      <c r="DWO745" s="311"/>
      <c r="DWP745" s="311"/>
      <c r="DWQ745" s="311"/>
      <c r="DWR745" s="311"/>
      <c r="DWS745" s="311"/>
      <c r="DWT745" s="311"/>
      <c r="DWU745" s="311"/>
      <c r="DWV745" s="311"/>
      <c r="DWW745" s="311"/>
      <c r="DWX745" s="311"/>
      <c r="DWY745" s="311"/>
      <c r="DWZ745" s="311"/>
      <c r="DXA745" s="311"/>
      <c r="DXB745" s="311"/>
      <c r="DXC745" s="311"/>
      <c r="DXD745" s="311"/>
      <c r="DXE745" s="311"/>
      <c r="DXF745" s="311"/>
      <c r="DXG745" s="311"/>
      <c r="DXH745" s="311"/>
      <c r="DXI745" s="311"/>
      <c r="DXJ745" s="311"/>
      <c r="DXK745" s="311"/>
      <c r="DXL745" s="311"/>
      <c r="DXM745" s="311"/>
      <c r="DXN745" s="311"/>
      <c r="DXO745" s="311"/>
      <c r="DXP745" s="311"/>
      <c r="DXQ745" s="311"/>
      <c r="DXR745" s="311"/>
      <c r="DXS745" s="311"/>
      <c r="DXT745" s="311"/>
      <c r="DXU745" s="311"/>
      <c r="DXV745" s="311"/>
      <c r="DXW745" s="311"/>
      <c r="DXX745" s="311"/>
      <c r="DXY745" s="311"/>
      <c r="DXZ745" s="311"/>
      <c r="DYA745" s="311"/>
      <c r="DYB745" s="311"/>
      <c r="DYC745" s="311"/>
      <c r="DYD745" s="311"/>
      <c r="DYE745" s="311"/>
      <c r="DYF745" s="311"/>
      <c r="DYG745" s="311"/>
      <c r="DYH745" s="311"/>
      <c r="DYI745" s="311"/>
      <c r="DYJ745" s="311"/>
      <c r="DYK745" s="311"/>
      <c r="DYL745" s="311"/>
      <c r="DYM745" s="311"/>
      <c r="DYN745" s="311"/>
      <c r="DYO745" s="311"/>
      <c r="DYP745" s="311"/>
      <c r="DYQ745" s="311"/>
      <c r="DYR745" s="311"/>
      <c r="DYS745" s="311"/>
      <c r="DYT745" s="311"/>
      <c r="DYU745" s="311"/>
      <c r="DYV745" s="311"/>
      <c r="DYW745" s="311"/>
      <c r="DYX745" s="311"/>
      <c r="DYY745" s="311"/>
      <c r="DYZ745" s="311"/>
      <c r="DZA745" s="311"/>
      <c r="DZB745" s="311"/>
      <c r="DZC745" s="311"/>
      <c r="DZD745" s="311"/>
      <c r="DZE745" s="311"/>
      <c r="DZF745" s="311"/>
      <c r="DZG745" s="311"/>
      <c r="DZH745" s="311"/>
      <c r="DZI745" s="311"/>
      <c r="DZJ745" s="311"/>
      <c r="DZK745" s="311"/>
      <c r="DZL745" s="311"/>
      <c r="DZM745" s="311"/>
      <c r="DZN745" s="311"/>
      <c r="DZO745" s="311"/>
      <c r="DZP745" s="311"/>
      <c r="DZQ745" s="311"/>
      <c r="DZR745" s="311"/>
      <c r="DZS745" s="311"/>
      <c r="DZT745" s="311"/>
      <c r="DZU745" s="311"/>
      <c r="DZV745" s="311"/>
      <c r="DZW745" s="311"/>
      <c r="DZX745" s="311"/>
      <c r="DZY745" s="311"/>
      <c r="DZZ745" s="311"/>
      <c r="EAA745" s="311"/>
      <c r="EAB745" s="311"/>
      <c r="EAC745" s="311"/>
      <c r="EAD745" s="311"/>
      <c r="EAE745" s="311"/>
      <c r="EAF745" s="311"/>
      <c r="EAG745" s="311"/>
      <c r="EAH745" s="311"/>
      <c r="EAI745" s="311"/>
      <c r="EAJ745" s="311"/>
      <c r="EAK745" s="311"/>
      <c r="EAL745" s="311"/>
      <c r="EAM745" s="311"/>
      <c r="EAN745" s="311"/>
      <c r="EAO745" s="311"/>
      <c r="EAP745" s="311"/>
      <c r="EAQ745" s="311"/>
      <c r="EAR745" s="311"/>
      <c r="EAS745" s="311"/>
      <c r="EAT745" s="311"/>
      <c r="EAU745" s="311"/>
      <c r="EAV745" s="311"/>
      <c r="EAW745" s="311"/>
      <c r="EAX745" s="311"/>
      <c r="EAY745" s="311"/>
      <c r="EAZ745" s="311"/>
      <c r="EBA745" s="311"/>
      <c r="EBB745" s="311"/>
      <c r="EBC745" s="311"/>
      <c r="EBD745" s="311"/>
      <c r="EBE745" s="311"/>
      <c r="EBF745" s="311"/>
      <c r="EBG745" s="311"/>
      <c r="EBH745" s="311"/>
      <c r="EBI745" s="311"/>
      <c r="EBJ745" s="311"/>
      <c r="EBK745" s="311"/>
      <c r="EBL745" s="311"/>
      <c r="EBM745" s="311"/>
      <c r="EBN745" s="311"/>
      <c r="EBO745" s="311"/>
      <c r="EBP745" s="311"/>
      <c r="EBQ745" s="311"/>
      <c r="EBR745" s="311"/>
      <c r="EBS745" s="311"/>
      <c r="EBT745" s="311"/>
      <c r="EBU745" s="311"/>
      <c r="EBV745" s="311"/>
      <c r="EBW745" s="311"/>
      <c r="EBX745" s="311"/>
      <c r="EBY745" s="311"/>
      <c r="EBZ745" s="311"/>
      <c r="ECA745" s="311"/>
      <c r="ECB745" s="311"/>
      <c r="ECC745" s="311"/>
      <c r="ECD745" s="311"/>
      <c r="ECE745" s="311"/>
      <c r="ECF745" s="311"/>
      <c r="ECG745" s="311"/>
      <c r="ECH745" s="311"/>
      <c r="ECI745" s="311"/>
      <c r="ECJ745" s="311"/>
      <c r="ECK745" s="311"/>
      <c r="ECL745" s="311"/>
      <c r="ECM745" s="311"/>
      <c r="ECN745" s="311"/>
      <c r="ECO745" s="311"/>
      <c r="ECP745" s="311"/>
      <c r="ECQ745" s="311"/>
      <c r="ECR745" s="311"/>
      <c r="ECS745" s="311"/>
      <c r="ECT745" s="311"/>
      <c r="ECU745" s="311"/>
      <c r="ECV745" s="311"/>
      <c r="ECW745" s="311"/>
      <c r="ECX745" s="311"/>
      <c r="ECY745" s="311"/>
      <c r="ECZ745" s="311"/>
      <c r="EDA745" s="311"/>
      <c r="EDB745" s="311"/>
      <c r="EDC745" s="311"/>
      <c r="EDD745" s="311"/>
      <c r="EDE745" s="311"/>
      <c r="EDF745" s="311"/>
      <c r="EDG745" s="311"/>
      <c r="EDH745" s="311"/>
      <c r="EDI745" s="311"/>
      <c r="EDJ745" s="311"/>
      <c r="EDK745" s="311"/>
      <c r="EDL745" s="311"/>
      <c r="EDM745" s="311"/>
      <c r="EDN745" s="311"/>
      <c r="EDO745" s="311"/>
      <c r="EDP745" s="311"/>
      <c r="EDQ745" s="311"/>
      <c r="EDR745" s="311"/>
      <c r="EDS745" s="311"/>
      <c r="EDT745" s="311"/>
      <c r="EDU745" s="311"/>
      <c r="EDV745" s="311"/>
      <c r="EDW745" s="311"/>
      <c r="EDX745" s="311"/>
      <c r="EDY745" s="311"/>
      <c r="EDZ745" s="311"/>
      <c r="EEA745" s="311"/>
      <c r="EEB745" s="311"/>
      <c r="EEC745" s="311"/>
      <c r="EED745" s="311"/>
      <c r="EEE745" s="311"/>
      <c r="EEF745" s="311"/>
      <c r="EEG745" s="311"/>
      <c r="EEH745" s="311"/>
      <c r="EEI745" s="311"/>
      <c r="EEJ745" s="311"/>
      <c r="EEK745" s="311"/>
      <c r="EEL745" s="311"/>
      <c r="EEM745" s="311"/>
      <c r="EEN745" s="311"/>
      <c r="EEO745" s="311"/>
      <c r="EEP745" s="311"/>
      <c r="EEQ745" s="311"/>
      <c r="EER745" s="311"/>
      <c r="EES745" s="311"/>
      <c r="EET745" s="311"/>
      <c r="EEU745" s="311"/>
      <c r="EEV745" s="311"/>
      <c r="EEW745" s="311"/>
      <c r="EEX745" s="311"/>
      <c r="EEY745" s="311"/>
      <c r="EEZ745" s="311"/>
      <c r="EFA745" s="311"/>
      <c r="EFB745" s="311"/>
      <c r="EFC745" s="311"/>
      <c r="EFD745" s="311"/>
      <c r="EFE745" s="311"/>
      <c r="EFF745" s="311"/>
      <c r="EFG745" s="311"/>
      <c r="EFH745" s="311"/>
      <c r="EFI745" s="311"/>
      <c r="EFJ745" s="311"/>
      <c r="EFK745" s="311"/>
      <c r="EFL745" s="311"/>
      <c r="EFM745" s="311"/>
      <c r="EFN745" s="311"/>
      <c r="EFO745" s="311"/>
      <c r="EFP745" s="311"/>
      <c r="EFQ745" s="311"/>
      <c r="EFR745" s="311"/>
      <c r="EFS745" s="311"/>
      <c r="EFT745" s="311"/>
      <c r="EFU745" s="311"/>
      <c r="EFV745" s="311"/>
      <c r="EFW745" s="311"/>
      <c r="EFX745" s="311"/>
      <c r="EFY745" s="311"/>
      <c r="EFZ745" s="311"/>
      <c r="EGA745" s="311"/>
      <c r="EGB745" s="311"/>
      <c r="EGC745" s="311"/>
      <c r="EGD745" s="311"/>
      <c r="EGE745" s="311"/>
      <c r="EGF745" s="311"/>
      <c r="EGG745" s="311"/>
      <c r="EGH745" s="311"/>
      <c r="EGI745" s="311"/>
      <c r="EGJ745" s="311"/>
      <c r="EGK745" s="311"/>
      <c r="EGL745" s="311"/>
      <c r="EGM745" s="311"/>
      <c r="EGN745" s="311"/>
      <c r="EGO745" s="311"/>
      <c r="EGP745" s="311"/>
      <c r="EGQ745" s="311"/>
      <c r="EGR745" s="311"/>
      <c r="EGS745" s="311"/>
      <c r="EGT745" s="311"/>
      <c r="EGU745" s="311"/>
      <c r="EGV745" s="311"/>
      <c r="EGW745" s="311"/>
      <c r="EGX745" s="311"/>
      <c r="EGY745" s="311"/>
      <c r="EGZ745" s="311"/>
      <c r="EHA745" s="311"/>
      <c r="EHB745" s="311"/>
      <c r="EHC745" s="311"/>
      <c r="EHD745" s="311"/>
      <c r="EHE745" s="311"/>
      <c r="EHF745" s="311"/>
      <c r="EHG745" s="311"/>
      <c r="EHH745" s="311"/>
      <c r="EHI745" s="311"/>
      <c r="EHJ745" s="311"/>
      <c r="EHK745" s="311"/>
      <c r="EHL745" s="311"/>
      <c r="EHM745" s="311"/>
      <c r="EHN745" s="311"/>
      <c r="EHO745" s="311"/>
      <c r="EHP745" s="311"/>
      <c r="EHQ745" s="311"/>
      <c r="EHR745" s="311"/>
      <c r="EHS745" s="311"/>
      <c r="EHT745" s="311"/>
      <c r="EHU745" s="311"/>
      <c r="EHV745" s="311"/>
      <c r="EHW745" s="311"/>
      <c r="EHX745" s="311"/>
      <c r="EHY745" s="311"/>
      <c r="EHZ745" s="311"/>
      <c r="EIA745" s="311"/>
      <c r="EIB745" s="311"/>
      <c r="EIC745" s="311"/>
      <c r="EID745" s="311"/>
      <c r="EIE745" s="311"/>
      <c r="EIF745" s="311"/>
      <c r="EIG745" s="311"/>
      <c r="EIH745" s="311"/>
      <c r="EII745" s="311"/>
      <c r="EIJ745" s="311"/>
      <c r="EIK745" s="311"/>
      <c r="EIL745" s="311"/>
      <c r="EIM745" s="311"/>
      <c r="EIN745" s="311"/>
      <c r="EIO745" s="311"/>
      <c r="EIP745" s="311"/>
      <c r="EIQ745" s="311"/>
      <c r="EIR745" s="311"/>
      <c r="EIS745" s="311"/>
      <c r="EIT745" s="311"/>
      <c r="EIU745" s="311"/>
      <c r="EIV745" s="311"/>
      <c r="EIW745" s="311"/>
      <c r="EIX745" s="311"/>
      <c r="EIY745" s="311"/>
      <c r="EIZ745" s="311"/>
      <c r="EJA745" s="311"/>
      <c r="EJB745" s="311"/>
      <c r="EJC745" s="311"/>
      <c r="EJD745" s="311"/>
      <c r="EJE745" s="311"/>
      <c r="EJF745" s="311"/>
      <c r="EJG745" s="311"/>
      <c r="EJH745" s="311"/>
      <c r="EJI745" s="311"/>
      <c r="EJJ745" s="311"/>
      <c r="EJK745" s="311"/>
      <c r="EJL745" s="311"/>
      <c r="EJM745" s="311"/>
      <c r="EJN745" s="311"/>
      <c r="EJO745" s="311"/>
      <c r="EJP745" s="311"/>
      <c r="EJQ745" s="311"/>
      <c r="EJR745" s="311"/>
      <c r="EJS745" s="311"/>
      <c r="EJT745" s="311"/>
      <c r="EJU745" s="311"/>
      <c r="EJV745" s="311"/>
      <c r="EJW745" s="311"/>
      <c r="EJX745" s="311"/>
      <c r="EJY745" s="311"/>
      <c r="EJZ745" s="311"/>
      <c r="EKA745" s="311"/>
      <c r="EKB745" s="311"/>
      <c r="EKC745" s="311"/>
      <c r="EKD745" s="311"/>
      <c r="EKE745" s="311"/>
      <c r="EKF745" s="311"/>
      <c r="EKG745" s="311"/>
      <c r="EKH745" s="311"/>
      <c r="EKI745" s="311"/>
      <c r="EKJ745" s="311"/>
      <c r="EKK745" s="311"/>
      <c r="EKL745" s="311"/>
      <c r="EKM745" s="311"/>
      <c r="EKN745" s="311"/>
      <c r="EKO745" s="311"/>
      <c r="EKP745" s="311"/>
      <c r="EKQ745" s="311"/>
      <c r="EKR745" s="311"/>
      <c r="EKS745" s="311"/>
      <c r="EKT745" s="311"/>
      <c r="EKU745" s="311"/>
      <c r="EKV745" s="311"/>
      <c r="EKW745" s="311"/>
      <c r="EKX745" s="311"/>
      <c r="EKY745" s="311"/>
      <c r="EKZ745" s="311"/>
      <c r="ELA745" s="311"/>
      <c r="ELB745" s="311"/>
      <c r="ELC745" s="311"/>
      <c r="ELD745" s="311"/>
      <c r="ELE745" s="311"/>
      <c r="ELF745" s="311"/>
      <c r="ELG745" s="311"/>
      <c r="ELH745" s="311"/>
      <c r="ELI745" s="311"/>
      <c r="ELJ745" s="311"/>
      <c r="ELK745" s="311"/>
      <c r="ELL745" s="311"/>
      <c r="ELM745" s="311"/>
      <c r="ELN745" s="311"/>
      <c r="ELO745" s="311"/>
      <c r="ELP745" s="311"/>
      <c r="ELQ745" s="311"/>
      <c r="ELR745" s="311"/>
      <c r="ELS745" s="311"/>
      <c r="ELT745" s="311"/>
      <c r="ELU745" s="311"/>
      <c r="ELV745" s="311"/>
      <c r="ELW745" s="311"/>
      <c r="ELX745" s="311"/>
      <c r="ELY745" s="311"/>
      <c r="ELZ745" s="311"/>
      <c r="EMA745" s="311"/>
      <c r="EMB745" s="311"/>
      <c r="EMC745" s="311"/>
      <c r="EMD745" s="311"/>
      <c r="EME745" s="311"/>
      <c r="EMF745" s="311"/>
      <c r="EMG745" s="311"/>
      <c r="EMH745" s="311"/>
      <c r="EMI745" s="311"/>
      <c r="EMJ745" s="311"/>
      <c r="EMK745" s="311"/>
      <c r="EML745" s="311"/>
      <c r="EMM745" s="311"/>
      <c r="EMN745" s="311"/>
      <c r="EMO745" s="311"/>
      <c r="EMP745" s="311"/>
      <c r="EMQ745" s="311"/>
      <c r="EMR745" s="311"/>
      <c r="EMS745" s="311"/>
      <c r="EMT745" s="311"/>
      <c r="EMU745" s="311"/>
      <c r="EMV745" s="311"/>
      <c r="EMW745" s="311"/>
      <c r="EMX745" s="311"/>
      <c r="EMY745" s="311"/>
      <c r="EMZ745" s="311"/>
      <c r="ENA745" s="311"/>
      <c r="ENB745" s="311"/>
      <c r="ENC745" s="311"/>
      <c r="END745" s="311"/>
      <c r="ENE745" s="311"/>
      <c r="ENF745" s="311"/>
      <c r="ENG745" s="311"/>
      <c r="ENH745" s="311"/>
      <c r="ENI745" s="311"/>
      <c r="ENJ745" s="311"/>
      <c r="ENK745" s="311"/>
      <c r="ENL745" s="311"/>
      <c r="ENM745" s="311"/>
      <c r="ENN745" s="311"/>
      <c r="ENO745" s="311"/>
      <c r="ENP745" s="311"/>
      <c r="ENQ745" s="311"/>
      <c r="ENR745" s="311"/>
      <c r="ENS745" s="311"/>
      <c r="ENT745" s="311"/>
      <c r="ENU745" s="311"/>
      <c r="ENV745" s="311"/>
      <c r="ENW745" s="311"/>
      <c r="ENX745" s="311"/>
      <c r="ENY745" s="311"/>
      <c r="ENZ745" s="311"/>
      <c r="EOA745" s="311"/>
      <c r="EOB745" s="311"/>
      <c r="EOC745" s="311"/>
      <c r="EOD745" s="311"/>
      <c r="EOE745" s="311"/>
      <c r="EOF745" s="311"/>
      <c r="EOG745" s="311"/>
      <c r="EOH745" s="311"/>
      <c r="EOI745" s="311"/>
      <c r="EOJ745" s="311"/>
      <c r="EOK745" s="311"/>
      <c r="EOL745" s="311"/>
      <c r="EOM745" s="311"/>
      <c r="EON745" s="311"/>
      <c r="EOO745" s="311"/>
      <c r="EOP745" s="311"/>
      <c r="EOQ745" s="311"/>
      <c r="EOR745" s="311"/>
      <c r="EOS745" s="311"/>
      <c r="EOT745" s="311"/>
      <c r="EOU745" s="311"/>
      <c r="EOV745" s="311"/>
      <c r="EOW745" s="311"/>
      <c r="EOX745" s="311"/>
      <c r="EOY745" s="311"/>
      <c r="EOZ745" s="311"/>
      <c r="EPA745" s="311"/>
      <c r="EPB745" s="311"/>
      <c r="EPC745" s="311"/>
      <c r="EPD745" s="311"/>
      <c r="EPE745" s="311"/>
      <c r="EPF745" s="311"/>
      <c r="EPG745" s="311"/>
      <c r="EPH745" s="311"/>
      <c r="EPI745" s="311"/>
      <c r="EPJ745" s="311"/>
      <c r="EPK745" s="311"/>
      <c r="EPL745" s="311"/>
      <c r="EPM745" s="311"/>
      <c r="EPN745" s="311"/>
      <c r="EPO745" s="311"/>
      <c r="EPP745" s="311"/>
      <c r="EPQ745" s="311"/>
      <c r="EPR745" s="311"/>
      <c r="EPS745" s="311"/>
      <c r="EPT745" s="311"/>
      <c r="EPU745" s="311"/>
      <c r="EPV745" s="311"/>
      <c r="EPW745" s="311"/>
      <c r="EPX745" s="311"/>
      <c r="EPY745" s="311"/>
      <c r="EPZ745" s="311"/>
      <c r="EQA745" s="311"/>
      <c r="EQB745" s="311"/>
      <c r="EQC745" s="311"/>
      <c r="EQD745" s="311"/>
      <c r="EQE745" s="311"/>
      <c r="EQF745" s="311"/>
      <c r="EQG745" s="311"/>
      <c r="EQH745" s="311"/>
      <c r="EQI745" s="311"/>
      <c r="EQJ745" s="311"/>
      <c r="EQK745" s="311"/>
      <c r="EQL745" s="311"/>
      <c r="EQM745" s="311"/>
      <c r="EQN745" s="311"/>
      <c r="EQO745" s="311"/>
      <c r="EQP745" s="311"/>
      <c r="EQQ745" s="311"/>
      <c r="EQR745" s="311"/>
      <c r="EQS745" s="311"/>
      <c r="EQT745" s="311"/>
      <c r="EQU745" s="311"/>
      <c r="EQV745" s="311"/>
      <c r="EQW745" s="311"/>
      <c r="EQX745" s="311"/>
      <c r="EQY745" s="311"/>
      <c r="EQZ745" s="311"/>
      <c r="ERA745" s="311"/>
      <c r="ERB745" s="311"/>
      <c r="ERC745" s="311"/>
      <c r="ERD745" s="311"/>
      <c r="ERE745" s="311"/>
      <c r="ERF745" s="311"/>
      <c r="ERG745" s="311"/>
      <c r="ERH745" s="311"/>
      <c r="ERI745" s="311"/>
      <c r="ERJ745" s="311"/>
      <c r="ERK745" s="311"/>
      <c r="ERL745" s="311"/>
      <c r="ERM745" s="311"/>
      <c r="ERN745" s="311"/>
      <c r="ERO745" s="311"/>
      <c r="ERP745" s="311"/>
      <c r="ERQ745" s="311"/>
      <c r="ERR745" s="311"/>
      <c r="ERS745" s="311"/>
      <c r="ERT745" s="311"/>
      <c r="ERU745" s="311"/>
      <c r="ERV745" s="311"/>
      <c r="ERW745" s="311"/>
      <c r="ERX745" s="311"/>
      <c r="ERY745" s="311"/>
      <c r="ERZ745" s="311"/>
      <c r="ESA745" s="311"/>
      <c r="ESB745" s="311"/>
      <c r="ESC745" s="311"/>
      <c r="ESD745" s="311"/>
      <c r="ESE745" s="311"/>
      <c r="ESF745" s="311"/>
      <c r="ESG745" s="311"/>
      <c r="ESH745" s="311"/>
      <c r="ESI745" s="311"/>
      <c r="ESJ745" s="311"/>
      <c r="ESK745" s="311"/>
      <c r="ESL745" s="311"/>
      <c r="ESM745" s="311"/>
      <c r="ESN745" s="311"/>
      <c r="ESO745" s="311"/>
      <c r="ESP745" s="311"/>
      <c r="ESQ745" s="311"/>
      <c r="ESR745" s="311"/>
      <c r="ESS745" s="311"/>
      <c r="EST745" s="311"/>
      <c r="ESU745" s="311"/>
      <c r="ESV745" s="311"/>
      <c r="ESW745" s="311"/>
      <c r="ESX745" s="311"/>
      <c r="ESY745" s="311"/>
      <c r="ESZ745" s="311"/>
      <c r="ETA745" s="311"/>
      <c r="ETB745" s="311"/>
      <c r="ETC745" s="311"/>
      <c r="ETD745" s="311"/>
      <c r="ETE745" s="311"/>
      <c r="ETF745" s="311"/>
      <c r="ETG745" s="311"/>
      <c r="ETH745" s="311"/>
      <c r="ETI745" s="311"/>
      <c r="ETJ745" s="311"/>
      <c r="ETK745" s="311"/>
      <c r="ETL745" s="311"/>
      <c r="ETM745" s="311"/>
      <c r="ETN745" s="311"/>
      <c r="ETO745" s="311"/>
      <c r="ETP745" s="311"/>
      <c r="ETQ745" s="311"/>
      <c r="ETR745" s="311"/>
      <c r="ETS745" s="311"/>
      <c r="ETT745" s="311"/>
      <c r="ETU745" s="311"/>
      <c r="ETV745" s="311"/>
      <c r="ETW745" s="311"/>
      <c r="ETX745" s="311"/>
      <c r="ETY745" s="311"/>
      <c r="ETZ745" s="311"/>
      <c r="EUA745" s="311"/>
      <c r="EUB745" s="311"/>
      <c r="EUC745" s="311"/>
      <c r="EUD745" s="311"/>
      <c r="EUE745" s="311"/>
      <c r="EUF745" s="311"/>
      <c r="EUG745" s="311"/>
      <c r="EUH745" s="311"/>
      <c r="EUI745" s="311"/>
      <c r="EUJ745" s="311"/>
      <c r="EUK745" s="311"/>
      <c r="EUL745" s="311"/>
      <c r="EUM745" s="311"/>
      <c r="EUN745" s="311"/>
      <c r="EUO745" s="311"/>
      <c r="EUP745" s="311"/>
      <c r="EUQ745" s="311"/>
      <c r="EUR745" s="311"/>
      <c r="EUS745" s="311"/>
      <c r="EUT745" s="311"/>
      <c r="EUU745" s="311"/>
      <c r="EUV745" s="311"/>
      <c r="EUW745" s="311"/>
      <c r="EUX745" s="311"/>
      <c r="EUY745" s="311"/>
      <c r="EUZ745" s="311"/>
      <c r="EVA745" s="311"/>
      <c r="EVB745" s="311"/>
      <c r="EVC745" s="311"/>
      <c r="EVD745" s="311"/>
      <c r="EVE745" s="311"/>
      <c r="EVF745" s="311"/>
      <c r="EVG745" s="311"/>
      <c r="EVH745" s="311"/>
      <c r="EVI745" s="311"/>
      <c r="EVJ745" s="311"/>
      <c r="EVK745" s="311"/>
      <c r="EVL745" s="311"/>
      <c r="EVM745" s="311"/>
      <c r="EVN745" s="311"/>
      <c r="EVO745" s="311"/>
      <c r="EVP745" s="311"/>
      <c r="EVQ745" s="311"/>
      <c r="EVR745" s="311"/>
      <c r="EVS745" s="311"/>
      <c r="EVT745" s="311"/>
      <c r="EVU745" s="311"/>
      <c r="EVV745" s="311"/>
      <c r="EVW745" s="311"/>
      <c r="EVX745" s="311"/>
      <c r="EVY745" s="311"/>
      <c r="EVZ745" s="311"/>
      <c r="EWA745" s="311"/>
      <c r="EWB745" s="311"/>
      <c r="EWC745" s="311"/>
      <c r="EWD745" s="311"/>
      <c r="EWE745" s="311"/>
      <c r="EWF745" s="311"/>
      <c r="EWG745" s="311"/>
      <c r="EWH745" s="311"/>
      <c r="EWI745" s="311"/>
      <c r="EWJ745" s="311"/>
      <c r="EWK745" s="311"/>
      <c r="EWL745" s="311"/>
      <c r="EWM745" s="311"/>
      <c r="EWN745" s="311"/>
      <c r="EWO745" s="311"/>
      <c r="EWP745" s="311"/>
      <c r="EWQ745" s="311"/>
      <c r="EWR745" s="311"/>
      <c r="EWS745" s="311"/>
      <c r="EWT745" s="311"/>
      <c r="EWU745" s="311"/>
      <c r="EWV745" s="311"/>
      <c r="EWW745" s="311"/>
      <c r="EWX745" s="311"/>
      <c r="EWY745" s="311"/>
      <c r="EWZ745" s="311"/>
      <c r="EXA745" s="311"/>
      <c r="EXB745" s="311"/>
      <c r="EXC745" s="311"/>
      <c r="EXD745" s="311"/>
      <c r="EXE745" s="311"/>
      <c r="EXF745" s="311"/>
      <c r="EXG745" s="311"/>
      <c r="EXH745" s="311"/>
      <c r="EXI745" s="311"/>
      <c r="EXJ745" s="311"/>
      <c r="EXK745" s="311"/>
      <c r="EXL745" s="311"/>
      <c r="EXM745" s="311"/>
      <c r="EXN745" s="311"/>
      <c r="EXO745" s="311"/>
      <c r="EXP745" s="311"/>
      <c r="EXQ745" s="311"/>
      <c r="EXR745" s="311"/>
      <c r="EXS745" s="311"/>
      <c r="EXT745" s="311"/>
      <c r="EXU745" s="311"/>
      <c r="EXV745" s="311"/>
      <c r="EXW745" s="311"/>
      <c r="EXX745" s="311"/>
      <c r="EXY745" s="311"/>
      <c r="EXZ745" s="311"/>
      <c r="EYA745" s="311"/>
      <c r="EYB745" s="311"/>
      <c r="EYC745" s="311"/>
      <c r="EYD745" s="311"/>
      <c r="EYE745" s="311"/>
      <c r="EYF745" s="311"/>
      <c r="EYG745" s="311"/>
      <c r="EYH745" s="311"/>
      <c r="EYI745" s="311"/>
      <c r="EYJ745" s="311"/>
      <c r="EYK745" s="311"/>
      <c r="EYL745" s="311"/>
      <c r="EYM745" s="311"/>
      <c r="EYN745" s="311"/>
      <c r="EYO745" s="311"/>
      <c r="EYP745" s="311"/>
      <c r="EYQ745" s="311"/>
      <c r="EYR745" s="311"/>
      <c r="EYS745" s="311"/>
      <c r="EYT745" s="311"/>
      <c r="EYU745" s="311"/>
      <c r="EYV745" s="311"/>
      <c r="EYW745" s="311"/>
      <c r="EYX745" s="311"/>
      <c r="EYY745" s="311"/>
      <c r="EYZ745" s="311"/>
      <c r="EZA745" s="311"/>
      <c r="EZB745" s="311"/>
      <c r="EZC745" s="311"/>
      <c r="EZD745" s="311"/>
      <c r="EZE745" s="311"/>
      <c r="EZF745" s="311"/>
      <c r="EZG745" s="311"/>
      <c r="EZH745" s="311"/>
      <c r="EZI745" s="311"/>
      <c r="EZJ745" s="311"/>
      <c r="EZK745" s="311"/>
      <c r="EZL745" s="311"/>
      <c r="EZM745" s="311"/>
      <c r="EZN745" s="311"/>
      <c r="EZO745" s="311"/>
      <c r="EZP745" s="311"/>
      <c r="EZQ745" s="311"/>
      <c r="EZR745" s="311"/>
      <c r="EZS745" s="311"/>
      <c r="EZT745" s="311"/>
      <c r="EZU745" s="311"/>
      <c r="EZV745" s="311"/>
      <c r="EZW745" s="311"/>
      <c r="EZX745" s="311"/>
      <c r="EZY745" s="311"/>
      <c r="EZZ745" s="311"/>
      <c r="FAA745" s="311"/>
      <c r="FAB745" s="311"/>
      <c r="FAC745" s="311"/>
      <c r="FAD745" s="311"/>
      <c r="FAE745" s="311"/>
      <c r="FAF745" s="311"/>
      <c r="FAG745" s="311"/>
      <c r="FAH745" s="311"/>
      <c r="FAI745" s="311"/>
      <c r="FAJ745" s="311"/>
      <c r="FAK745" s="311"/>
      <c r="FAL745" s="311"/>
      <c r="FAM745" s="311"/>
      <c r="FAN745" s="311"/>
      <c r="FAO745" s="311"/>
      <c r="FAP745" s="311"/>
      <c r="FAQ745" s="311"/>
      <c r="FAR745" s="311"/>
      <c r="FAS745" s="311"/>
      <c r="FAT745" s="311"/>
      <c r="FAU745" s="311"/>
      <c r="FAV745" s="311"/>
      <c r="FAW745" s="311"/>
      <c r="FAX745" s="311"/>
      <c r="FAY745" s="311"/>
      <c r="FAZ745" s="311"/>
      <c r="FBA745" s="311"/>
      <c r="FBB745" s="311"/>
      <c r="FBC745" s="311"/>
      <c r="FBD745" s="311"/>
      <c r="FBE745" s="311"/>
      <c r="FBF745" s="311"/>
      <c r="FBG745" s="311"/>
      <c r="FBH745" s="311"/>
      <c r="FBI745" s="311"/>
      <c r="FBJ745" s="311"/>
      <c r="FBK745" s="311"/>
      <c r="FBL745" s="311"/>
      <c r="FBM745" s="311"/>
      <c r="FBN745" s="311"/>
      <c r="FBO745" s="311"/>
      <c r="FBP745" s="311"/>
      <c r="FBQ745" s="311"/>
      <c r="FBR745" s="311"/>
      <c r="FBS745" s="311"/>
      <c r="FBT745" s="311"/>
      <c r="FBU745" s="311"/>
      <c r="FBV745" s="311"/>
      <c r="FBW745" s="311"/>
      <c r="FBX745" s="311"/>
      <c r="FBY745" s="311"/>
      <c r="FBZ745" s="311"/>
      <c r="FCA745" s="311"/>
      <c r="FCB745" s="311"/>
      <c r="FCC745" s="311"/>
      <c r="FCD745" s="311"/>
      <c r="FCE745" s="311"/>
      <c r="FCF745" s="311"/>
      <c r="FCG745" s="311"/>
      <c r="FCH745" s="311"/>
      <c r="FCI745" s="311"/>
      <c r="FCJ745" s="311"/>
      <c r="FCK745" s="311"/>
      <c r="FCL745" s="311"/>
      <c r="FCM745" s="311"/>
      <c r="FCN745" s="311"/>
      <c r="FCO745" s="311"/>
      <c r="FCP745" s="311"/>
      <c r="FCQ745" s="311"/>
      <c r="FCR745" s="311"/>
      <c r="FCS745" s="311"/>
      <c r="FCT745" s="311"/>
      <c r="FCU745" s="311"/>
      <c r="FCV745" s="311"/>
      <c r="FCW745" s="311"/>
      <c r="FCX745" s="311"/>
      <c r="FCY745" s="311"/>
      <c r="FCZ745" s="311"/>
      <c r="FDA745" s="311"/>
      <c r="FDB745" s="311"/>
      <c r="FDC745" s="311"/>
      <c r="FDD745" s="311"/>
      <c r="FDE745" s="311"/>
      <c r="FDF745" s="311"/>
      <c r="FDG745" s="311"/>
      <c r="FDH745" s="311"/>
      <c r="FDI745" s="311"/>
      <c r="FDJ745" s="311"/>
      <c r="FDK745" s="311"/>
      <c r="FDL745" s="311"/>
      <c r="FDM745" s="311"/>
      <c r="FDN745" s="311"/>
      <c r="FDO745" s="311"/>
      <c r="FDP745" s="311"/>
      <c r="FDQ745" s="311"/>
      <c r="FDR745" s="311"/>
      <c r="FDS745" s="311"/>
      <c r="FDT745" s="311"/>
      <c r="FDU745" s="311"/>
      <c r="FDV745" s="311"/>
      <c r="FDW745" s="311"/>
      <c r="FDX745" s="311"/>
      <c r="FDY745" s="311"/>
      <c r="FDZ745" s="311"/>
      <c r="FEA745" s="311"/>
      <c r="FEB745" s="311"/>
      <c r="FEC745" s="311"/>
      <c r="FED745" s="311"/>
      <c r="FEE745" s="311"/>
      <c r="FEF745" s="311"/>
      <c r="FEG745" s="311"/>
      <c r="FEH745" s="311"/>
      <c r="FEI745" s="311"/>
      <c r="FEJ745" s="311"/>
      <c r="FEK745" s="311"/>
      <c r="FEL745" s="311"/>
      <c r="FEM745" s="311"/>
      <c r="FEN745" s="311"/>
      <c r="FEO745" s="311"/>
      <c r="FEP745" s="311"/>
      <c r="FEQ745" s="311"/>
      <c r="FER745" s="311"/>
      <c r="FES745" s="311"/>
      <c r="FET745" s="311"/>
      <c r="FEU745" s="311"/>
      <c r="FEV745" s="311"/>
      <c r="FEW745" s="311"/>
      <c r="FEX745" s="311"/>
      <c r="FEY745" s="311"/>
      <c r="FEZ745" s="311"/>
      <c r="FFA745" s="311"/>
      <c r="FFB745" s="311"/>
      <c r="FFC745" s="311"/>
      <c r="FFD745" s="311"/>
      <c r="FFE745" s="311"/>
      <c r="FFF745" s="311"/>
      <c r="FFG745" s="311"/>
      <c r="FFH745" s="311"/>
      <c r="FFI745" s="311"/>
      <c r="FFJ745" s="311"/>
      <c r="FFK745" s="311"/>
      <c r="FFL745" s="311"/>
      <c r="FFM745" s="311"/>
      <c r="FFN745" s="311"/>
      <c r="FFO745" s="311"/>
      <c r="FFP745" s="311"/>
      <c r="FFQ745" s="311"/>
      <c r="FFR745" s="311"/>
      <c r="FFS745" s="311"/>
      <c r="FFT745" s="311"/>
      <c r="FFU745" s="311"/>
      <c r="FFV745" s="311"/>
      <c r="FFW745" s="311"/>
      <c r="FFX745" s="311"/>
      <c r="FFY745" s="311"/>
      <c r="FFZ745" s="311"/>
      <c r="FGA745" s="311"/>
      <c r="FGB745" s="311"/>
      <c r="FGC745" s="311"/>
      <c r="FGD745" s="311"/>
      <c r="FGE745" s="311"/>
      <c r="FGF745" s="311"/>
      <c r="FGG745" s="311"/>
      <c r="FGH745" s="311"/>
      <c r="FGI745" s="311"/>
      <c r="FGJ745" s="311"/>
      <c r="FGK745" s="311"/>
      <c r="FGL745" s="311"/>
      <c r="FGM745" s="311"/>
      <c r="FGN745" s="311"/>
      <c r="FGO745" s="311"/>
      <c r="FGP745" s="311"/>
      <c r="FGQ745" s="311"/>
      <c r="FGR745" s="311"/>
      <c r="FGS745" s="311"/>
      <c r="FGT745" s="311"/>
      <c r="FGU745" s="311"/>
      <c r="FGV745" s="311"/>
      <c r="FGW745" s="311"/>
      <c r="FGX745" s="311"/>
      <c r="FGY745" s="311"/>
      <c r="FGZ745" s="311"/>
      <c r="FHA745" s="311"/>
      <c r="FHB745" s="311"/>
      <c r="FHC745" s="311"/>
      <c r="FHD745" s="311"/>
      <c r="FHE745" s="311"/>
      <c r="FHF745" s="311"/>
      <c r="FHG745" s="311"/>
      <c r="FHH745" s="311"/>
      <c r="FHI745" s="311"/>
      <c r="FHJ745" s="311"/>
      <c r="FHK745" s="311"/>
      <c r="FHL745" s="311"/>
      <c r="FHM745" s="311"/>
      <c r="FHN745" s="311"/>
      <c r="FHO745" s="311"/>
      <c r="FHP745" s="311"/>
      <c r="FHQ745" s="311"/>
      <c r="FHR745" s="311"/>
      <c r="FHS745" s="311"/>
      <c r="FHT745" s="311"/>
      <c r="FHU745" s="311"/>
      <c r="FHV745" s="311"/>
      <c r="FHW745" s="311"/>
      <c r="FHX745" s="311"/>
      <c r="FHY745" s="311"/>
      <c r="FHZ745" s="311"/>
      <c r="FIA745" s="311"/>
      <c r="FIB745" s="311"/>
      <c r="FIC745" s="311"/>
      <c r="FID745" s="311"/>
      <c r="FIE745" s="311"/>
      <c r="FIF745" s="311"/>
      <c r="FIG745" s="311"/>
      <c r="FIH745" s="311"/>
      <c r="FII745" s="311"/>
      <c r="FIJ745" s="311"/>
      <c r="FIK745" s="311"/>
      <c r="FIL745" s="311"/>
      <c r="FIM745" s="311"/>
      <c r="FIN745" s="311"/>
      <c r="FIO745" s="311"/>
      <c r="FIP745" s="311"/>
      <c r="FIQ745" s="311"/>
      <c r="FIR745" s="311"/>
      <c r="FIS745" s="311"/>
      <c r="FIT745" s="311"/>
      <c r="FIU745" s="311"/>
      <c r="FIV745" s="311"/>
      <c r="FIW745" s="311"/>
      <c r="FIX745" s="311"/>
      <c r="FIY745" s="311"/>
      <c r="FIZ745" s="311"/>
      <c r="FJA745" s="311"/>
      <c r="FJB745" s="311"/>
      <c r="FJC745" s="311"/>
      <c r="FJD745" s="311"/>
      <c r="FJE745" s="311"/>
      <c r="FJF745" s="311"/>
      <c r="FJG745" s="311"/>
      <c r="FJH745" s="311"/>
      <c r="FJI745" s="311"/>
      <c r="FJJ745" s="311"/>
      <c r="FJK745" s="311"/>
      <c r="FJL745" s="311"/>
      <c r="FJM745" s="311"/>
      <c r="FJN745" s="311"/>
      <c r="FJO745" s="311"/>
      <c r="FJP745" s="311"/>
      <c r="FJQ745" s="311"/>
      <c r="FJR745" s="311"/>
      <c r="FJS745" s="311"/>
      <c r="FJT745" s="311"/>
      <c r="FJU745" s="311"/>
      <c r="FJV745" s="311"/>
      <c r="FJW745" s="311"/>
      <c r="FJX745" s="311"/>
      <c r="FJY745" s="311"/>
      <c r="FJZ745" s="311"/>
      <c r="FKA745" s="311"/>
      <c r="FKB745" s="311"/>
      <c r="FKC745" s="311"/>
      <c r="FKD745" s="311"/>
      <c r="FKE745" s="311"/>
      <c r="FKF745" s="311"/>
      <c r="FKG745" s="311"/>
      <c r="FKH745" s="311"/>
      <c r="FKI745" s="311"/>
      <c r="FKJ745" s="311"/>
      <c r="FKK745" s="311"/>
      <c r="FKL745" s="311"/>
      <c r="FKM745" s="311"/>
      <c r="FKN745" s="311"/>
      <c r="FKO745" s="311"/>
      <c r="FKP745" s="311"/>
      <c r="FKQ745" s="311"/>
      <c r="FKR745" s="311"/>
      <c r="FKS745" s="311"/>
      <c r="FKT745" s="311"/>
      <c r="FKU745" s="311"/>
      <c r="FKV745" s="311"/>
      <c r="FKW745" s="311"/>
      <c r="FKX745" s="311"/>
      <c r="FKY745" s="311"/>
      <c r="FKZ745" s="311"/>
      <c r="FLA745" s="311"/>
      <c r="FLB745" s="311"/>
      <c r="FLC745" s="311"/>
      <c r="FLD745" s="311"/>
      <c r="FLE745" s="311"/>
      <c r="FLF745" s="311"/>
      <c r="FLG745" s="311"/>
      <c r="FLH745" s="311"/>
      <c r="FLI745" s="311"/>
      <c r="FLJ745" s="311"/>
      <c r="FLK745" s="311"/>
      <c r="FLL745" s="311"/>
      <c r="FLM745" s="311"/>
      <c r="FLN745" s="311"/>
      <c r="FLO745" s="311"/>
      <c r="FLP745" s="311"/>
      <c r="FLQ745" s="311"/>
      <c r="FLR745" s="311"/>
      <c r="FLS745" s="311"/>
      <c r="FLT745" s="311"/>
      <c r="FLU745" s="311"/>
      <c r="FLV745" s="311"/>
      <c r="FLW745" s="311"/>
      <c r="FLX745" s="311"/>
      <c r="FLY745" s="311"/>
      <c r="FLZ745" s="311"/>
      <c r="FMA745" s="311"/>
      <c r="FMB745" s="311"/>
      <c r="FMC745" s="311"/>
      <c r="FMD745" s="311"/>
      <c r="FME745" s="311"/>
      <c r="FMF745" s="311"/>
      <c r="FMG745" s="311"/>
      <c r="FMH745" s="311"/>
      <c r="FMI745" s="311"/>
      <c r="FMJ745" s="311"/>
      <c r="FMK745" s="311"/>
      <c r="FML745" s="311"/>
      <c r="FMM745" s="311"/>
      <c r="FMN745" s="311"/>
      <c r="FMO745" s="311"/>
      <c r="FMP745" s="311"/>
      <c r="FMQ745" s="311"/>
      <c r="FMR745" s="311"/>
      <c r="FMS745" s="311"/>
      <c r="FMT745" s="311"/>
      <c r="FMU745" s="311"/>
      <c r="FMV745" s="311"/>
      <c r="FMW745" s="311"/>
      <c r="FMX745" s="311"/>
      <c r="FMY745" s="311"/>
      <c r="FMZ745" s="311"/>
      <c r="FNA745" s="311"/>
      <c r="FNB745" s="311"/>
      <c r="FNC745" s="311"/>
      <c r="FND745" s="311"/>
      <c r="FNE745" s="311"/>
      <c r="FNF745" s="311"/>
      <c r="FNG745" s="311"/>
      <c r="FNH745" s="311"/>
      <c r="FNI745" s="311"/>
      <c r="FNJ745" s="311"/>
      <c r="FNK745" s="311"/>
      <c r="FNL745" s="311"/>
      <c r="FNM745" s="311"/>
      <c r="FNN745" s="311"/>
      <c r="FNO745" s="311"/>
      <c r="FNP745" s="311"/>
      <c r="FNQ745" s="311"/>
      <c r="FNR745" s="311"/>
      <c r="FNS745" s="311"/>
      <c r="FNT745" s="311"/>
      <c r="FNU745" s="311"/>
      <c r="FNV745" s="311"/>
      <c r="FNW745" s="311"/>
      <c r="FNX745" s="311"/>
      <c r="FNY745" s="311"/>
      <c r="FNZ745" s="311"/>
      <c r="FOA745" s="311"/>
      <c r="FOB745" s="311"/>
      <c r="FOC745" s="311"/>
      <c r="FOD745" s="311"/>
      <c r="FOE745" s="311"/>
      <c r="FOF745" s="311"/>
      <c r="FOG745" s="311"/>
      <c r="FOH745" s="311"/>
      <c r="FOI745" s="311"/>
      <c r="FOJ745" s="311"/>
      <c r="FOK745" s="311"/>
      <c r="FOL745" s="311"/>
      <c r="FOM745" s="311"/>
      <c r="FON745" s="311"/>
      <c r="FOO745" s="311"/>
      <c r="FOP745" s="311"/>
      <c r="FOQ745" s="311"/>
      <c r="FOR745" s="311"/>
      <c r="FOS745" s="311"/>
      <c r="FOT745" s="311"/>
      <c r="FOU745" s="311"/>
      <c r="FOV745" s="311"/>
      <c r="FOW745" s="311"/>
      <c r="FOX745" s="311"/>
      <c r="FOY745" s="311"/>
      <c r="FOZ745" s="311"/>
      <c r="FPA745" s="311"/>
      <c r="FPB745" s="311"/>
      <c r="FPC745" s="311"/>
      <c r="FPD745" s="311"/>
      <c r="FPE745" s="311"/>
      <c r="FPF745" s="311"/>
      <c r="FPG745" s="311"/>
      <c r="FPH745" s="311"/>
      <c r="FPI745" s="311"/>
      <c r="FPJ745" s="311"/>
      <c r="FPK745" s="311"/>
      <c r="FPL745" s="311"/>
      <c r="FPM745" s="311"/>
      <c r="FPN745" s="311"/>
      <c r="FPO745" s="311"/>
      <c r="FPP745" s="311"/>
      <c r="FPQ745" s="311"/>
      <c r="FPR745" s="311"/>
      <c r="FPS745" s="311"/>
      <c r="FPT745" s="311"/>
      <c r="FPU745" s="311"/>
      <c r="FPV745" s="311"/>
      <c r="FPW745" s="311"/>
      <c r="FPX745" s="311"/>
      <c r="FPY745" s="311"/>
      <c r="FPZ745" s="311"/>
      <c r="FQA745" s="311"/>
      <c r="FQB745" s="311"/>
      <c r="FQC745" s="311"/>
      <c r="FQD745" s="311"/>
      <c r="FQE745" s="311"/>
      <c r="FQF745" s="311"/>
      <c r="FQG745" s="311"/>
      <c r="FQH745" s="311"/>
      <c r="FQI745" s="311"/>
      <c r="FQJ745" s="311"/>
      <c r="FQK745" s="311"/>
      <c r="FQL745" s="311"/>
      <c r="FQM745" s="311"/>
      <c r="FQN745" s="311"/>
      <c r="FQO745" s="311"/>
      <c r="FQP745" s="311"/>
      <c r="FQQ745" s="311"/>
      <c r="FQR745" s="311"/>
      <c r="FQS745" s="311"/>
      <c r="FQT745" s="311"/>
      <c r="FQU745" s="311"/>
      <c r="FQV745" s="311"/>
      <c r="FQW745" s="311"/>
      <c r="FQX745" s="311"/>
      <c r="FQY745" s="311"/>
      <c r="FQZ745" s="311"/>
      <c r="FRA745" s="311"/>
      <c r="FRB745" s="311"/>
      <c r="FRC745" s="311"/>
      <c r="FRD745" s="311"/>
      <c r="FRE745" s="311"/>
      <c r="FRF745" s="311"/>
      <c r="FRG745" s="311"/>
      <c r="FRH745" s="311"/>
      <c r="FRI745" s="311"/>
      <c r="FRJ745" s="311"/>
      <c r="FRK745" s="311"/>
      <c r="FRL745" s="311"/>
      <c r="FRM745" s="311"/>
      <c r="FRN745" s="311"/>
      <c r="FRO745" s="311"/>
      <c r="FRP745" s="311"/>
      <c r="FRQ745" s="311"/>
      <c r="FRR745" s="311"/>
      <c r="FRS745" s="311"/>
      <c r="FRT745" s="311"/>
      <c r="FRU745" s="311"/>
      <c r="FRV745" s="311"/>
      <c r="FRW745" s="311"/>
      <c r="FRX745" s="311"/>
      <c r="FRY745" s="311"/>
      <c r="FRZ745" s="311"/>
      <c r="FSA745" s="311"/>
      <c r="FSB745" s="311"/>
      <c r="FSC745" s="311"/>
      <c r="FSD745" s="311"/>
      <c r="FSE745" s="311"/>
      <c r="FSF745" s="311"/>
      <c r="FSG745" s="311"/>
      <c r="FSH745" s="311"/>
      <c r="FSI745" s="311"/>
      <c r="FSJ745" s="311"/>
      <c r="FSK745" s="311"/>
      <c r="FSL745" s="311"/>
      <c r="FSM745" s="311"/>
      <c r="FSN745" s="311"/>
      <c r="FSO745" s="311"/>
      <c r="FSP745" s="311"/>
      <c r="FSQ745" s="311"/>
      <c r="FSR745" s="311"/>
      <c r="FSS745" s="311"/>
      <c r="FST745" s="311"/>
      <c r="FSU745" s="311"/>
      <c r="FSV745" s="311"/>
      <c r="FSW745" s="311"/>
      <c r="FSX745" s="311"/>
      <c r="FSY745" s="311"/>
      <c r="FSZ745" s="311"/>
      <c r="FTA745" s="311"/>
      <c r="FTB745" s="311"/>
      <c r="FTC745" s="311"/>
      <c r="FTD745" s="311"/>
      <c r="FTE745" s="311"/>
      <c r="FTF745" s="311"/>
      <c r="FTG745" s="311"/>
      <c r="FTH745" s="311"/>
      <c r="FTI745" s="311"/>
      <c r="FTJ745" s="311"/>
      <c r="FTK745" s="311"/>
      <c r="FTL745" s="311"/>
      <c r="FTM745" s="311"/>
      <c r="FTN745" s="311"/>
      <c r="FTO745" s="311"/>
      <c r="FTP745" s="311"/>
      <c r="FTQ745" s="311"/>
      <c r="FTR745" s="311"/>
      <c r="FTS745" s="311"/>
      <c r="FTT745" s="311"/>
      <c r="FTU745" s="311"/>
      <c r="FTV745" s="311"/>
      <c r="FTW745" s="311"/>
      <c r="FTX745" s="311"/>
      <c r="FTY745" s="311"/>
      <c r="FTZ745" s="311"/>
      <c r="FUA745" s="311"/>
      <c r="FUB745" s="311"/>
      <c r="FUC745" s="311"/>
      <c r="FUD745" s="311"/>
      <c r="FUE745" s="311"/>
      <c r="FUF745" s="311"/>
      <c r="FUG745" s="311"/>
      <c r="FUH745" s="311"/>
      <c r="FUI745" s="311"/>
      <c r="FUJ745" s="311"/>
      <c r="FUK745" s="311"/>
      <c r="FUL745" s="311"/>
      <c r="FUM745" s="311"/>
      <c r="FUN745" s="311"/>
      <c r="FUO745" s="311"/>
      <c r="FUP745" s="311"/>
      <c r="FUQ745" s="311"/>
      <c r="FUR745" s="311"/>
      <c r="FUS745" s="311"/>
      <c r="FUT745" s="311"/>
      <c r="FUU745" s="311"/>
      <c r="FUV745" s="311"/>
      <c r="FUW745" s="311"/>
      <c r="FUX745" s="311"/>
      <c r="FUY745" s="311"/>
      <c r="FUZ745" s="311"/>
      <c r="FVA745" s="311"/>
      <c r="FVB745" s="311"/>
      <c r="FVC745" s="311"/>
      <c r="FVD745" s="311"/>
      <c r="FVE745" s="311"/>
      <c r="FVF745" s="311"/>
      <c r="FVG745" s="311"/>
      <c r="FVH745" s="311"/>
      <c r="FVI745" s="311"/>
      <c r="FVJ745" s="311"/>
      <c r="FVK745" s="311"/>
      <c r="FVL745" s="311"/>
      <c r="FVM745" s="311"/>
      <c r="FVN745" s="311"/>
      <c r="FVO745" s="311"/>
      <c r="FVP745" s="311"/>
      <c r="FVQ745" s="311"/>
      <c r="FVR745" s="311"/>
      <c r="FVS745" s="311"/>
      <c r="FVT745" s="311"/>
      <c r="FVU745" s="311"/>
      <c r="FVV745" s="311"/>
      <c r="FVW745" s="311"/>
      <c r="FVX745" s="311"/>
      <c r="FVY745" s="311"/>
      <c r="FVZ745" s="311"/>
      <c r="FWA745" s="311"/>
      <c r="FWB745" s="311"/>
      <c r="FWC745" s="311"/>
      <c r="FWD745" s="311"/>
      <c r="FWE745" s="311"/>
      <c r="FWF745" s="311"/>
      <c r="FWG745" s="311"/>
      <c r="FWH745" s="311"/>
      <c r="FWI745" s="311"/>
      <c r="FWJ745" s="311"/>
      <c r="FWK745" s="311"/>
      <c r="FWL745" s="311"/>
      <c r="FWM745" s="311"/>
      <c r="FWN745" s="311"/>
      <c r="FWO745" s="311"/>
      <c r="FWP745" s="311"/>
      <c r="FWQ745" s="311"/>
      <c r="FWR745" s="311"/>
      <c r="FWS745" s="311"/>
      <c r="FWT745" s="311"/>
      <c r="FWU745" s="311"/>
      <c r="FWV745" s="311"/>
      <c r="FWW745" s="311"/>
      <c r="FWX745" s="311"/>
      <c r="FWY745" s="311"/>
      <c r="FWZ745" s="311"/>
      <c r="FXA745" s="311"/>
      <c r="FXB745" s="311"/>
      <c r="FXC745" s="311"/>
      <c r="FXD745" s="311"/>
      <c r="FXE745" s="311"/>
      <c r="FXF745" s="311"/>
      <c r="FXG745" s="311"/>
      <c r="FXH745" s="311"/>
      <c r="FXI745" s="311"/>
      <c r="FXJ745" s="311"/>
      <c r="FXK745" s="311"/>
      <c r="FXL745" s="311"/>
      <c r="FXM745" s="311"/>
      <c r="FXN745" s="311"/>
      <c r="FXO745" s="311"/>
      <c r="FXP745" s="311"/>
      <c r="FXQ745" s="311"/>
      <c r="FXR745" s="311"/>
      <c r="FXS745" s="311"/>
      <c r="FXT745" s="311"/>
      <c r="FXU745" s="311"/>
      <c r="FXV745" s="311"/>
      <c r="FXW745" s="311"/>
      <c r="FXX745" s="311"/>
      <c r="FXY745" s="311"/>
      <c r="FXZ745" s="311"/>
      <c r="FYA745" s="311"/>
      <c r="FYB745" s="311"/>
      <c r="FYC745" s="311"/>
      <c r="FYD745" s="311"/>
      <c r="FYE745" s="311"/>
      <c r="FYF745" s="311"/>
      <c r="FYG745" s="311"/>
      <c r="FYH745" s="311"/>
      <c r="FYI745" s="311"/>
      <c r="FYJ745" s="311"/>
      <c r="FYK745" s="311"/>
      <c r="FYL745" s="311"/>
      <c r="FYM745" s="311"/>
      <c r="FYN745" s="311"/>
      <c r="FYO745" s="311"/>
      <c r="FYP745" s="311"/>
      <c r="FYQ745" s="311"/>
      <c r="FYR745" s="311"/>
      <c r="FYS745" s="311"/>
      <c r="FYT745" s="311"/>
      <c r="FYU745" s="311"/>
      <c r="FYV745" s="311"/>
      <c r="FYW745" s="311"/>
      <c r="FYX745" s="311"/>
      <c r="FYY745" s="311"/>
      <c r="FYZ745" s="311"/>
      <c r="FZA745" s="311"/>
      <c r="FZB745" s="311"/>
      <c r="FZC745" s="311"/>
      <c r="FZD745" s="311"/>
      <c r="FZE745" s="311"/>
      <c r="FZF745" s="311"/>
      <c r="FZG745" s="311"/>
      <c r="FZH745" s="311"/>
      <c r="FZI745" s="311"/>
      <c r="FZJ745" s="311"/>
      <c r="FZK745" s="311"/>
      <c r="FZL745" s="311"/>
      <c r="FZM745" s="311"/>
      <c r="FZN745" s="311"/>
      <c r="FZO745" s="311"/>
      <c r="FZP745" s="311"/>
      <c r="FZQ745" s="311"/>
      <c r="FZR745" s="311"/>
      <c r="FZS745" s="311"/>
      <c r="FZT745" s="311"/>
      <c r="FZU745" s="311"/>
      <c r="FZV745" s="311"/>
      <c r="FZW745" s="311"/>
      <c r="FZX745" s="311"/>
      <c r="FZY745" s="311"/>
      <c r="FZZ745" s="311"/>
      <c r="GAA745" s="311"/>
      <c r="GAB745" s="311"/>
      <c r="GAC745" s="311"/>
      <c r="GAD745" s="311"/>
      <c r="GAE745" s="311"/>
      <c r="GAF745" s="311"/>
      <c r="GAG745" s="311"/>
      <c r="GAH745" s="311"/>
      <c r="GAI745" s="311"/>
      <c r="GAJ745" s="311"/>
      <c r="GAK745" s="311"/>
      <c r="GAL745" s="311"/>
      <c r="GAM745" s="311"/>
      <c r="GAN745" s="311"/>
      <c r="GAO745" s="311"/>
      <c r="GAP745" s="311"/>
      <c r="GAQ745" s="311"/>
      <c r="GAR745" s="311"/>
      <c r="GAS745" s="311"/>
      <c r="GAT745" s="311"/>
      <c r="GAU745" s="311"/>
      <c r="GAV745" s="311"/>
      <c r="GAW745" s="311"/>
      <c r="GAX745" s="311"/>
      <c r="GAY745" s="311"/>
      <c r="GAZ745" s="311"/>
      <c r="GBA745" s="311"/>
      <c r="GBB745" s="311"/>
      <c r="GBC745" s="311"/>
      <c r="GBD745" s="311"/>
      <c r="GBE745" s="311"/>
      <c r="GBF745" s="311"/>
      <c r="GBG745" s="311"/>
      <c r="GBH745" s="311"/>
      <c r="GBI745" s="311"/>
      <c r="GBJ745" s="311"/>
      <c r="GBK745" s="311"/>
      <c r="GBL745" s="311"/>
      <c r="GBM745" s="311"/>
      <c r="GBN745" s="311"/>
      <c r="GBO745" s="311"/>
      <c r="GBP745" s="311"/>
      <c r="GBQ745" s="311"/>
      <c r="GBR745" s="311"/>
      <c r="GBS745" s="311"/>
      <c r="GBT745" s="311"/>
      <c r="GBU745" s="311"/>
      <c r="GBV745" s="311"/>
      <c r="GBW745" s="311"/>
      <c r="GBX745" s="311"/>
      <c r="GBY745" s="311"/>
      <c r="GBZ745" s="311"/>
      <c r="GCA745" s="311"/>
      <c r="GCB745" s="311"/>
      <c r="GCC745" s="311"/>
      <c r="GCD745" s="311"/>
      <c r="GCE745" s="311"/>
      <c r="GCF745" s="311"/>
      <c r="GCG745" s="311"/>
      <c r="GCH745" s="311"/>
      <c r="GCI745" s="311"/>
      <c r="GCJ745" s="311"/>
      <c r="GCK745" s="311"/>
      <c r="GCL745" s="311"/>
      <c r="GCM745" s="311"/>
      <c r="GCN745" s="311"/>
      <c r="GCO745" s="311"/>
      <c r="GCP745" s="311"/>
      <c r="GCQ745" s="311"/>
      <c r="GCR745" s="311"/>
      <c r="GCS745" s="311"/>
      <c r="GCT745" s="311"/>
      <c r="GCU745" s="311"/>
      <c r="GCV745" s="311"/>
      <c r="GCW745" s="311"/>
      <c r="GCX745" s="311"/>
      <c r="GCY745" s="311"/>
      <c r="GCZ745" s="311"/>
      <c r="GDA745" s="311"/>
      <c r="GDB745" s="311"/>
      <c r="GDC745" s="311"/>
      <c r="GDD745" s="311"/>
      <c r="GDE745" s="311"/>
      <c r="GDF745" s="311"/>
      <c r="GDG745" s="311"/>
      <c r="GDH745" s="311"/>
      <c r="GDI745" s="311"/>
      <c r="GDJ745" s="311"/>
      <c r="GDK745" s="311"/>
      <c r="GDL745" s="311"/>
      <c r="GDM745" s="311"/>
      <c r="GDN745" s="311"/>
      <c r="GDO745" s="311"/>
      <c r="GDP745" s="311"/>
      <c r="GDQ745" s="311"/>
      <c r="GDR745" s="311"/>
      <c r="GDS745" s="311"/>
      <c r="GDT745" s="311"/>
      <c r="GDU745" s="311"/>
      <c r="GDV745" s="311"/>
      <c r="GDW745" s="311"/>
      <c r="GDX745" s="311"/>
      <c r="GDY745" s="311"/>
      <c r="GDZ745" s="311"/>
      <c r="GEA745" s="311"/>
      <c r="GEB745" s="311"/>
      <c r="GEC745" s="311"/>
      <c r="GED745" s="311"/>
      <c r="GEE745" s="311"/>
      <c r="GEF745" s="311"/>
      <c r="GEG745" s="311"/>
      <c r="GEH745" s="311"/>
      <c r="GEI745" s="311"/>
      <c r="GEJ745" s="311"/>
      <c r="GEK745" s="311"/>
      <c r="GEL745" s="311"/>
      <c r="GEM745" s="311"/>
      <c r="GEN745" s="311"/>
      <c r="GEO745" s="311"/>
      <c r="GEP745" s="311"/>
      <c r="GEQ745" s="311"/>
      <c r="GER745" s="311"/>
      <c r="GES745" s="311"/>
      <c r="GET745" s="311"/>
      <c r="GEU745" s="311"/>
      <c r="GEV745" s="311"/>
      <c r="GEW745" s="311"/>
      <c r="GEX745" s="311"/>
      <c r="GEY745" s="311"/>
      <c r="GEZ745" s="311"/>
      <c r="GFA745" s="311"/>
      <c r="GFB745" s="311"/>
      <c r="GFC745" s="311"/>
      <c r="GFD745" s="311"/>
      <c r="GFE745" s="311"/>
      <c r="GFF745" s="311"/>
      <c r="GFG745" s="311"/>
      <c r="GFH745" s="311"/>
      <c r="GFI745" s="311"/>
      <c r="GFJ745" s="311"/>
      <c r="GFK745" s="311"/>
      <c r="GFL745" s="311"/>
      <c r="GFM745" s="311"/>
      <c r="GFN745" s="311"/>
      <c r="GFO745" s="311"/>
      <c r="GFP745" s="311"/>
      <c r="GFQ745" s="311"/>
      <c r="GFR745" s="311"/>
      <c r="GFS745" s="311"/>
      <c r="GFT745" s="311"/>
      <c r="GFU745" s="311"/>
      <c r="GFV745" s="311"/>
      <c r="GFW745" s="311"/>
      <c r="GFX745" s="311"/>
      <c r="GFY745" s="311"/>
      <c r="GFZ745" s="311"/>
      <c r="GGA745" s="311"/>
      <c r="GGB745" s="311"/>
      <c r="GGC745" s="311"/>
      <c r="GGD745" s="311"/>
      <c r="GGE745" s="311"/>
      <c r="GGF745" s="311"/>
      <c r="GGG745" s="311"/>
      <c r="GGH745" s="311"/>
      <c r="GGI745" s="311"/>
      <c r="GGJ745" s="311"/>
      <c r="GGK745" s="311"/>
      <c r="GGL745" s="311"/>
      <c r="GGM745" s="311"/>
      <c r="GGN745" s="311"/>
      <c r="GGO745" s="311"/>
      <c r="GGP745" s="311"/>
      <c r="GGQ745" s="311"/>
      <c r="GGR745" s="311"/>
      <c r="GGS745" s="311"/>
      <c r="GGT745" s="311"/>
      <c r="GGU745" s="311"/>
      <c r="GGV745" s="311"/>
      <c r="GGW745" s="311"/>
      <c r="GGX745" s="311"/>
      <c r="GGY745" s="311"/>
      <c r="GGZ745" s="311"/>
      <c r="GHA745" s="311"/>
      <c r="GHB745" s="311"/>
      <c r="GHC745" s="311"/>
      <c r="GHD745" s="311"/>
      <c r="GHE745" s="311"/>
      <c r="GHF745" s="311"/>
      <c r="GHG745" s="311"/>
      <c r="GHH745" s="311"/>
      <c r="GHI745" s="311"/>
      <c r="GHJ745" s="311"/>
      <c r="GHK745" s="311"/>
      <c r="GHL745" s="311"/>
      <c r="GHM745" s="311"/>
      <c r="GHN745" s="311"/>
      <c r="GHO745" s="311"/>
      <c r="GHP745" s="311"/>
      <c r="GHQ745" s="311"/>
      <c r="GHR745" s="311"/>
      <c r="GHS745" s="311"/>
      <c r="GHT745" s="311"/>
      <c r="GHU745" s="311"/>
      <c r="GHV745" s="311"/>
      <c r="GHW745" s="311"/>
      <c r="GHX745" s="311"/>
      <c r="GHY745" s="311"/>
      <c r="GHZ745" s="311"/>
      <c r="GIA745" s="311"/>
      <c r="GIB745" s="311"/>
      <c r="GIC745" s="311"/>
      <c r="GID745" s="311"/>
      <c r="GIE745" s="311"/>
      <c r="GIF745" s="311"/>
      <c r="GIG745" s="311"/>
      <c r="GIH745" s="311"/>
      <c r="GII745" s="311"/>
      <c r="GIJ745" s="311"/>
      <c r="GIK745" s="311"/>
      <c r="GIL745" s="311"/>
      <c r="GIM745" s="311"/>
      <c r="GIN745" s="311"/>
      <c r="GIO745" s="311"/>
      <c r="GIP745" s="311"/>
      <c r="GIQ745" s="311"/>
      <c r="GIR745" s="311"/>
      <c r="GIS745" s="311"/>
      <c r="GIT745" s="311"/>
      <c r="GIU745" s="311"/>
      <c r="GIV745" s="311"/>
      <c r="GIW745" s="311"/>
      <c r="GIX745" s="311"/>
      <c r="GIY745" s="311"/>
      <c r="GIZ745" s="311"/>
      <c r="GJA745" s="311"/>
      <c r="GJB745" s="311"/>
      <c r="GJC745" s="311"/>
      <c r="GJD745" s="311"/>
      <c r="GJE745" s="311"/>
      <c r="GJF745" s="311"/>
      <c r="GJG745" s="311"/>
      <c r="GJH745" s="311"/>
      <c r="GJI745" s="311"/>
      <c r="GJJ745" s="311"/>
      <c r="GJK745" s="311"/>
      <c r="GJL745" s="311"/>
      <c r="GJM745" s="311"/>
      <c r="GJN745" s="311"/>
      <c r="GJO745" s="311"/>
      <c r="GJP745" s="311"/>
      <c r="GJQ745" s="311"/>
      <c r="GJR745" s="311"/>
      <c r="GJS745" s="311"/>
      <c r="GJT745" s="311"/>
      <c r="GJU745" s="311"/>
      <c r="GJV745" s="311"/>
      <c r="GJW745" s="311"/>
      <c r="GJX745" s="311"/>
      <c r="GJY745" s="311"/>
      <c r="GJZ745" s="311"/>
      <c r="GKA745" s="311"/>
      <c r="GKB745" s="311"/>
      <c r="GKC745" s="311"/>
      <c r="GKD745" s="311"/>
      <c r="GKE745" s="311"/>
      <c r="GKF745" s="311"/>
      <c r="GKG745" s="311"/>
      <c r="GKH745" s="311"/>
      <c r="GKI745" s="311"/>
      <c r="GKJ745" s="311"/>
      <c r="GKK745" s="311"/>
      <c r="GKL745" s="311"/>
      <c r="GKM745" s="311"/>
      <c r="GKN745" s="311"/>
      <c r="GKO745" s="311"/>
      <c r="GKP745" s="311"/>
      <c r="GKQ745" s="311"/>
      <c r="GKR745" s="311"/>
      <c r="GKS745" s="311"/>
      <c r="GKT745" s="311"/>
      <c r="GKU745" s="311"/>
      <c r="GKV745" s="311"/>
      <c r="GKW745" s="311"/>
      <c r="GKX745" s="311"/>
      <c r="GKY745" s="311"/>
      <c r="GKZ745" s="311"/>
      <c r="GLA745" s="311"/>
      <c r="GLB745" s="311"/>
      <c r="GLC745" s="311"/>
      <c r="GLD745" s="311"/>
      <c r="GLE745" s="311"/>
      <c r="GLF745" s="311"/>
      <c r="GLG745" s="311"/>
      <c r="GLH745" s="311"/>
      <c r="GLI745" s="311"/>
      <c r="GLJ745" s="311"/>
      <c r="GLK745" s="311"/>
      <c r="GLL745" s="311"/>
      <c r="GLM745" s="311"/>
      <c r="GLN745" s="311"/>
      <c r="GLO745" s="311"/>
      <c r="GLP745" s="311"/>
      <c r="GLQ745" s="311"/>
      <c r="GLR745" s="311"/>
      <c r="GLS745" s="311"/>
      <c r="GLT745" s="311"/>
      <c r="GLU745" s="311"/>
      <c r="GLV745" s="311"/>
      <c r="GLW745" s="311"/>
      <c r="GLX745" s="311"/>
      <c r="GLY745" s="311"/>
      <c r="GLZ745" s="311"/>
      <c r="GMA745" s="311"/>
      <c r="GMB745" s="311"/>
      <c r="GMC745" s="311"/>
      <c r="GMD745" s="311"/>
      <c r="GME745" s="311"/>
      <c r="GMF745" s="311"/>
      <c r="GMG745" s="311"/>
      <c r="GMH745" s="311"/>
      <c r="GMI745" s="311"/>
      <c r="GMJ745" s="311"/>
      <c r="GMK745" s="311"/>
      <c r="GML745" s="311"/>
      <c r="GMM745" s="311"/>
      <c r="GMN745" s="311"/>
      <c r="GMO745" s="311"/>
      <c r="GMP745" s="311"/>
      <c r="GMQ745" s="311"/>
      <c r="GMR745" s="311"/>
      <c r="GMS745" s="311"/>
      <c r="GMT745" s="311"/>
      <c r="GMU745" s="311"/>
      <c r="GMV745" s="311"/>
      <c r="GMW745" s="311"/>
      <c r="GMX745" s="311"/>
      <c r="GMY745" s="311"/>
      <c r="GMZ745" s="311"/>
      <c r="GNA745" s="311"/>
      <c r="GNB745" s="311"/>
      <c r="GNC745" s="311"/>
      <c r="GND745" s="311"/>
      <c r="GNE745" s="311"/>
      <c r="GNF745" s="311"/>
      <c r="GNG745" s="311"/>
      <c r="GNH745" s="311"/>
      <c r="GNI745" s="311"/>
      <c r="GNJ745" s="311"/>
      <c r="GNK745" s="311"/>
      <c r="GNL745" s="311"/>
      <c r="GNM745" s="311"/>
      <c r="GNN745" s="311"/>
      <c r="GNO745" s="311"/>
      <c r="GNP745" s="311"/>
      <c r="GNQ745" s="311"/>
      <c r="GNR745" s="311"/>
      <c r="GNS745" s="311"/>
      <c r="GNT745" s="311"/>
      <c r="GNU745" s="311"/>
      <c r="GNV745" s="311"/>
      <c r="GNW745" s="311"/>
      <c r="GNX745" s="311"/>
      <c r="GNY745" s="311"/>
      <c r="GNZ745" s="311"/>
      <c r="GOA745" s="311"/>
      <c r="GOB745" s="311"/>
      <c r="GOC745" s="311"/>
      <c r="GOD745" s="311"/>
      <c r="GOE745" s="311"/>
      <c r="GOF745" s="311"/>
      <c r="GOG745" s="311"/>
      <c r="GOH745" s="311"/>
      <c r="GOI745" s="311"/>
      <c r="GOJ745" s="311"/>
      <c r="GOK745" s="311"/>
      <c r="GOL745" s="311"/>
      <c r="GOM745" s="311"/>
      <c r="GON745" s="311"/>
      <c r="GOO745" s="311"/>
      <c r="GOP745" s="311"/>
      <c r="GOQ745" s="311"/>
      <c r="GOR745" s="311"/>
      <c r="GOS745" s="311"/>
      <c r="GOT745" s="311"/>
      <c r="GOU745" s="311"/>
      <c r="GOV745" s="311"/>
      <c r="GOW745" s="311"/>
      <c r="GOX745" s="311"/>
      <c r="GOY745" s="311"/>
      <c r="GOZ745" s="311"/>
      <c r="GPA745" s="311"/>
      <c r="GPB745" s="311"/>
      <c r="GPC745" s="311"/>
      <c r="GPD745" s="311"/>
      <c r="GPE745" s="311"/>
      <c r="GPF745" s="311"/>
      <c r="GPG745" s="311"/>
      <c r="GPH745" s="311"/>
      <c r="GPI745" s="311"/>
      <c r="GPJ745" s="311"/>
      <c r="GPK745" s="311"/>
      <c r="GPL745" s="311"/>
      <c r="GPM745" s="311"/>
      <c r="GPN745" s="311"/>
      <c r="GPO745" s="311"/>
      <c r="GPP745" s="311"/>
      <c r="GPQ745" s="311"/>
      <c r="GPR745" s="311"/>
      <c r="GPS745" s="311"/>
      <c r="GPT745" s="311"/>
      <c r="GPU745" s="311"/>
      <c r="GPV745" s="311"/>
      <c r="GPW745" s="311"/>
      <c r="GPX745" s="311"/>
      <c r="GPY745" s="311"/>
      <c r="GPZ745" s="311"/>
      <c r="GQA745" s="311"/>
      <c r="GQB745" s="311"/>
      <c r="GQC745" s="311"/>
      <c r="GQD745" s="311"/>
      <c r="GQE745" s="311"/>
      <c r="GQF745" s="311"/>
      <c r="GQG745" s="311"/>
      <c r="GQH745" s="311"/>
      <c r="GQI745" s="311"/>
      <c r="GQJ745" s="311"/>
      <c r="GQK745" s="311"/>
      <c r="GQL745" s="311"/>
      <c r="GQM745" s="311"/>
      <c r="GQN745" s="311"/>
      <c r="GQO745" s="311"/>
      <c r="GQP745" s="311"/>
      <c r="GQQ745" s="311"/>
      <c r="GQR745" s="311"/>
      <c r="GQS745" s="311"/>
      <c r="GQT745" s="311"/>
      <c r="GQU745" s="311"/>
      <c r="GQV745" s="311"/>
      <c r="GQW745" s="311"/>
      <c r="GQX745" s="311"/>
      <c r="GQY745" s="311"/>
      <c r="GQZ745" s="311"/>
      <c r="GRA745" s="311"/>
      <c r="GRB745" s="311"/>
      <c r="GRC745" s="311"/>
      <c r="GRD745" s="311"/>
      <c r="GRE745" s="311"/>
      <c r="GRF745" s="311"/>
      <c r="GRG745" s="311"/>
      <c r="GRH745" s="311"/>
      <c r="GRI745" s="311"/>
      <c r="GRJ745" s="311"/>
      <c r="GRK745" s="311"/>
      <c r="GRL745" s="311"/>
      <c r="GRM745" s="311"/>
      <c r="GRN745" s="311"/>
      <c r="GRO745" s="311"/>
      <c r="GRP745" s="311"/>
      <c r="GRQ745" s="311"/>
      <c r="GRR745" s="311"/>
      <c r="GRS745" s="311"/>
      <c r="GRT745" s="311"/>
      <c r="GRU745" s="311"/>
      <c r="GRV745" s="311"/>
      <c r="GRW745" s="311"/>
      <c r="GRX745" s="311"/>
      <c r="GRY745" s="311"/>
      <c r="GRZ745" s="311"/>
      <c r="GSA745" s="311"/>
      <c r="GSB745" s="311"/>
      <c r="GSC745" s="311"/>
      <c r="GSD745" s="311"/>
      <c r="GSE745" s="311"/>
      <c r="GSF745" s="311"/>
      <c r="GSG745" s="311"/>
      <c r="GSH745" s="311"/>
      <c r="GSI745" s="311"/>
      <c r="GSJ745" s="311"/>
      <c r="GSK745" s="311"/>
      <c r="GSL745" s="311"/>
      <c r="GSM745" s="311"/>
      <c r="GSN745" s="311"/>
      <c r="GSO745" s="311"/>
      <c r="GSP745" s="311"/>
      <c r="GSQ745" s="311"/>
      <c r="GSR745" s="311"/>
      <c r="GSS745" s="311"/>
      <c r="GST745" s="311"/>
      <c r="GSU745" s="311"/>
      <c r="GSV745" s="311"/>
      <c r="GSW745" s="311"/>
      <c r="GSX745" s="311"/>
      <c r="GSY745" s="311"/>
      <c r="GSZ745" s="311"/>
      <c r="GTA745" s="311"/>
      <c r="GTB745" s="311"/>
      <c r="GTC745" s="311"/>
      <c r="GTD745" s="311"/>
      <c r="GTE745" s="311"/>
      <c r="GTF745" s="311"/>
      <c r="GTG745" s="311"/>
      <c r="GTH745" s="311"/>
      <c r="GTI745" s="311"/>
      <c r="GTJ745" s="311"/>
      <c r="GTK745" s="311"/>
      <c r="GTL745" s="311"/>
      <c r="GTM745" s="311"/>
      <c r="GTN745" s="311"/>
      <c r="GTO745" s="311"/>
      <c r="GTP745" s="311"/>
      <c r="GTQ745" s="311"/>
      <c r="GTR745" s="311"/>
      <c r="GTS745" s="311"/>
      <c r="GTT745" s="311"/>
      <c r="GTU745" s="311"/>
      <c r="GTV745" s="311"/>
      <c r="GTW745" s="311"/>
      <c r="GTX745" s="311"/>
      <c r="GTY745" s="311"/>
      <c r="GTZ745" s="311"/>
      <c r="GUA745" s="311"/>
      <c r="GUB745" s="311"/>
      <c r="GUC745" s="311"/>
      <c r="GUD745" s="311"/>
      <c r="GUE745" s="311"/>
      <c r="GUF745" s="311"/>
      <c r="GUG745" s="311"/>
      <c r="GUH745" s="311"/>
      <c r="GUI745" s="311"/>
      <c r="GUJ745" s="311"/>
      <c r="GUK745" s="311"/>
      <c r="GUL745" s="311"/>
      <c r="GUM745" s="311"/>
      <c r="GUN745" s="311"/>
      <c r="GUO745" s="311"/>
      <c r="GUP745" s="311"/>
      <c r="GUQ745" s="311"/>
      <c r="GUR745" s="311"/>
      <c r="GUS745" s="311"/>
      <c r="GUT745" s="311"/>
      <c r="GUU745" s="311"/>
      <c r="GUV745" s="311"/>
      <c r="GUW745" s="311"/>
      <c r="GUX745" s="311"/>
      <c r="GUY745" s="311"/>
      <c r="GUZ745" s="311"/>
      <c r="GVA745" s="311"/>
      <c r="GVB745" s="311"/>
      <c r="GVC745" s="311"/>
      <c r="GVD745" s="311"/>
      <c r="GVE745" s="311"/>
      <c r="GVF745" s="311"/>
      <c r="GVG745" s="311"/>
      <c r="GVH745" s="311"/>
      <c r="GVI745" s="311"/>
      <c r="GVJ745" s="311"/>
      <c r="GVK745" s="311"/>
      <c r="GVL745" s="311"/>
      <c r="GVM745" s="311"/>
      <c r="GVN745" s="311"/>
      <c r="GVO745" s="311"/>
      <c r="GVP745" s="311"/>
      <c r="GVQ745" s="311"/>
      <c r="GVR745" s="311"/>
      <c r="GVS745" s="311"/>
      <c r="GVT745" s="311"/>
      <c r="GVU745" s="311"/>
      <c r="GVV745" s="311"/>
      <c r="GVW745" s="311"/>
      <c r="GVX745" s="311"/>
      <c r="GVY745" s="311"/>
      <c r="GVZ745" s="311"/>
      <c r="GWA745" s="311"/>
      <c r="GWB745" s="311"/>
      <c r="GWC745" s="311"/>
      <c r="GWD745" s="311"/>
      <c r="GWE745" s="311"/>
      <c r="GWF745" s="311"/>
      <c r="GWG745" s="311"/>
      <c r="GWH745" s="311"/>
      <c r="GWI745" s="311"/>
      <c r="GWJ745" s="311"/>
      <c r="GWK745" s="311"/>
      <c r="GWL745" s="311"/>
      <c r="GWM745" s="311"/>
      <c r="GWN745" s="311"/>
      <c r="GWO745" s="311"/>
      <c r="GWP745" s="311"/>
      <c r="GWQ745" s="311"/>
      <c r="GWR745" s="311"/>
      <c r="GWS745" s="311"/>
      <c r="GWT745" s="311"/>
      <c r="GWU745" s="311"/>
      <c r="GWV745" s="311"/>
      <c r="GWW745" s="311"/>
      <c r="GWX745" s="311"/>
      <c r="GWY745" s="311"/>
      <c r="GWZ745" s="311"/>
      <c r="GXA745" s="311"/>
      <c r="GXB745" s="311"/>
      <c r="GXC745" s="311"/>
      <c r="GXD745" s="311"/>
      <c r="GXE745" s="311"/>
      <c r="GXF745" s="311"/>
      <c r="GXG745" s="311"/>
      <c r="GXH745" s="311"/>
      <c r="GXI745" s="311"/>
      <c r="GXJ745" s="311"/>
      <c r="GXK745" s="311"/>
      <c r="GXL745" s="311"/>
      <c r="GXM745" s="311"/>
      <c r="GXN745" s="311"/>
      <c r="GXO745" s="311"/>
      <c r="GXP745" s="311"/>
      <c r="GXQ745" s="311"/>
      <c r="GXR745" s="311"/>
      <c r="GXS745" s="311"/>
      <c r="GXT745" s="311"/>
      <c r="GXU745" s="311"/>
      <c r="GXV745" s="311"/>
      <c r="GXW745" s="311"/>
      <c r="GXX745" s="311"/>
      <c r="GXY745" s="311"/>
      <c r="GXZ745" s="311"/>
      <c r="GYA745" s="311"/>
      <c r="GYB745" s="311"/>
      <c r="GYC745" s="311"/>
      <c r="GYD745" s="311"/>
      <c r="GYE745" s="311"/>
      <c r="GYF745" s="311"/>
      <c r="GYG745" s="311"/>
      <c r="GYH745" s="311"/>
      <c r="GYI745" s="311"/>
      <c r="GYJ745" s="311"/>
      <c r="GYK745" s="311"/>
      <c r="GYL745" s="311"/>
      <c r="GYM745" s="311"/>
      <c r="GYN745" s="311"/>
      <c r="GYO745" s="311"/>
      <c r="GYP745" s="311"/>
      <c r="GYQ745" s="311"/>
      <c r="GYR745" s="311"/>
      <c r="GYS745" s="311"/>
      <c r="GYT745" s="311"/>
      <c r="GYU745" s="311"/>
      <c r="GYV745" s="311"/>
      <c r="GYW745" s="311"/>
      <c r="GYX745" s="311"/>
      <c r="GYY745" s="311"/>
      <c r="GYZ745" s="311"/>
      <c r="GZA745" s="311"/>
      <c r="GZB745" s="311"/>
      <c r="GZC745" s="311"/>
      <c r="GZD745" s="311"/>
      <c r="GZE745" s="311"/>
      <c r="GZF745" s="311"/>
      <c r="GZG745" s="311"/>
      <c r="GZH745" s="311"/>
      <c r="GZI745" s="311"/>
      <c r="GZJ745" s="311"/>
      <c r="GZK745" s="311"/>
      <c r="GZL745" s="311"/>
      <c r="GZM745" s="311"/>
      <c r="GZN745" s="311"/>
      <c r="GZO745" s="311"/>
      <c r="GZP745" s="311"/>
      <c r="GZQ745" s="311"/>
      <c r="GZR745" s="311"/>
      <c r="GZS745" s="311"/>
      <c r="GZT745" s="311"/>
      <c r="GZU745" s="311"/>
      <c r="GZV745" s="311"/>
      <c r="GZW745" s="311"/>
      <c r="GZX745" s="311"/>
      <c r="GZY745" s="311"/>
      <c r="GZZ745" s="311"/>
      <c r="HAA745" s="311"/>
      <c r="HAB745" s="311"/>
      <c r="HAC745" s="311"/>
      <c r="HAD745" s="311"/>
      <c r="HAE745" s="311"/>
      <c r="HAF745" s="311"/>
      <c r="HAG745" s="311"/>
      <c r="HAH745" s="311"/>
      <c r="HAI745" s="311"/>
      <c r="HAJ745" s="311"/>
      <c r="HAK745" s="311"/>
      <c r="HAL745" s="311"/>
      <c r="HAM745" s="311"/>
      <c r="HAN745" s="311"/>
      <c r="HAO745" s="311"/>
      <c r="HAP745" s="311"/>
      <c r="HAQ745" s="311"/>
      <c r="HAR745" s="311"/>
      <c r="HAS745" s="311"/>
      <c r="HAT745" s="311"/>
      <c r="HAU745" s="311"/>
      <c r="HAV745" s="311"/>
      <c r="HAW745" s="311"/>
      <c r="HAX745" s="311"/>
      <c r="HAY745" s="311"/>
      <c r="HAZ745" s="311"/>
      <c r="HBA745" s="311"/>
      <c r="HBB745" s="311"/>
      <c r="HBC745" s="311"/>
      <c r="HBD745" s="311"/>
      <c r="HBE745" s="311"/>
      <c r="HBF745" s="311"/>
      <c r="HBG745" s="311"/>
      <c r="HBH745" s="311"/>
      <c r="HBI745" s="311"/>
      <c r="HBJ745" s="311"/>
      <c r="HBK745" s="311"/>
      <c r="HBL745" s="311"/>
      <c r="HBM745" s="311"/>
      <c r="HBN745" s="311"/>
      <c r="HBO745" s="311"/>
      <c r="HBP745" s="311"/>
      <c r="HBQ745" s="311"/>
      <c r="HBR745" s="311"/>
      <c r="HBS745" s="311"/>
      <c r="HBT745" s="311"/>
      <c r="HBU745" s="311"/>
      <c r="HBV745" s="311"/>
      <c r="HBW745" s="311"/>
      <c r="HBX745" s="311"/>
      <c r="HBY745" s="311"/>
      <c r="HBZ745" s="311"/>
      <c r="HCA745" s="311"/>
      <c r="HCB745" s="311"/>
      <c r="HCC745" s="311"/>
      <c r="HCD745" s="311"/>
      <c r="HCE745" s="311"/>
      <c r="HCF745" s="311"/>
      <c r="HCG745" s="311"/>
      <c r="HCH745" s="311"/>
      <c r="HCI745" s="311"/>
      <c r="HCJ745" s="311"/>
      <c r="HCK745" s="311"/>
      <c r="HCL745" s="311"/>
      <c r="HCM745" s="311"/>
      <c r="HCN745" s="311"/>
      <c r="HCO745" s="311"/>
      <c r="HCP745" s="311"/>
      <c r="HCQ745" s="311"/>
      <c r="HCR745" s="311"/>
      <c r="HCS745" s="311"/>
      <c r="HCT745" s="311"/>
      <c r="HCU745" s="311"/>
      <c r="HCV745" s="311"/>
      <c r="HCW745" s="311"/>
      <c r="HCX745" s="311"/>
      <c r="HCY745" s="311"/>
      <c r="HCZ745" s="311"/>
      <c r="HDA745" s="311"/>
      <c r="HDB745" s="311"/>
      <c r="HDC745" s="311"/>
      <c r="HDD745" s="311"/>
      <c r="HDE745" s="311"/>
      <c r="HDF745" s="311"/>
      <c r="HDG745" s="311"/>
      <c r="HDH745" s="311"/>
      <c r="HDI745" s="311"/>
      <c r="HDJ745" s="311"/>
      <c r="HDK745" s="311"/>
      <c r="HDL745" s="311"/>
      <c r="HDM745" s="311"/>
      <c r="HDN745" s="311"/>
      <c r="HDO745" s="311"/>
      <c r="HDP745" s="311"/>
      <c r="HDQ745" s="311"/>
      <c r="HDR745" s="311"/>
      <c r="HDS745" s="311"/>
      <c r="HDT745" s="311"/>
      <c r="HDU745" s="311"/>
      <c r="HDV745" s="311"/>
      <c r="HDW745" s="311"/>
      <c r="HDX745" s="311"/>
      <c r="HDY745" s="311"/>
      <c r="HDZ745" s="311"/>
      <c r="HEA745" s="311"/>
      <c r="HEB745" s="311"/>
      <c r="HEC745" s="311"/>
      <c r="HED745" s="311"/>
      <c r="HEE745" s="311"/>
      <c r="HEF745" s="311"/>
      <c r="HEG745" s="311"/>
      <c r="HEH745" s="311"/>
      <c r="HEI745" s="311"/>
      <c r="HEJ745" s="311"/>
      <c r="HEK745" s="311"/>
      <c r="HEL745" s="311"/>
      <c r="HEM745" s="311"/>
      <c r="HEN745" s="311"/>
      <c r="HEO745" s="311"/>
      <c r="HEP745" s="311"/>
      <c r="HEQ745" s="311"/>
      <c r="HER745" s="311"/>
      <c r="HES745" s="311"/>
      <c r="HET745" s="311"/>
      <c r="HEU745" s="311"/>
      <c r="HEV745" s="311"/>
      <c r="HEW745" s="311"/>
      <c r="HEX745" s="311"/>
      <c r="HEY745" s="311"/>
      <c r="HEZ745" s="311"/>
      <c r="HFA745" s="311"/>
      <c r="HFB745" s="311"/>
      <c r="HFC745" s="311"/>
      <c r="HFD745" s="311"/>
      <c r="HFE745" s="311"/>
      <c r="HFF745" s="311"/>
      <c r="HFG745" s="311"/>
      <c r="HFH745" s="311"/>
      <c r="HFI745" s="311"/>
      <c r="HFJ745" s="311"/>
      <c r="HFK745" s="311"/>
      <c r="HFL745" s="311"/>
      <c r="HFM745" s="311"/>
      <c r="HFN745" s="311"/>
      <c r="HFO745" s="311"/>
      <c r="HFP745" s="311"/>
      <c r="HFQ745" s="311"/>
      <c r="HFR745" s="311"/>
      <c r="HFS745" s="311"/>
      <c r="HFT745" s="311"/>
      <c r="HFU745" s="311"/>
      <c r="HFV745" s="311"/>
      <c r="HFW745" s="311"/>
      <c r="HFX745" s="311"/>
      <c r="HFY745" s="311"/>
      <c r="HFZ745" s="311"/>
      <c r="HGA745" s="311"/>
      <c r="HGB745" s="311"/>
      <c r="HGC745" s="311"/>
      <c r="HGD745" s="311"/>
      <c r="HGE745" s="311"/>
      <c r="HGF745" s="311"/>
      <c r="HGG745" s="311"/>
      <c r="HGH745" s="311"/>
      <c r="HGI745" s="311"/>
      <c r="HGJ745" s="311"/>
      <c r="HGK745" s="311"/>
      <c r="HGL745" s="311"/>
      <c r="HGM745" s="311"/>
      <c r="HGN745" s="311"/>
      <c r="HGO745" s="311"/>
      <c r="HGP745" s="311"/>
      <c r="HGQ745" s="311"/>
      <c r="HGR745" s="311"/>
      <c r="HGS745" s="311"/>
      <c r="HGT745" s="311"/>
      <c r="HGU745" s="311"/>
      <c r="HGV745" s="311"/>
      <c r="HGW745" s="311"/>
      <c r="HGX745" s="311"/>
      <c r="HGY745" s="311"/>
      <c r="HGZ745" s="311"/>
      <c r="HHA745" s="311"/>
      <c r="HHB745" s="311"/>
      <c r="HHC745" s="311"/>
      <c r="HHD745" s="311"/>
      <c r="HHE745" s="311"/>
      <c r="HHF745" s="311"/>
      <c r="HHG745" s="311"/>
      <c r="HHH745" s="311"/>
      <c r="HHI745" s="311"/>
      <c r="HHJ745" s="311"/>
      <c r="HHK745" s="311"/>
      <c r="HHL745" s="311"/>
      <c r="HHM745" s="311"/>
      <c r="HHN745" s="311"/>
      <c r="HHO745" s="311"/>
      <c r="HHP745" s="311"/>
      <c r="HHQ745" s="311"/>
      <c r="HHR745" s="311"/>
      <c r="HHS745" s="311"/>
      <c r="HHT745" s="311"/>
      <c r="HHU745" s="311"/>
      <c r="HHV745" s="311"/>
      <c r="HHW745" s="311"/>
      <c r="HHX745" s="311"/>
      <c r="HHY745" s="311"/>
      <c r="HHZ745" s="311"/>
      <c r="HIA745" s="311"/>
      <c r="HIB745" s="311"/>
      <c r="HIC745" s="311"/>
      <c r="HID745" s="311"/>
      <c r="HIE745" s="311"/>
      <c r="HIF745" s="311"/>
      <c r="HIG745" s="311"/>
      <c r="HIH745" s="311"/>
      <c r="HII745" s="311"/>
      <c r="HIJ745" s="311"/>
      <c r="HIK745" s="311"/>
      <c r="HIL745" s="311"/>
      <c r="HIM745" s="311"/>
      <c r="HIN745" s="311"/>
      <c r="HIO745" s="311"/>
      <c r="HIP745" s="311"/>
      <c r="HIQ745" s="311"/>
      <c r="HIR745" s="311"/>
      <c r="HIS745" s="311"/>
      <c r="HIT745" s="311"/>
      <c r="HIU745" s="311"/>
      <c r="HIV745" s="311"/>
      <c r="HIW745" s="311"/>
      <c r="HIX745" s="311"/>
      <c r="HIY745" s="311"/>
      <c r="HIZ745" s="311"/>
      <c r="HJA745" s="311"/>
      <c r="HJB745" s="311"/>
      <c r="HJC745" s="311"/>
      <c r="HJD745" s="311"/>
      <c r="HJE745" s="311"/>
      <c r="HJF745" s="311"/>
      <c r="HJG745" s="311"/>
      <c r="HJH745" s="311"/>
      <c r="HJI745" s="311"/>
      <c r="HJJ745" s="311"/>
      <c r="HJK745" s="311"/>
      <c r="HJL745" s="311"/>
      <c r="HJM745" s="311"/>
      <c r="HJN745" s="311"/>
      <c r="HJO745" s="311"/>
      <c r="HJP745" s="311"/>
      <c r="HJQ745" s="311"/>
      <c r="HJR745" s="311"/>
      <c r="HJS745" s="311"/>
      <c r="HJT745" s="311"/>
      <c r="HJU745" s="311"/>
      <c r="HJV745" s="311"/>
      <c r="HJW745" s="311"/>
      <c r="HJX745" s="311"/>
      <c r="HJY745" s="311"/>
      <c r="HJZ745" s="311"/>
      <c r="HKA745" s="311"/>
      <c r="HKB745" s="311"/>
      <c r="HKC745" s="311"/>
      <c r="HKD745" s="311"/>
      <c r="HKE745" s="311"/>
      <c r="HKF745" s="311"/>
      <c r="HKG745" s="311"/>
      <c r="HKH745" s="311"/>
      <c r="HKI745" s="311"/>
      <c r="HKJ745" s="311"/>
      <c r="HKK745" s="311"/>
      <c r="HKL745" s="311"/>
      <c r="HKM745" s="311"/>
      <c r="HKN745" s="311"/>
      <c r="HKO745" s="311"/>
      <c r="HKP745" s="311"/>
      <c r="HKQ745" s="311"/>
      <c r="HKR745" s="311"/>
      <c r="HKS745" s="311"/>
      <c r="HKT745" s="311"/>
      <c r="HKU745" s="311"/>
      <c r="HKV745" s="311"/>
      <c r="HKW745" s="311"/>
      <c r="HKX745" s="311"/>
      <c r="HKY745" s="311"/>
      <c r="HKZ745" s="311"/>
      <c r="HLA745" s="311"/>
      <c r="HLB745" s="311"/>
      <c r="HLC745" s="311"/>
      <c r="HLD745" s="311"/>
      <c r="HLE745" s="311"/>
      <c r="HLF745" s="311"/>
      <c r="HLG745" s="311"/>
      <c r="HLH745" s="311"/>
      <c r="HLI745" s="311"/>
      <c r="HLJ745" s="311"/>
      <c r="HLK745" s="311"/>
      <c r="HLL745" s="311"/>
      <c r="HLM745" s="311"/>
      <c r="HLN745" s="311"/>
      <c r="HLO745" s="311"/>
      <c r="HLP745" s="311"/>
      <c r="HLQ745" s="311"/>
      <c r="HLR745" s="311"/>
      <c r="HLS745" s="311"/>
      <c r="HLT745" s="311"/>
      <c r="HLU745" s="311"/>
      <c r="HLV745" s="311"/>
      <c r="HLW745" s="311"/>
      <c r="HLX745" s="311"/>
      <c r="HLY745" s="311"/>
      <c r="HLZ745" s="311"/>
      <c r="HMA745" s="311"/>
      <c r="HMB745" s="311"/>
      <c r="HMC745" s="311"/>
      <c r="HMD745" s="311"/>
      <c r="HME745" s="311"/>
      <c r="HMF745" s="311"/>
      <c r="HMG745" s="311"/>
      <c r="HMH745" s="311"/>
      <c r="HMI745" s="311"/>
      <c r="HMJ745" s="311"/>
      <c r="HMK745" s="311"/>
      <c r="HML745" s="311"/>
      <c r="HMM745" s="311"/>
      <c r="HMN745" s="311"/>
      <c r="HMO745" s="311"/>
      <c r="HMP745" s="311"/>
      <c r="HMQ745" s="311"/>
      <c r="HMR745" s="311"/>
      <c r="HMS745" s="311"/>
      <c r="HMT745" s="311"/>
      <c r="HMU745" s="311"/>
      <c r="HMV745" s="311"/>
      <c r="HMW745" s="311"/>
      <c r="HMX745" s="311"/>
      <c r="HMY745" s="311"/>
      <c r="HMZ745" s="311"/>
      <c r="HNA745" s="311"/>
      <c r="HNB745" s="311"/>
      <c r="HNC745" s="311"/>
      <c r="HND745" s="311"/>
      <c r="HNE745" s="311"/>
      <c r="HNF745" s="311"/>
      <c r="HNG745" s="311"/>
      <c r="HNH745" s="311"/>
      <c r="HNI745" s="311"/>
      <c r="HNJ745" s="311"/>
      <c r="HNK745" s="311"/>
      <c r="HNL745" s="311"/>
      <c r="HNM745" s="311"/>
      <c r="HNN745" s="311"/>
      <c r="HNO745" s="311"/>
      <c r="HNP745" s="311"/>
      <c r="HNQ745" s="311"/>
      <c r="HNR745" s="311"/>
      <c r="HNS745" s="311"/>
      <c r="HNT745" s="311"/>
      <c r="HNU745" s="311"/>
      <c r="HNV745" s="311"/>
      <c r="HNW745" s="311"/>
      <c r="HNX745" s="311"/>
      <c r="HNY745" s="311"/>
      <c r="HNZ745" s="311"/>
      <c r="HOA745" s="311"/>
      <c r="HOB745" s="311"/>
      <c r="HOC745" s="311"/>
      <c r="HOD745" s="311"/>
      <c r="HOE745" s="311"/>
      <c r="HOF745" s="311"/>
      <c r="HOG745" s="311"/>
      <c r="HOH745" s="311"/>
      <c r="HOI745" s="311"/>
      <c r="HOJ745" s="311"/>
      <c r="HOK745" s="311"/>
      <c r="HOL745" s="311"/>
      <c r="HOM745" s="311"/>
      <c r="HON745" s="311"/>
      <c r="HOO745" s="311"/>
      <c r="HOP745" s="311"/>
      <c r="HOQ745" s="311"/>
      <c r="HOR745" s="311"/>
      <c r="HOS745" s="311"/>
      <c r="HOT745" s="311"/>
      <c r="HOU745" s="311"/>
      <c r="HOV745" s="311"/>
      <c r="HOW745" s="311"/>
      <c r="HOX745" s="311"/>
      <c r="HOY745" s="311"/>
      <c r="HOZ745" s="311"/>
      <c r="HPA745" s="311"/>
      <c r="HPB745" s="311"/>
      <c r="HPC745" s="311"/>
      <c r="HPD745" s="311"/>
      <c r="HPE745" s="311"/>
      <c r="HPF745" s="311"/>
      <c r="HPG745" s="311"/>
      <c r="HPH745" s="311"/>
      <c r="HPI745" s="311"/>
      <c r="HPJ745" s="311"/>
      <c r="HPK745" s="311"/>
      <c r="HPL745" s="311"/>
      <c r="HPM745" s="311"/>
      <c r="HPN745" s="311"/>
      <c r="HPO745" s="311"/>
      <c r="HPP745" s="311"/>
      <c r="HPQ745" s="311"/>
      <c r="HPR745" s="311"/>
      <c r="HPS745" s="311"/>
      <c r="HPT745" s="311"/>
      <c r="HPU745" s="311"/>
      <c r="HPV745" s="311"/>
      <c r="HPW745" s="311"/>
      <c r="HPX745" s="311"/>
      <c r="HPY745" s="311"/>
      <c r="HPZ745" s="311"/>
      <c r="HQA745" s="311"/>
      <c r="HQB745" s="311"/>
      <c r="HQC745" s="311"/>
      <c r="HQD745" s="311"/>
      <c r="HQE745" s="311"/>
      <c r="HQF745" s="311"/>
      <c r="HQG745" s="311"/>
      <c r="HQH745" s="311"/>
      <c r="HQI745" s="311"/>
      <c r="HQJ745" s="311"/>
      <c r="HQK745" s="311"/>
      <c r="HQL745" s="311"/>
      <c r="HQM745" s="311"/>
      <c r="HQN745" s="311"/>
      <c r="HQO745" s="311"/>
      <c r="HQP745" s="311"/>
      <c r="HQQ745" s="311"/>
      <c r="HQR745" s="311"/>
      <c r="HQS745" s="311"/>
      <c r="HQT745" s="311"/>
      <c r="HQU745" s="311"/>
      <c r="HQV745" s="311"/>
      <c r="HQW745" s="311"/>
      <c r="HQX745" s="311"/>
      <c r="HQY745" s="311"/>
      <c r="HQZ745" s="311"/>
      <c r="HRA745" s="311"/>
      <c r="HRB745" s="311"/>
      <c r="HRC745" s="311"/>
      <c r="HRD745" s="311"/>
      <c r="HRE745" s="311"/>
      <c r="HRF745" s="311"/>
      <c r="HRG745" s="311"/>
      <c r="HRH745" s="311"/>
      <c r="HRI745" s="311"/>
      <c r="HRJ745" s="311"/>
      <c r="HRK745" s="311"/>
      <c r="HRL745" s="311"/>
      <c r="HRM745" s="311"/>
      <c r="HRN745" s="311"/>
      <c r="HRO745" s="311"/>
      <c r="HRP745" s="311"/>
      <c r="HRQ745" s="311"/>
      <c r="HRR745" s="311"/>
      <c r="HRS745" s="311"/>
      <c r="HRT745" s="311"/>
      <c r="HRU745" s="311"/>
      <c r="HRV745" s="311"/>
      <c r="HRW745" s="311"/>
      <c r="HRX745" s="311"/>
      <c r="HRY745" s="311"/>
      <c r="HRZ745" s="311"/>
      <c r="HSA745" s="311"/>
      <c r="HSB745" s="311"/>
      <c r="HSC745" s="311"/>
      <c r="HSD745" s="311"/>
      <c r="HSE745" s="311"/>
      <c r="HSF745" s="311"/>
      <c r="HSG745" s="311"/>
      <c r="HSH745" s="311"/>
      <c r="HSI745" s="311"/>
      <c r="HSJ745" s="311"/>
      <c r="HSK745" s="311"/>
      <c r="HSL745" s="311"/>
      <c r="HSM745" s="311"/>
      <c r="HSN745" s="311"/>
      <c r="HSO745" s="311"/>
      <c r="HSP745" s="311"/>
      <c r="HSQ745" s="311"/>
      <c r="HSR745" s="311"/>
      <c r="HSS745" s="311"/>
      <c r="HST745" s="311"/>
      <c r="HSU745" s="311"/>
      <c r="HSV745" s="311"/>
      <c r="HSW745" s="311"/>
      <c r="HSX745" s="311"/>
      <c r="HSY745" s="311"/>
      <c r="HSZ745" s="311"/>
      <c r="HTA745" s="311"/>
      <c r="HTB745" s="311"/>
      <c r="HTC745" s="311"/>
      <c r="HTD745" s="311"/>
      <c r="HTE745" s="311"/>
      <c r="HTF745" s="311"/>
      <c r="HTG745" s="311"/>
      <c r="HTH745" s="311"/>
      <c r="HTI745" s="311"/>
      <c r="HTJ745" s="311"/>
      <c r="HTK745" s="311"/>
      <c r="HTL745" s="311"/>
      <c r="HTM745" s="311"/>
      <c r="HTN745" s="311"/>
      <c r="HTO745" s="311"/>
      <c r="HTP745" s="311"/>
      <c r="HTQ745" s="311"/>
      <c r="HTR745" s="311"/>
      <c r="HTS745" s="311"/>
      <c r="HTT745" s="311"/>
      <c r="HTU745" s="311"/>
      <c r="HTV745" s="311"/>
      <c r="HTW745" s="311"/>
      <c r="HTX745" s="311"/>
      <c r="HTY745" s="311"/>
      <c r="HTZ745" s="311"/>
      <c r="HUA745" s="311"/>
      <c r="HUB745" s="311"/>
      <c r="HUC745" s="311"/>
      <c r="HUD745" s="311"/>
      <c r="HUE745" s="311"/>
      <c r="HUF745" s="311"/>
      <c r="HUG745" s="311"/>
      <c r="HUH745" s="311"/>
      <c r="HUI745" s="311"/>
      <c r="HUJ745" s="311"/>
      <c r="HUK745" s="311"/>
      <c r="HUL745" s="311"/>
      <c r="HUM745" s="311"/>
      <c r="HUN745" s="311"/>
      <c r="HUO745" s="311"/>
      <c r="HUP745" s="311"/>
      <c r="HUQ745" s="311"/>
      <c r="HUR745" s="311"/>
      <c r="HUS745" s="311"/>
      <c r="HUT745" s="311"/>
      <c r="HUU745" s="311"/>
      <c r="HUV745" s="311"/>
      <c r="HUW745" s="311"/>
      <c r="HUX745" s="311"/>
      <c r="HUY745" s="311"/>
      <c r="HUZ745" s="311"/>
      <c r="HVA745" s="311"/>
      <c r="HVB745" s="311"/>
      <c r="HVC745" s="311"/>
      <c r="HVD745" s="311"/>
      <c r="HVE745" s="311"/>
      <c r="HVF745" s="311"/>
      <c r="HVG745" s="311"/>
      <c r="HVH745" s="311"/>
      <c r="HVI745" s="311"/>
      <c r="HVJ745" s="311"/>
      <c r="HVK745" s="311"/>
      <c r="HVL745" s="311"/>
      <c r="HVM745" s="311"/>
      <c r="HVN745" s="311"/>
      <c r="HVO745" s="311"/>
      <c r="HVP745" s="311"/>
      <c r="HVQ745" s="311"/>
      <c r="HVR745" s="311"/>
      <c r="HVS745" s="311"/>
      <c r="HVT745" s="311"/>
      <c r="HVU745" s="311"/>
      <c r="HVV745" s="311"/>
      <c r="HVW745" s="311"/>
      <c r="HVX745" s="311"/>
      <c r="HVY745" s="311"/>
      <c r="HVZ745" s="311"/>
      <c r="HWA745" s="311"/>
      <c r="HWB745" s="311"/>
      <c r="HWC745" s="311"/>
      <c r="HWD745" s="311"/>
      <c r="HWE745" s="311"/>
      <c r="HWF745" s="311"/>
      <c r="HWG745" s="311"/>
      <c r="HWH745" s="311"/>
      <c r="HWI745" s="311"/>
      <c r="HWJ745" s="311"/>
      <c r="HWK745" s="311"/>
      <c r="HWL745" s="311"/>
      <c r="HWM745" s="311"/>
      <c r="HWN745" s="311"/>
      <c r="HWO745" s="311"/>
      <c r="HWP745" s="311"/>
      <c r="HWQ745" s="311"/>
      <c r="HWR745" s="311"/>
      <c r="HWS745" s="311"/>
      <c r="HWT745" s="311"/>
      <c r="HWU745" s="311"/>
      <c r="HWV745" s="311"/>
      <c r="HWW745" s="311"/>
      <c r="HWX745" s="311"/>
      <c r="HWY745" s="311"/>
      <c r="HWZ745" s="311"/>
      <c r="HXA745" s="311"/>
      <c r="HXB745" s="311"/>
      <c r="HXC745" s="311"/>
      <c r="HXD745" s="311"/>
      <c r="HXE745" s="311"/>
      <c r="HXF745" s="311"/>
      <c r="HXG745" s="311"/>
      <c r="HXH745" s="311"/>
      <c r="HXI745" s="311"/>
      <c r="HXJ745" s="311"/>
      <c r="HXK745" s="311"/>
      <c r="HXL745" s="311"/>
      <c r="HXM745" s="311"/>
      <c r="HXN745" s="311"/>
      <c r="HXO745" s="311"/>
      <c r="HXP745" s="311"/>
      <c r="HXQ745" s="311"/>
      <c r="HXR745" s="311"/>
      <c r="HXS745" s="311"/>
      <c r="HXT745" s="311"/>
      <c r="HXU745" s="311"/>
      <c r="HXV745" s="311"/>
      <c r="HXW745" s="311"/>
      <c r="HXX745" s="311"/>
      <c r="HXY745" s="311"/>
      <c r="HXZ745" s="311"/>
      <c r="HYA745" s="311"/>
      <c r="HYB745" s="311"/>
      <c r="HYC745" s="311"/>
      <c r="HYD745" s="311"/>
      <c r="HYE745" s="311"/>
      <c r="HYF745" s="311"/>
      <c r="HYG745" s="311"/>
      <c r="HYH745" s="311"/>
      <c r="HYI745" s="311"/>
      <c r="HYJ745" s="311"/>
      <c r="HYK745" s="311"/>
      <c r="HYL745" s="311"/>
      <c r="HYM745" s="311"/>
      <c r="HYN745" s="311"/>
      <c r="HYO745" s="311"/>
      <c r="HYP745" s="311"/>
      <c r="HYQ745" s="311"/>
      <c r="HYR745" s="311"/>
      <c r="HYS745" s="311"/>
      <c r="HYT745" s="311"/>
      <c r="HYU745" s="311"/>
      <c r="HYV745" s="311"/>
      <c r="HYW745" s="311"/>
      <c r="HYX745" s="311"/>
      <c r="HYY745" s="311"/>
      <c r="HYZ745" s="311"/>
      <c r="HZA745" s="311"/>
      <c r="HZB745" s="311"/>
      <c r="HZC745" s="311"/>
      <c r="HZD745" s="311"/>
      <c r="HZE745" s="311"/>
      <c r="HZF745" s="311"/>
      <c r="HZG745" s="311"/>
      <c r="HZH745" s="311"/>
      <c r="HZI745" s="311"/>
      <c r="HZJ745" s="311"/>
      <c r="HZK745" s="311"/>
      <c r="HZL745" s="311"/>
      <c r="HZM745" s="311"/>
      <c r="HZN745" s="311"/>
      <c r="HZO745" s="311"/>
      <c r="HZP745" s="311"/>
      <c r="HZQ745" s="311"/>
      <c r="HZR745" s="311"/>
      <c r="HZS745" s="311"/>
      <c r="HZT745" s="311"/>
      <c r="HZU745" s="311"/>
      <c r="HZV745" s="311"/>
      <c r="HZW745" s="311"/>
      <c r="HZX745" s="311"/>
      <c r="HZY745" s="311"/>
      <c r="HZZ745" s="311"/>
      <c r="IAA745" s="311"/>
      <c r="IAB745" s="311"/>
      <c r="IAC745" s="311"/>
      <c r="IAD745" s="311"/>
      <c r="IAE745" s="311"/>
      <c r="IAF745" s="311"/>
      <c r="IAG745" s="311"/>
      <c r="IAH745" s="311"/>
      <c r="IAI745" s="311"/>
      <c r="IAJ745" s="311"/>
      <c r="IAK745" s="311"/>
      <c r="IAL745" s="311"/>
      <c r="IAM745" s="311"/>
      <c r="IAN745" s="311"/>
      <c r="IAO745" s="311"/>
      <c r="IAP745" s="311"/>
      <c r="IAQ745" s="311"/>
      <c r="IAR745" s="311"/>
      <c r="IAS745" s="311"/>
      <c r="IAT745" s="311"/>
      <c r="IAU745" s="311"/>
      <c r="IAV745" s="311"/>
      <c r="IAW745" s="311"/>
      <c r="IAX745" s="311"/>
      <c r="IAY745" s="311"/>
      <c r="IAZ745" s="311"/>
      <c r="IBA745" s="311"/>
      <c r="IBB745" s="311"/>
      <c r="IBC745" s="311"/>
      <c r="IBD745" s="311"/>
      <c r="IBE745" s="311"/>
      <c r="IBF745" s="311"/>
      <c r="IBG745" s="311"/>
      <c r="IBH745" s="311"/>
      <c r="IBI745" s="311"/>
      <c r="IBJ745" s="311"/>
      <c r="IBK745" s="311"/>
      <c r="IBL745" s="311"/>
      <c r="IBM745" s="311"/>
      <c r="IBN745" s="311"/>
      <c r="IBO745" s="311"/>
      <c r="IBP745" s="311"/>
      <c r="IBQ745" s="311"/>
      <c r="IBR745" s="311"/>
      <c r="IBS745" s="311"/>
      <c r="IBT745" s="311"/>
      <c r="IBU745" s="311"/>
      <c r="IBV745" s="311"/>
      <c r="IBW745" s="311"/>
      <c r="IBX745" s="311"/>
      <c r="IBY745" s="311"/>
      <c r="IBZ745" s="311"/>
      <c r="ICA745" s="311"/>
      <c r="ICB745" s="311"/>
      <c r="ICC745" s="311"/>
      <c r="ICD745" s="311"/>
      <c r="ICE745" s="311"/>
      <c r="ICF745" s="311"/>
      <c r="ICG745" s="311"/>
      <c r="ICH745" s="311"/>
      <c r="ICI745" s="311"/>
      <c r="ICJ745" s="311"/>
      <c r="ICK745" s="311"/>
      <c r="ICL745" s="311"/>
      <c r="ICM745" s="311"/>
      <c r="ICN745" s="311"/>
      <c r="ICO745" s="311"/>
      <c r="ICP745" s="311"/>
      <c r="ICQ745" s="311"/>
      <c r="ICR745" s="311"/>
      <c r="ICS745" s="311"/>
      <c r="ICT745" s="311"/>
      <c r="ICU745" s="311"/>
      <c r="ICV745" s="311"/>
      <c r="ICW745" s="311"/>
      <c r="ICX745" s="311"/>
      <c r="ICY745" s="311"/>
      <c r="ICZ745" s="311"/>
      <c r="IDA745" s="311"/>
      <c r="IDB745" s="311"/>
      <c r="IDC745" s="311"/>
      <c r="IDD745" s="311"/>
      <c r="IDE745" s="311"/>
      <c r="IDF745" s="311"/>
      <c r="IDG745" s="311"/>
      <c r="IDH745" s="311"/>
      <c r="IDI745" s="311"/>
      <c r="IDJ745" s="311"/>
      <c r="IDK745" s="311"/>
      <c r="IDL745" s="311"/>
      <c r="IDM745" s="311"/>
      <c r="IDN745" s="311"/>
      <c r="IDO745" s="311"/>
      <c r="IDP745" s="311"/>
      <c r="IDQ745" s="311"/>
      <c r="IDR745" s="311"/>
      <c r="IDS745" s="311"/>
      <c r="IDT745" s="311"/>
      <c r="IDU745" s="311"/>
      <c r="IDV745" s="311"/>
      <c r="IDW745" s="311"/>
      <c r="IDX745" s="311"/>
      <c r="IDY745" s="311"/>
      <c r="IDZ745" s="311"/>
      <c r="IEA745" s="311"/>
      <c r="IEB745" s="311"/>
      <c r="IEC745" s="311"/>
      <c r="IED745" s="311"/>
      <c r="IEE745" s="311"/>
      <c r="IEF745" s="311"/>
      <c r="IEG745" s="311"/>
      <c r="IEH745" s="311"/>
      <c r="IEI745" s="311"/>
      <c r="IEJ745" s="311"/>
      <c r="IEK745" s="311"/>
      <c r="IEL745" s="311"/>
      <c r="IEM745" s="311"/>
      <c r="IEN745" s="311"/>
      <c r="IEO745" s="311"/>
      <c r="IEP745" s="311"/>
      <c r="IEQ745" s="311"/>
      <c r="IER745" s="311"/>
      <c r="IES745" s="311"/>
      <c r="IET745" s="311"/>
      <c r="IEU745" s="311"/>
      <c r="IEV745" s="311"/>
      <c r="IEW745" s="311"/>
      <c r="IEX745" s="311"/>
      <c r="IEY745" s="311"/>
      <c r="IEZ745" s="311"/>
      <c r="IFA745" s="311"/>
      <c r="IFB745" s="311"/>
      <c r="IFC745" s="311"/>
      <c r="IFD745" s="311"/>
      <c r="IFE745" s="311"/>
      <c r="IFF745" s="311"/>
      <c r="IFG745" s="311"/>
      <c r="IFH745" s="311"/>
      <c r="IFI745" s="311"/>
      <c r="IFJ745" s="311"/>
      <c r="IFK745" s="311"/>
      <c r="IFL745" s="311"/>
      <c r="IFM745" s="311"/>
      <c r="IFN745" s="311"/>
      <c r="IFO745" s="311"/>
      <c r="IFP745" s="311"/>
      <c r="IFQ745" s="311"/>
      <c r="IFR745" s="311"/>
      <c r="IFS745" s="311"/>
      <c r="IFT745" s="311"/>
      <c r="IFU745" s="311"/>
      <c r="IFV745" s="311"/>
      <c r="IFW745" s="311"/>
      <c r="IFX745" s="311"/>
      <c r="IFY745" s="311"/>
      <c r="IFZ745" s="311"/>
      <c r="IGA745" s="311"/>
      <c r="IGB745" s="311"/>
      <c r="IGC745" s="311"/>
      <c r="IGD745" s="311"/>
      <c r="IGE745" s="311"/>
      <c r="IGF745" s="311"/>
      <c r="IGG745" s="311"/>
      <c r="IGH745" s="311"/>
      <c r="IGI745" s="311"/>
      <c r="IGJ745" s="311"/>
      <c r="IGK745" s="311"/>
      <c r="IGL745" s="311"/>
      <c r="IGM745" s="311"/>
      <c r="IGN745" s="311"/>
      <c r="IGO745" s="311"/>
      <c r="IGP745" s="311"/>
      <c r="IGQ745" s="311"/>
      <c r="IGR745" s="311"/>
      <c r="IGS745" s="311"/>
      <c r="IGT745" s="311"/>
      <c r="IGU745" s="311"/>
      <c r="IGV745" s="311"/>
      <c r="IGW745" s="311"/>
      <c r="IGX745" s="311"/>
      <c r="IGY745" s="311"/>
      <c r="IGZ745" s="311"/>
      <c r="IHA745" s="311"/>
      <c r="IHB745" s="311"/>
      <c r="IHC745" s="311"/>
      <c r="IHD745" s="311"/>
      <c r="IHE745" s="311"/>
      <c r="IHF745" s="311"/>
      <c r="IHG745" s="311"/>
      <c r="IHH745" s="311"/>
      <c r="IHI745" s="311"/>
      <c r="IHJ745" s="311"/>
      <c r="IHK745" s="311"/>
      <c r="IHL745" s="311"/>
      <c r="IHM745" s="311"/>
      <c r="IHN745" s="311"/>
      <c r="IHO745" s="311"/>
      <c r="IHP745" s="311"/>
      <c r="IHQ745" s="311"/>
      <c r="IHR745" s="311"/>
      <c r="IHS745" s="311"/>
      <c r="IHT745" s="311"/>
      <c r="IHU745" s="311"/>
      <c r="IHV745" s="311"/>
      <c r="IHW745" s="311"/>
      <c r="IHX745" s="311"/>
      <c r="IHY745" s="311"/>
      <c r="IHZ745" s="311"/>
      <c r="IIA745" s="311"/>
      <c r="IIB745" s="311"/>
      <c r="IIC745" s="311"/>
      <c r="IID745" s="311"/>
      <c r="IIE745" s="311"/>
      <c r="IIF745" s="311"/>
      <c r="IIG745" s="311"/>
      <c r="IIH745" s="311"/>
      <c r="III745" s="311"/>
      <c r="IIJ745" s="311"/>
      <c r="IIK745" s="311"/>
      <c r="IIL745" s="311"/>
      <c r="IIM745" s="311"/>
      <c r="IIN745" s="311"/>
      <c r="IIO745" s="311"/>
      <c r="IIP745" s="311"/>
      <c r="IIQ745" s="311"/>
      <c r="IIR745" s="311"/>
      <c r="IIS745" s="311"/>
      <c r="IIT745" s="311"/>
      <c r="IIU745" s="311"/>
      <c r="IIV745" s="311"/>
      <c r="IIW745" s="311"/>
      <c r="IIX745" s="311"/>
      <c r="IIY745" s="311"/>
      <c r="IIZ745" s="311"/>
      <c r="IJA745" s="311"/>
      <c r="IJB745" s="311"/>
      <c r="IJC745" s="311"/>
      <c r="IJD745" s="311"/>
      <c r="IJE745" s="311"/>
      <c r="IJF745" s="311"/>
      <c r="IJG745" s="311"/>
      <c r="IJH745" s="311"/>
      <c r="IJI745" s="311"/>
      <c r="IJJ745" s="311"/>
      <c r="IJK745" s="311"/>
      <c r="IJL745" s="311"/>
      <c r="IJM745" s="311"/>
      <c r="IJN745" s="311"/>
      <c r="IJO745" s="311"/>
      <c r="IJP745" s="311"/>
      <c r="IJQ745" s="311"/>
      <c r="IJR745" s="311"/>
      <c r="IJS745" s="311"/>
      <c r="IJT745" s="311"/>
      <c r="IJU745" s="311"/>
      <c r="IJV745" s="311"/>
      <c r="IJW745" s="311"/>
      <c r="IJX745" s="311"/>
      <c r="IJY745" s="311"/>
      <c r="IJZ745" s="311"/>
      <c r="IKA745" s="311"/>
      <c r="IKB745" s="311"/>
      <c r="IKC745" s="311"/>
      <c r="IKD745" s="311"/>
      <c r="IKE745" s="311"/>
      <c r="IKF745" s="311"/>
      <c r="IKG745" s="311"/>
      <c r="IKH745" s="311"/>
      <c r="IKI745" s="311"/>
      <c r="IKJ745" s="311"/>
      <c r="IKK745" s="311"/>
      <c r="IKL745" s="311"/>
      <c r="IKM745" s="311"/>
      <c r="IKN745" s="311"/>
      <c r="IKO745" s="311"/>
      <c r="IKP745" s="311"/>
      <c r="IKQ745" s="311"/>
      <c r="IKR745" s="311"/>
      <c r="IKS745" s="311"/>
      <c r="IKT745" s="311"/>
      <c r="IKU745" s="311"/>
      <c r="IKV745" s="311"/>
      <c r="IKW745" s="311"/>
      <c r="IKX745" s="311"/>
      <c r="IKY745" s="311"/>
      <c r="IKZ745" s="311"/>
      <c r="ILA745" s="311"/>
      <c r="ILB745" s="311"/>
      <c r="ILC745" s="311"/>
      <c r="ILD745" s="311"/>
      <c r="ILE745" s="311"/>
      <c r="ILF745" s="311"/>
      <c r="ILG745" s="311"/>
      <c r="ILH745" s="311"/>
      <c r="ILI745" s="311"/>
      <c r="ILJ745" s="311"/>
      <c r="ILK745" s="311"/>
      <c r="ILL745" s="311"/>
      <c r="ILM745" s="311"/>
      <c r="ILN745" s="311"/>
      <c r="ILO745" s="311"/>
      <c r="ILP745" s="311"/>
      <c r="ILQ745" s="311"/>
      <c r="ILR745" s="311"/>
      <c r="ILS745" s="311"/>
      <c r="ILT745" s="311"/>
      <c r="ILU745" s="311"/>
      <c r="ILV745" s="311"/>
      <c r="ILW745" s="311"/>
      <c r="ILX745" s="311"/>
      <c r="ILY745" s="311"/>
      <c r="ILZ745" s="311"/>
      <c r="IMA745" s="311"/>
      <c r="IMB745" s="311"/>
      <c r="IMC745" s="311"/>
      <c r="IMD745" s="311"/>
      <c r="IME745" s="311"/>
      <c r="IMF745" s="311"/>
      <c r="IMG745" s="311"/>
      <c r="IMH745" s="311"/>
      <c r="IMI745" s="311"/>
      <c r="IMJ745" s="311"/>
      <c r="IMK745" s="311"/>
      <c r="IML745" s="311"/>
      <c r="IMM745" s="311"/>
      <c r="IMN745" s="311"/>
      <c r="IMO745" s="311"/>
      <c r="IMP745" s="311"/>
      <c r="IMQ745" s="311"/>
      <c r="IMR745" s="311"/>
      <c r="IMS745" s="311"/>
      <c r="IMT745" s="311"/>
      <c r="IMU745" s="311"/>
      <c r="IMV745" s="311"/>
      <c r="IMW745" s="311"/>
      <c r="IMX745" s="311"/>
      <c r="IMY745" s="311"/>
      <c r="IMZ745" s="311"/>
      <c r="INA745" s="311"/>
      <c r="INB745" s="311"/>
      <c r="INC745" s="311"/>
      <c r="IND745" s="311"/>
      <c r="INE745" s="311"/>
      <c r="INF745" s="311"/>
      <c r="ING745" s="311"/>
      <c r="INH745" s="311"/>
      <c r="INI745" s="311"/>
      <c r="INJ745" s="311"/>
      <c r="INK745" s="311"/>
      <c r="INL745" s="311"/>
      <c r="INM745" s="311"/>
      <c r="INN745" s="311"/>
      <c r="INO745" s="311"/>
      <c r="INP745" s="311"/>
      <c r="INQ745" s="311"/>
      <c r="INR745" s="311"/>
      <c r="INS745" s="311"/>
      <c r="INT745" s="311"/>
      <c r="INU745" s="311"/>
      <c r="INV745" s="311"/>
      <c r="INW745" s="311"/>
      <c r="INX745" s="311"/>
      <c r="INY745" s="311"/>
      <c r="INZ745" s="311"/>
      <c r="IOA745" s="311"/>
      <c r="IOB745" s="311"/>
      <c r="IOC745" s="311"/>
      <c r="IOD745" s="311"/>
      <c r="IOE745" s="311"/>
      <c r="IOF745" s="311"/>
      <c r="IOG745" s="311"/>
      <c r="IOH745" s="311"/>
      <c r="IOI745" s="311"/>
      <c r="IOJ745" s="311"/>
      <c r="IOK745" s="311"/>
      <c r="IOL745" s="311"/>
      <c r="IOM745" s="311"/>
      <c r="ION745" s="311"/>
      <c r="IOO745" s="311"/>
      <c r="IOP745" s="311"/>
      <c r="IOQ745" s="311"/>
      <c r="IOR745" s="311"/>
      <c r="IOS745" s="311"/>
      <c r="IOT745" s="311"/>
      <c r="IOU745" s="311"/>
      <c r="IOV745" s="311"/>
      <c r="IOW745" s="311"/>
      <c r="IOX745" s="311"/>
      <c r="IOY745" s="311"/>
      <c r="IOZ745" s="311"/>
      <c r="IPA745" s="311"/>
      <c r="IPB745" s="311"/>
      <c r="IPC745" s="311"/>
      <c r="IPD745" s="311"/>
      <c r="IPE745" s="311"/>
      <c r="IPF745" s="311"/>
      <c r="IPG745" s="311"/>
      <c r="IPH745" s="311"/>
      <c r="IPI745" s="311"/>
      <c r="IPJ745" s="311"/>
      <c r="IPK745" s="311"/>
      <c r="IPL745" s="311"/>
      <c r="IPM745" s="311"/>
      <c r="IPN745" s="311"/>
      <c r="IPO745" s="311"/>
      <c r="IPP745" s="311"/>
      <c r="IPQ745" s="311"/>
      <c r="IPR745" s="311"/>
      <c r="IPS745" s="311"/>
      <c r="IPT745" s="311"/>
      <c r="IPU745" s="311"/>
      <c r="IPV745" s="311"/>
      <c r="IPW745" s="311"/>
      <c r="IPX745" s="311"/>
      <c r="IPY745" s="311"/>
      <c r="IPZ745" s="311"/>
      <c r="IQA745" s="311"/>
      <c r="IQB745" s="311"/>
      <c r="IQC745" s="311"/>
      <c r="IQD745" s="311"/>
      <c r="IQE745" s="311"/>
      <c r="IQF745" s="311"/>
      <c r="IQG745" s="311"/>
      <c r="IQH745" s="311"/>
      <c r="IQI745" s="311"/>
      <c r="IQJ745" s="311"/>
      <c r="IQK745" s="311"/>
      <c r="IQL745" s="311"/>
      <c r="IQM745" s="311"/>
      <c r="IQN745" s="311"/>
      <c r="IQO745" s="311"/>
      <c r="IQP745" s="311"/>
      <c r="IQQ745" s="311"/>
      <c r="IQR745" s="311"/>
      <c r="IQS745" s="311"/>
      <c r="IQT745" s="311"/>
      <c r="IQU745" s="311"/>
      <c r="IQV745" s="311"/>
      <c r="IQW745" s="311"/>
      <c r="IQX745" s="311"/>
      <c r="IQY745" s="311"/>
      <c r="IQZ745" s="311"/>
      <c r="IRA745" s="311"/>
      <c r="IRB745" s="311"/>
      <c r="IRC745" s="311"/>
      <c r="IRD745" s="311"/>
      <c r="IRE745" s="311"/>
      <c r="IRF745" s="311"/>
      <c r="IRG745" s="311"/>
      <c r="IRH745" s="311"/>
      <c r="IRI745" s="311"/>
      <c r="IRJ745" s="311"/>
      <c r="IRK745" s="311"/>
      <c r="IRL745" s="311"/>
      <c r="IRM745" s="311"/>
      <c r="IRN745" s="311"/>
      <c r="IRO745" s="311"/>
      <c r="IRP745" s="311"/>
      <c r="IRQ745" s="311"/>
      <c r="IRR745" s="311"/>
      <c r="IRS745" s="311"/>
      <c r="IRT745" s="311"/>
      <c r="IRU745" s="311"/>
      <c r="IRV745" s="311"/>
      <c r="IRW745" s="311"/>
      <c r="IRX745" s="311"/>
      <c r="IRY745" s="311"/>
      <c r="IRZ745" s="311"/>
      <c r="ISA745" s="311"/>
      <c r="ISB745" s="311"/>
      <c r="ISC745" s="311"/>
      <c r="ISD745" s="311"/>
      <c r="ISE745" s="311"/>
      <c r="ISF745" s="311"/>
      <c r="ISG745" s="311"/>
      <c r="ISH745" s="311"/>
      <c r="ISI745" s="311"/>
      <c r="ISJ745" s="311"/>
      <c r="ISK745" s="311"/>
      <c r="ISL745" s="311"/>
      <c r="ISM745" s="311"/>
      <c r="ISN745" s="311"/>
      <c r="ISO745" s="311"/>
      <c r="ISP745" s="311"/>
      <c r="ISQ745" s="311"/>
      <c r="ISR745" s="311"/>
      <c r="ISS745" s="311"/>
      <c r="IST745" s="311"/>
      <c r="ISU745" s="311"/>
      <c r="ISV745" s="311"/>
      <c r="ISW745" s="311"/>
      <c r="ISX745" s="311"/>
      <c r="ISY745" s="311"/>
      <c r="ISZ745" s="311"/>
      <c r="ITA745" s="311"/>
      <c r="ITB745" s="311"/>
      <c r="ITC745" s="311"/>
      <c r="ITD745" s="311"/>
      <c r="ITE745" s="311"/>
      <c r="ITF745" s="311"/>
      <c r="ITG745" s="311"/>
      <c r="ITH745" s="311"/>
      <c r="ITI745" s="311"/>
      <c r="ITJ745" s="311"/>
      <c r="ITK745" s="311"/>
      <c r="ITL745" s="311"/>
      <c r="ITM745" s="311"/>
      <c r="ITN745" s="311"/>
      <c r="ITO745" s="311"/>
      <c r="ITP745" s="311"/>
      <c r="ITQ745" s="311"/>
      <c r="ITR745" s="311"/>
      <c r="ITS745" s="311"/>
      <c r="ITT745" s="311"/>
      <c r="ITU745" s="311"/>
      <c r="ITV745" s="311"/>
      <c r="ITW745" s="311"/>
      <c r="ITX745" s="311"/>
      <c r="ITY745" s="311"/>
      <c r="ITZ745" s="311"/>
      <c r="IUA745" s="311"/>
      <c r="IUB745" s="311"/>
      <c r="IUC745" s="311"/>
      <c r="IUD745" s="311"/>
      <c r="IUE745" s="311"/>
      <c r="IUF745" s="311"/>
      <c r="IUG745" s="311"/>
      <c r="IUH745" s="311"/>
      <c r="IUI745" s="311"/>
      <c r="IUJ745" s="311"/>
      <c r="IUK745" s="311"/>
      <c r="IUL745" s="311"/>
      <c r="IUM745" s="311"/>
      <c r="IUN745" s="311"/>
      <c r="IUO745" s="311"/>
      <c r="IUP745" s="311"/>
      <c r="IUQ745" s="311"/>
      <c r="IUR745" s="311"/>
      <c r="IUS745" s="311"/>
      <c r="IUT745" s="311"/>
      <c r="IUU745" s="311"/>
      <c r="IUV745" s="311"/>
      <c r="IUW745" s="311"/>
      <c r="IUX745" s="311"/>
      <c r="IUY745" s="311"/>
      <c r="IUZ745" s="311"/>
      <c r="IVA745" s="311"/>
      <c r="IVB745" s="311"/>
      <c r="IVC745" s="311"/>
      <c r="IVD745" s="311"/>
      <c r="IVE745" s="311"/>
      <c r="IVF745" s="311"/>
      <c r="IVG745" s="311"/>
      <c r="IVH745" s="311"/>
      <c r="IVI745" s="311"/>
      <c r="IVJ745" s="311"/>
      <c r="IVK745" s="311"/>
      <c r="IVL745" s="311"/>
      <c r="IVM745" s="311"/>
      <c r="IVN745" s="311"/>
      <c r="IVO745" s="311"/>
      <c r="IVP745" s="311"/>
      <c r="IVQ745" s="311"/>
      <c r="IVR745" s="311"/>
      <c r="IVS745" s="311"/>
      <c r="IVT745" s="311"/>
      <c r="IVU745" s="311"/>
      <c r="IVV745" s="311"/>
      <c r="IVW745" s="311"/>
      <c r="IVX745" s="311"/>
      <c r="IVY745" s="311"/>
      <c r="IVZ745" s="311"/>
      <c r="IWA745" s="311"/>
      <c r="IWB745" s="311"/>
      <c r="IWC745" s="311"/>
      <c r="IWD745" s="311"/>
      <c r="IWE745" s="311"/>
      <c r="IWF745" s="311"/>
      <c r="IWG745" s="311"/>
      <c r="IWH745" s="311"/>
      <c r="IWI745" s="311"/>
      <c r="IWJ745" s="311"/>
      <c r="IWK745" s="311"/>
      <c r="IWL745" s="311"/>
      <c r="IWM745" s="311"/>
      <c r="IWN745" s="311"/>
      <c r="IWO745" s="311"/>
      <c r="IWP745" s="311"/>
      <c r="IWQ745" s="311"/>
      <c r="IWR745" s="311"/>
      <c r="IWS745" s="311"/>
      <c r="IWT745" s="311"/>
      <c r="IWU745" s="311"/>
      <c r="IWV745" s="311"/>
      <c r="IWW745" s="311"/>
      <c r="IWX745" s="311"/>
      <c r="IWY745" s="311"/>
      <c r="IWZ745" s="311"/>
      <c r="IXA745" s="311"/>
      <c r="IXB745" s="311"/>
      <c r="IXC745" s="311"/>
      <c r="IXD745" s="311"/>
      <c r="IXE745" s="311"/>
      <c r="IXF745" s="311"/>
      <c r="IXG745" s="311"/>
      <c r="IXH745" s="311"/>
      <c r="IXI745" s="311"/>
      <c r="IXJ745" s="311"/>
      <c r="IXK745" s="311"/>
      <c r="IXL745" s="311"/>
      <c r="IXM745" s="311"/>
      <c r="IXN745" s="311"/>
      <c r="IXO745" s="311"/>
      <c r="IXP745" s="311"/>
      <c r="IXQ745" s="311"/>
      <c r="IXR745" s="311"/>
      <c r="IXS745" s="311"/>
      <c r="IXT745" s="311"/>
      <c r="IXU745" s="311"/>
      <c r="IXV745" s="311"/>
      <c r="IXW745" s="311"/>
      <c r="IXX745" s="311"/>
      <c r="IXY745" s="311"/>
      <c r="IXZ745" s="311"/>
      <c r="IYA745" s="311"/>
      <c r="IYB745" s="311"/>
      <c r="IYC745" s="311"/>
      <c r="IYD745" s="311"/>
      <c r="IYE745" s="311"/>
      <c r="IYF745" s="311"/>
      <c r="IYG745" s="311"/>
      <c r="IYH745" s="311"/>
      <c r="IYI745" s="311"/>
      <c r="IYJ745" s="311"/>
      <c r="IYK745" s="311"/>
      <c r="IYL745" s="311"/>
      <c r="IYM745" s="311"/>
      <c r="IYN745" s="311"/>
      <c r="IYO745" s="311"/>
      <c r="IYP745" s="311"/>
      <c r="IYQ745" s="311"/>
      <c r="IYR745" s="311"/>
      <c r="IYS745" s="311"/>
      <c r="IYT745" s="311"/>
      <c r="IYU745" s="311"/>
      <c r="IYV745" s="311"/>
      <c r="IYW745" s="311"/>
      <c r="IYX745" s="311"/>
      <c r="IYY745" s="311"/>
      <c r="IYZ745" s="311"/>
      <c r="IZA745" s="311"/>
      <c r="IZB745" s="311"/>
      <c r="IZC745" s="311"/>
      <c r="IZD745" s="311"/>
      <c r="IZE745" s="311"/>
      <c r="IZF745" s="311"/>
      <c r="IZG745" s="311"/>
      <c r="IZH745" s="311"/>
      <c r="IZI745" s="311"/>
      <c r="IZJ745" s="311"/>
      <c r="IZK745" s="311"/>
      <c r="IZL745" s="311"/>
      <c r="IZM745" s="311"/>
      <c r="IZN745" s="311"/>
      <c r="IZO745" s="311"/>
      <c r="IZP745" s="311"/>
      <c r="IZQ745" s="311"/>
      <c r="IZR745" s="311"/>
      <c r="IZS745" s="311"/>
      <c r="IZT745" s="311"/>
      <c r="IZU745" s="311"/>
      <c r="IZV745" s="311"/>
      <c r="IZW745" s="311"/>
      <c r="IZX745" s="311"/>
      <c r="IZY745" s="311"/>
      <c r="IZZ745" s="311"/>
      <c r="JAA745" s="311"/>
      <c r="JAB745" s="311"/>
      <c r="JAC745" s="311"/>
      <c r="JAD745" s="311"/>
      <c r="JAE745" s="311"/>
      <c r="JAF745" s="311"/>
      <c r="JAG745" s="311"/>
      <c r="JAH745" s="311"/>
      <c r="JAI745" s="311"/>
      <c r="JAJ745" s="311"/>
      <c r="JAK745" s="311"/>
      <c r="JAL745" s="311"/>
      <c r="JAM745" s="311"/>
      <c r="JAN745" s="311"/>
      <c r="JAO745" s="311"/>
      <c r="JAP745" s="311"/>
      <c r="JAQ745" s="311"/>
      <c r="JAR745" s="311"/>
      <c r="JAS745" s="311"/>
      <c r="JAT745" s="311"/>
      <c r="JAU745" s="311"/>
      <c r="JAV745" s="311"/>
      <c r="JAW745" s="311"/>
      <c r="JAX745" s="311"/>
      <c r="JAY745" s="311"/>
      <c r="JAZ745" s="311"/>
      <c r="JBA745" s="311"/>
      <c r="JBB745" s="311"/>
      <c r="JBC745" s="311"/>
      <c r="JBD745" s="311"/>
      <c r="JBE745" s="311"/>
      <c r="JBF745" s="311"/>
      <c r="JBG745" s="311"/>
      <c r="JBH745" s="311"/>
      <c r="JBI745" s="311"/>
      <c r="JBJ745" s="311"/>
      <c r="JBK745" s="311"/>
      <c r="JBL745" s="311"/>
      <c r="JBM745" s="311"/>
      <c r="JBN745" s="311"/>
      <c r="JBO745" s="311"/>
      <c r="JBP745" s="311"/>
      <c r="JBQ745" s="311"/>
      <c r="JBR745" s="311"/>
      <c r="JBS745" s="311"/>
      <c r="JBT745" s="311"/>
      <c r="JBU745" s="311"/>
      <c r="JBV745" s="311"/>
      <c r="JBW745" s="311"/>
      <c r="JBX745" s="311"/>
      <c r="JBY745" s="311"/>
      <c r="JBZ745" s="311"/>
      <c r="JCA745" s="311"/>
      <c r="JCB745" s="311"/>
      <c r="JCC745" s="311"/>
      <c r="JCD745" s="311"/>
      <c r="JCE745" s="311"/>
      <c r="JCF745" s="311"/>
      <c r="JCG745" s="311"/>
      <c r="JCH745" s="311"/>
      <c r="JCI745" s="311"/>
      <c r="JCJ745" s="311"/>
      <c r="JCK745" s="311"/>
      <c r="JCL745" s="311"/>
      <c r="JCM745" s="311"/>
      <c r="JCN745" s="311"/>
      <c r="JCO745" s="311"/>
      <c r="JCP745" s="311"/>
      <c r="JCQ745" s="311"/>
      <c r="JCR745" s="311"/>
      <c r="JCS745" s="311"/>
      <c r="JCT745" s="311"/>
      <c r="JCU745" s="311"/>
      <c r="JCV745" s="311"/>
      <c r="JCW745" s="311"/>
      <c r="JCX745" s="311"/>
      <c r="JCY745" s="311"/>
      <c r="JCZ745" s="311"/>
      <c r="JDA745" s="311"/>
      <c r="JDB745" s="311"/>
      <c r="JDC745" s="311"/>
      <c r="JDD745" s="311"/>
      <c r="JDE745" s="311"/>
      <c r="JDF745" s="311"/>
      <c r="JDG745" s="311"/>
      <c r="JDH745" s="311"/>
      <c r="JDI745" s="311"/>
      <c r="JDJ745" s="311"/>
      <c r="JDK745" s="311"/>
      <c r="JDL745" s="311"/>
      <c r="JDM745" s="311"/>
      <c r="JDN745" s="311"/>
      <c r="JDO745" s="311"/>
      <c r="JDP745" s="311"/>
      <c r="JDQ745" s="311"/>
      <c r="JDR745" s="311"/>
      <c r="JDS745" s="311"/>
      <c r="JDT745" s="311"/>
      <c r="JDU745" s="311"/>
      <c r="JDV745" s="311"/>
      <c r="JDW745" s="311"/>
      <c r="JDX745" s="311"/>
      <c r="JDY745" s="311"/>
      <c r="JDZ745" s="311"/>
      <c r="JEA745" s="311"/>
      <c r="JEB745" s="311"/>
      <c r="JEC745" s="311"/>
      <c r="JED745" s="311"/>
      <c r="JEE745" s="311"/>
      <c r="JEF745" s="311"/>
      <c r="JEG745" s="311"/>
      <c r="JEH745" s="311"/>
      <c r="JEI745" s="311"/>
      <c r="JEJ745" s="311"/>
      <c r="JEK745" s="311"/>
      <c r="JEL745" s="311"/>
      <c r="JEM745" s="311"/>
      <c r="JEN745" s="311"/>
      <c r="JEO745" s="311"/>
      <c r="JEP745" s="311"/>
      <c r="JEQ745" s="311"/>
      <c r="JER745" s="311"/>
      <c r="JES745" s="311"/>
      <c r="JET745" s="311"/>
      <c r="JEU745" s="311"/>
      <c r="JEV745" s="311"/>
      <c r="JEW745" s="311"/>
      <c r="JEX745" s="311"/>
      <c r="JEY745" s="311"/>
      <c r="JEZ745" s="311"/>
      <c r="JFA745" s="311"/>
      <c r="JFB745" s="311"/>
      <c r="JFC745" s="311"/>
      <c r="JFD745" s="311"/>
      <c r="JFE745" s="311"/>
      <c r="JFF745" s="311"/>
      <c r="JFG745" s="311"/>
      <c r="JFH745" s="311"/>
      <c r="JFI745" s="311"/>
      <c r="JFJ745" s="311"/>
      <c r="JFK745" s="311"/>
      <c r="JFL745" s="311"/>
      <c r="JFM745" s="311"/>
      <c r="JFN745" s="311"/>
      <c r="JFO745" s="311"/>
      <c r="JFP745" s="311"/>
      <c r="JFQ745" s="311"/>
      <c r="JFR745" s="311"/>
      <c r="JFS745" s="311"/>
      <c r="JFT745" s="311"/>
      <c r="JFU745" s="311"/>
      <c r="JFV745" s="311"/>
      <c r="JFW745" s="311"/>
      <c r="JFX745" s="311"/>
      <c r="JFY745" s="311"/>
      <c r="JFZ745" s="311"/>
      <c r="JGA745" s="311"/>
      <c r="JGB745" s="311"/>
      <c r="JGC745" s="311"/>
      <c r="JGD745" s="311"/>
      <c r="JGE745" s="311"/>
      <c r="JGF745" s="311"/>
      <c r="JGG745" s="311"/>
      <c r="JGH745" s="311"/>
      <c r="JGI745" s="311"/>
      <c r="JGJ745" s="311"/>
      <c r="JGK745" s="311"/>
      <c r="JGL745" s="311"/>
      <c r="JGM745" s="311"/>
      <c r="JGN745" s="311"/>
      <c r="JGO745" s="311"/>
      <c r="JGP745" s="311"/>
      <c r="JGQ745" s="311"/>
      <c r="JGR745" s="311"/>
      <c r="JGS745" s="311"/>
      <c r="JGT745" s="311"/>
      <c r="JGU745" s="311"/>
      <c r="JGV745" s="311"/>
      <c r="JGW745" s="311"/>
      <c r="JGX745" s="311"/>
      <c r="JGY745" s="311"/>
      <c r="JGZ745" s="311"/>
      <c r="JHA745" s="311"/>
      <c r="JHB745" s="311"/>
      <c r="JHC745" s="311"/>
      <c r="JHD745" s="311"/>
      <c r="JHE745" s="311"/>
      <c r="JHF745" s="311"/>
      <c r="JHG745" s="311"/>
      <c r="JHH745" s="311"/>
      <c r="JHI745" s="311"/>
      <c r="JHJ745" s="311"/>
      <c r="JHK745" s="311"/>
      <c r="JHL745" s="311"/>
      <c r="JHM745" s="311"/>
      <c r="JHN745" s="311"/>
      <c r="JHO745" s="311"/>
      <c r="JHP745" s="311"/>
      <c r="JHQ745" s="311"/>
      <c r="JHR745" s="311"/>
      <c r="JHS745" s="311"/>
      <c r="JHT745" s="311"/>
      <c r="JHU745" s="311"/>
      <c r="JHV745" s="311"/>
      <c r="JHW745" s="311"/>
      <c r="JHX745" s="311"/>
      <c r="JHY745" s="311"/>
      <c r="JHZ745" s="311"/>
      <c r="JIA745" s="311"/>
      <c r="JIB745" s="311"/>
      <c r="JIC745" s="311"/>
      <c r="JID745" s="311"/>
      <c r="JIE745" s="311"/>
      <c r="JIF745" s="311"/>
      <c r="JIG745" s="311"/>
      <c r="JIH745" s="311"/>
      <c r="JII745" s="311"/>
      <c r="JIJ745" s="311"/>
      <c r="JIK745" s="311"/>
      <c r="JIL745" s="311"/>
      <c r="JIM745" s="311"/>
      <c r="JIN745" s="311"/>
      <c r="JIO745" s="311"/>
      <c r="JIP745" s="311"/>
      <c r="JIQ745" s="311"/>
      <c r="JIR745" s="311"/>
      <c r="JIS745" s="311"/>
      <c r="JIT745" s="311"/>
      <c r="JIU745" s="311"/>
      <c r="JIV745" s="311"/>
      <c r="JIW745" s="311"/>
      <c r="JIX745" s="311"/>
      <c r="JIY745" s="311"/>
      <c r="JIZ745" s="311"/>
      <c r="JJA745" s="311"/>
      <c r="JJB745" s="311"/>
      <c r="JJC745" s="311"/>
      <c r="JJD745" s="311"/>
      <c r="JJE745" s="311"/>
      <c r="JJF745" s="311"/>
      <c r="JJG745" s="311"/>
      <c r="JJH745" s="311"/>
      <c r="JJI745" s="311"/>
      <c r="JJJ745" s="311"/>
      <c r="JJK745" s="311"/>
      <c r="JJL745" s="311"/>
      <c r="JJM745" s="311"/>
      <c r="JJN745" s="311"/>
      <c r="JJO745" s="311"/>
      <c r="JJP745" s="311"/>
      <c r="JJQ745" s="311"/>
      <c r="JJR745" s="311"/>
      <c r="JJS745" s="311"/>
      <c r="JJT745" s="311"/>
      <c r="JJU745" s="311"/>
      <c r="JJV745" s="311"/>
      <c r="JJW745" s="311"/>
      <c r="JJX745" s="311"/>
      <c r="JJY745" s="311"/>
      <c r="JJZ745" s="311"/>
      <c r="JKA745" s="311"/>
      <c r="JKB745" s="311"/>
      <c r="JKC745" s="311"/>
      <c r="JKD745" s="311"/>
      <c r="JKE745" s="311"/>
      <c r="JKF745" s="311"/>
      <c r="JKG745" s="311"/>
      <c r="JKH745" s="311"/>
      <c r="JKI745" s="311"/>
      <c r="JKJ745" s="311"/>
      <c r="JKK745" s="311"/>
      <c r="JKL745" s="311"/>
      <c r="JKM745" s="311"/>
      <c r="JKN745" s="311"/>
      <c r="JKO745" s="311"/>
      <c r="JKP745" s="311"/>
      <c r="JKQ745" s="311"/>
      <c r="JKR745" s="311"/>
      <c r="JKS745" s="311"/>
      <c r="JKT745" s="311"/>
      <c r="JKU745" s="311"/>
      <c r="JKV745" s="311"/>
      <c r="JKW745" s="311"/>
      <c r="JKX745" s="311"/>
      <c r="JKY745" s="311"/>
      <c r="JKZ745" s="311"/>
      <c r="JLA745" s="311"/>
      <c r="JLB745" s="311"/>
      <c r="JLC745" s="311"/>
      <c r="JLD745" s="311"/>
      <c r="JLE745" s="311"/>
      <c r="JLF745" s="311"/>
      <c r="JLG745" s="311"/>
      <c r="JLH745" s="311"/>
      <c r="JLI745" s="311"/>
      <c r="JLJ745" s="311"/>
      <c r="JLK745" s="311"/>
      <c r="JLL745" s="311"/>
      <c r="JLM745" s="311"/>
      <c r="JLN745" s="311"/>
      <c r="JLO745" s="311"/>
      <c r="JLP745" s="311"/>
      <c r="JLQ745" s="311"/>
      <c r="JLR745" s="311"/>
      <c r="JLS745" s="311"/>
      <c r="JLT745" s="311"/>
      <c r="JLU745" s="311"/>
      <c r="JLV745" s="311"/>
      <c r="JLW745" s="311"/>
      <c r="JLX745" s="311"/>
      <c r="JLY745" s="311"/>
      <c r="JLZ745" s="311"/>
      <c r="JMA745" s="311"/>
      <c r="JMB745" s="311"/>
      <c r="JMC745" s="311"/>
      <c r="JMD745" s="311"/>
      <c r="JME745" s="311"/>
      <c r="JMF745" s="311"/>
      <c r="JMG745" s="311"/>
      <c r="JMH745" s="311"/>
      <c r="JMI745" s="311"/>
      <c r="JMJ745" s="311"/>
      <c r="JMK745" s="311"/>
      <c r="JML745" s="311"/>
      <c r="JMM745" s="311"/>
      <c r="JMN745" s="311"/>
      <c r="JMO745" s="311"/>
      <c r="JMP745" s="311"/>
      <c r="JMQ745" s="311"/>
      <c r="JMR745" s="311"/>
      <c r="JMS745" s="311"/>
      <c r="JMT745" s="311"/>
      <c r="JMU745" s="311"/>
      <c r="JMV745" s="311"/>
      <c r="JMW745" s="311"/>
      <c r="JMX745" s="311"/>
      <c r="JMY745" s="311"/>
      <c r="JMZ745" s="311"/>
      <c r="JNA745" s="311"/>
      <c r="JNB745" s="311"/>
      <c r="JNC745" s="311"/>
      <c r="JND745" s="311"/>
      <c r="JNE745" s="311"/>
      <c r="JNF745" s="311"/>
      <c r="JNG745" s="311"/>
      <c r="JNH745" s="311"/>
      <c r="JNI745" s="311"/>
      <c r="JNJ745" s="311"/>
      <c r="JNK745" s="311"/>
      <c r="JNL745" s="311"/>
      <c r="JNM745" s="311"/>
      <c r="JNN745" s="311"/>
      <c r="JNO745" s="311"/>
      <c r="JNP745" s="311"/>
      <c r="JNQ745" s="311"/>
      <c r="JNR745" s="311"/>
      <c r="JNS745" s="311"/>
      <c r="JNT745" s="311"/>
      <c r="JNU745" s="311"/>
      <c r="JNV745" s="311"/>
      <c r="JNW745" s="311"/>
      <c r="JNX745" s="311"/>
      <c r="JNY745" s="311"/>
      <c r="JNZ745" s="311"/>
      <c r="JOA745" s="311"/>
      <c r="JOB745" s="311"/>
      <c r="JOC745" s="311"/>
      <c r="JOD745" s="311"/>
      <c r="JOE745" s="311"/>
      <c r="JOF745" s="311"/>
      <c r="JOG745" s="311"/>
      <c r="JOH745" s="311"/>
      <c r="JOI745" s="311"/>
      <c r="JOJ745" s="311"/>
      <c r="JOK745" s="311"/>
      <c r="JOL745" s="311"/>
      <c r="JOM745" s="311"/>
      <c r="JON745" s="311"/>
      <c r="JOO745" s="311"/>
      <c r="JOP745" s="311"/>
      <c r="JOQ745" s="311"/>
      <c r="JOR745" s="311"/>
      <c r="JOS745" s="311"/>
      <c r="JOT745" s="311"/>
      <c r="JOU745" s="311"/>
      <c r="JOV745" s="311"/>
      <c r="JOW745" s="311"/>
      <c r="JOX745" s="311"/>
      <c r="JOY745" s="311"/>
      <c r="JOZ745" s="311"/>
      <c r="JPA745" s="311"/>
      <c r="JPB745" s="311"/>
      <c r="JPC745" s="311"/>
      <c r="JPD745" s="311"/>
      <c r="JPE745" s="311"/>
      <c r="JPF745" s="311"/>
      <c r="JPG745" s="311"/>
      <c r="JPH745" s="311"/>
      <c r="JPI745" s="311"/>
      <c r="JPJ745" s="311"/>
      <c r="JPK745" s="311"/>
      <c r="JPL745" s="311"/>
      <c r="JPM745" s="311"/>
      <c r="JPN745" s="311"/>
      <c r="JPO745" s="311"/>
      <c r="JPP745" s="311"/>
      <c r="JPQ745" s="311"/>
      <c r="JPR745" s="311"/>
      <c r="JPS745" s="311"/>
      <c r="JPT745" s="311"/>
      <c r="JPU745" s="311"/>
      <c r="JPV745" s="311"/>
      <c r="JPW745" s="311"/>
      <c r="JPX745" s="311"/>
      <c r="JPY745" s="311"/>
      <c r="JPZ745" s="311"/>
      <c r="JQA745" s="311"/>
      <c r="JQB745" s="311"/>
      <c r="JQC745" s="311"/>
      <c r="JQD745" s="311"/>
      <c r="JQE745" s="311"/>
      <c r="JQF745" s="311"/>
      <c r="JQG745" s="311"/>
      <c r="JQH745" s="311"/>
      <c r="JQI745" s="311"/>
      <c r="JQJ745" s="311"/>
      <c r="JQK745" s="311"/>
      <c r="JQL745" s="311"/>
      <c r="JQM745" s="311"/>
      <c r="JQN745" s="311"/>
      <c r="JQO745" s="311"/>
      <c r="JQP745" s="311"/>
      <c r="JQQ745" s="311"/>
      <c r="JQR745" s="311"/>
      <c r="JQS745" s="311"/>
      <c r="JQT745" s="311"/>
      <c r="JQU745" s="311"/>
      <c r="JQV745" s="311"/>
      <c r="JQW745" s="311"/>
      <c r="JQX745" s="311"/>
      <c r="JQY745" s="311"/>
      <c r="JQZ745" s="311"/>
      <c r="JRA745" s="311"/>
      <c r="JRB745" s="311"/>
      <c r="JRC745" s="311"/>
      <c r="JRD745" s="311"/>
      <c r="JRE745" s="311"/>
      <c r="JRF745" s="311"/>
      <c r="JRG745" s="311"/>
      <c r="JRH745" s="311"/>
      <c r="JRI745" s="311"/>
      <c r="JRJ745" s="311"/>
      <c r="JRK745" s="311"/>
      <c r="JRL745" s="311"/>
      <c r="JRM745" s="311"/>
      <c r="JRN745" s="311"/>
      <c r="JRO745" s="311"/>
      <c r="JRP745" s="311"/>
      <c r="JRQ745" s="311"/>
      <c r="JRR745" s="311"/>
      <c r="JRS745" s="311"/>
      <c r="JRT745" s="311"/>
      <c r="JRU745" s="311"/>
      <c r="JRV745" s="311"/>
      <c r="JRW745" s="311"/>
      <c r="JRX745" s="311"/>
      <c r="JRY745" s="311"/>
      <c r="JRZ745" s="311"/>
      <c r="JSA745" s="311"/>
      <c r="JSB745" s="311"/>
      <c r="JSC745" s="311"/>
      <c r="JSD745" s="311"/>
      <c r="JSE745" s="311"/>
      <c r="JSF745" s="311"/>
      <c r="JSG745" s="311"/>
      <c r="JSH745" s="311"/>
      <c r="JSI745" s="311"/>
      <c r="JSJ745" s="311"/>
      <c r="JSK745" s="311"/>
      <c r="JSL745" s="311"/>
      <c r="JSM745" s="311"/>
      <c r="JSN745" s="311"/>
      <c r="JSO745" s="311"/>
      <c r="JSP745" s="311"/>
      <c r="JSQ745" s="311"/>
      <c r="JSR745" s="311"/>
      <c r="JSS745" s="311"/>
      <c r="JST745" s="311"/>
      <c r="JSU745" s="311"/>
      <c r="JSV745" s="311"/>
      <c r="JSW745" s="311"/>
      <c r="JSX745" s="311"/>
      <c r="JSY745" s="311"/>
      <c r="JSZ745" s="311"/>
      <c r="JTA745" s="311"/>
      <c r="JTB745" s="311"/>
      <c r="JTC745" s="311"/>
      <c r="JTD745" s="311"/>
      <c r="JTE745" s="311"/>
      <c r="JTF745" s="311"/>
      <c r="JTG745" s="311"/>
      <c r="JTH745" s="311"/>
      <c r="JTI745" s="311"/>
      <c r="JTJ745" s="311"/>
      <c r="JTK745" s="311"/>
      <c r="JTL745" s="311"/>
      <c r="JTM745" s="311"/>
      <c r="JTN745" s="311"/>
      <c r="JTO745" s="311"/>
      <c r="JTP745" s="311"/>
      <c r="JTQ745" s="311"/>
      <c r="JTR745" s="311"/>
      <c r="JTS745" s="311"/>
      <c r="JTT745" s="311"/>
      <c r="JTU745" s="311"/>
      <c r="JTV745" s="311"/>
      <c r="JTW745" s="311"/>
      <c r="JTX745" s="311"/>
      <c r="JTY745" s="311"/>
      <c r="JTZ745" s="311"/>
      <c r="JUA745" s="311"/>
      <c r="JUB745" s="311"/>
      <c r="JUC745" s="311"/>
      <c r="JUD745" s="311"/>
      <c r="JUE745" s="311"/>
      <c r="JUF745" s="311"/>
      <c r="JUG745" s="311"/>
      <c r="JUH745" s="311"/>
      <c r="JUI745" s="311"/>
      <c r="JUJ745" s="311"/>
      <c r="JUK745" s="311"/>
      <c r="JUL745" s="311"/>
      <c r="JUM745" s="311"/>
      <c r="JUN745" s="311"/>
      <c r="JUO745" s="311"/>
      <c r="JUP745" s="311"/>
      <c r="JUQ745" s="311"/>
      <c r="JUR745" s="311"/>
      <c r="JUS745" s="311"/>
      <c r="JUT745" s="311"/>
      <c r="JUU745" s="311"/>
      <c r="JUV745" s="311"/>
      <c r="JUW745" s="311"/>
      <c r="JUX745" s="311"/>
      <c r="JUY745" s="311"/>
      <c r="JUZ745" s="311"/>
      <c r="JVA745" s="311"/>
      <c r="JVB745" s="311"/>
      <c r="JVC745" s="311"/>
      <c r="JVD745" s="311"/>
      <c r="JVE745" s="311"/>
      <c r="JVF745" s="311"/>
      <c r="JVG745" s="311"/>
      <c r="JVH745" s="311"/>
      <c r="JVI745" s="311"/>
      <c r="JVJ745" s="311"/>
      <c r="JVK745" s="311"/>
      <c r="JVL745" s="311"/>
      <c r="JVM745" s="311"/>
      <c r="JVN745" s="311"/>
      <c r="JVO745" s="311"/>
      <c r="JVP745" s="311"/>
      <c r="JVQ745" s="311"/>
      <c r="JVR745" s="311"/>
      <c r="JVS745" s="311"/>
      <c r="JVT745" s="311"/>
      <c r="JVU745" s="311"/>
      <c r="JVV745" s="311"/>
      <c r="JVW745" s="311"/>
      <c r="JVX745" s="311"/>
      <c r="JVY745" s="311"/>
      <c r="JVZ745" s="311"/>
      <c r="JWA745" s="311"/>
      <c r="JWB745" s="311"/>
      <c r="JWC745" s="311"/>
      <c r="JWD745" s="311"/>
      <c r="JWE745" s="311"/>
      <c r="JWF745" s="311"/>
      <c r="JWG745" s="311"/>
      <c r="JWH745" s="311"/>
      <c r="JWI745" s="311"/>
      <c r="JWJ745" s="311"/>
      <c r="JWK745" s="311"/>
      <c r="JWL745" s="311"/>
      <c r="JWM745" s="311"/>
      <c r="JWN745" s="311"/>
      <c r="JWO745" s="311"/>
      <c r="JWP745" s="311"/>
      <c r="JWQ745" s="311"/>
      <c r="JWR745" s="311"/>
      <c r="JWS745" s="311"/>
      <c r="JWT745" s="311"/>
      <c r="JWU745" s="311"/>
      <c r="JWV745" s="311"/>
      <c r="JWW745" s="311"/>
      <c r="JWX745" s="311"/>
      <c r="JWY745" s="311"/>
      <c r="JWZ745" s="311"/>
      <c r="JXA745" s="311"/>
      <c r="JXB745" s="311"/>
      <c r="JXC745" s="311"/>
      <c r="JXD745" s="311"/>
      <c r="JXE745" s="311"/>
      <c r="JXF745" s="311"/>
      <c r="JXG745" s="311"/>
      <c r="JXH745" s="311"/>
      <c r="JXI745" s="311"/>
      <c r="JXJ745" s="311"/>
      <c r="JXK745" s="311"/>
      <c r="JXL745" s="311"/>
      <c r="JXM745" s="311"/>
      <c r="JXN745" s="311"/>
      <c r="JXO745" s="311"/>
      <c r="JXP745" s="311"/>
      <c r="JXQ745" s="311"/>
      <c r="JXR745" s="311"/>
      <c r="JXS745" s="311"/>
      <c r="JXT745" s="311"/>
      <c r="JXU745" s="311"/>
      <c r="JXV745" s="311"/>
      <c r="JXW745" s="311"/>
      <c r="JXX745" s="311"/>
      <c r="JXY745" s="311"/>
      <c r="JXZ745" s="311"/>
      <c r="JYA745" s="311"/>
      <c r="JYB745" s="311"/>
      <c r="JYC745" s="311"/>
      <c r="JYD745" s="311"/>
      <c r="JYE745" s="311"/>
      <c r="JYF745" s="311"/>
      <c r="JYG745" s="311"/>
      <c r="JYH745" s="311"/>
      <c r="JYI745" s="311"/>
      <c r="JYJ745" s="311"/>
      <c r="JYK745" s="311"/>
      <c r="JYL745" s="311"/>
      <c r="JYM745" s="311"/>
      <c r="JYN745" s="311"/>
      <c r="JYO745" s="311"/>
      <c r="JYP745" s="311"/>
      <c r="JYQ745" s="311"/>
      <c r="JYR745" s="311"/>
      <c r="JYS745" s="311"/>
      <c r="JYT745" s="311"/>
      <c r="JYU745" s="311"/>
      <c r="JYV745" s="311"/>
      <c r="JYW745" s="311"/>
      <c r="JYX745" s="311"/>
      <c r="JYY745" s="311"/>
      <c r="JYZ745" s="311"/>
      <c r="JZA745" s="311"/>
      <c r="JZB745" s="311"/>
      <c r="JZC745" s="311"/>
      <c r="JZD745" s="311"/>
      <c r="JZE745" s="311"/>
      <c r="JZF745" s="311"/>
      <c r="JZG745" s="311"/>
      <c r="JZH745" s="311"/>
      <c r="JZI745" s="311"/>
      <c r="JZJ745" s="311"/>
      <c r="JZK745" s="311"/>
      <c r="JZL745" s="311"/>
      <c r="JZM745" s="311"/>
      <c r="JZN745" s="311"/>
      <c r="JZO745" s="311"/>
      <c r="JZP745" s="311"/>
      <c r="JZQ745" s="311"/>
      <c r="JZR745" s="311"/>
      <c r="JZS745" s="311"/>
      <c r="JZT745" s="311"/>
      <c r="JZU745" s="311"/>
      <c r="JZV745" s="311"/>
      <c r="JZW745" s="311"/>
      <c r="JZX745" s="311"/>
      <c r="JZY745" s="311"/>
      <c r="JZZ745" s="311"/>
      <c r="KAA745" s="311"/>
      <c r="KAB745" s="311"/>
      <c r="KAC745" s="311"/>
      <c r="KAD745" s="311"/>
      <c r="KAE745" s="311"/>
      <c r="KAF745" s="311"/>
      <c r="KAG745" s="311"/>
      <c r="KAH745" s="311"/>
      <c r="KAI745" s="311"/>
      <c r="KAJ745" s="311"/>
      <c r="KAK745" s="311"/>
      <c r="KAL745" s="311"/>
      <c r="KAM745" s="311"/>
      <c r="KAN745" s="311"/>
      <c r="KAO745" s="311"/>
      <c r="KAP745" s="311"/>
      <c r="KAQ745" s="311"/>
      <c r="KAR745" s="311"/>
      <c r="KAS745" s="311"/>
      <c r="KAT745" s="311"/>
      <c r="KAU745" s="311"/>
      <c r="KAV745" s="311"/>
      <c r="KAW745" s="311"/>
      <c r="KAX745" s="311"/>
      <c r="KAY745" s="311"/>
      <c r="KAZ745" s="311"/>
      <c r="KBA745" s="311"/>
      <c r="KBB745" s="311"/>
      <c r="KBC745" s="311"/>
      <c r="KBD745" s="311"/>
      <c r="KBE745" s="311"/>
      <c r="KBF745" s="311"/>
      <c r="KBG745" s="311"/>
      <c r="KBH745" s="311"/>
      <c r="KBI745" s="311"/>
      <c r="KBJ745" s="311"/>
      <c r="KBK745" s="311"/>
      <c r="KBL745" s="311"/>
      <c r="KBM745" s="311"/>
      <c r="KBN745" s="311"/>
      <c r="KBO745" s="311"/>
      <c r="KBP745" s="311"/>
      <c r="KBQ745" s="311"/>
      <c r="KBR745" s="311"/>
      <c r="KBS745" s="311"/>
      <c r="KBT745" s="311"/>
      <c r="KBU745" s="311"/>
      <c r="KBV745" s="311"/>
      <c r="KBW745" s="311"/>
      <c r="KBX745" s="311"/>
      <c r="KBY745" s="311"/>
      <c r="KBZ745" s="311"/>
      <c r="KCA745" s="311"/>
      <c r="KCB745" s="311"/>
      <c r="KCC745" s="311"/>
      <c r="KCD745" s="311"/>
      <c r="KCE745" s="311"/>
      <c r="KCF745" s="311"/>
      <c r="KCG745" s="311"/>
      <c r="KCH745" s="311"/>
      <c r="KCI745" s="311"/>
      <c r="KCJ745" s="311"/>
      <c r="KCK745" s="311"/>
      <c r="KCL745" s="311"/>
      <c r="KCM745" s="311"/>
      <c r="KCN745" s="311"/>
      <c r="KCO745" s="311"/>
      <c r="KCP745" s="311"/>
      <c r="KCQ745" s="311"/>
      <c r="KCR745" s="311"/>
      <c r="KCS745" s="311"/>
      <c r="KCT745" s="311"/>
      <c r="KCU745" s="311"/>
      <c r="KCV745" s="311"/>
      <c r="KCW745" s="311"/>
      <c r="KCX745" s="311"/>
      <c r="KCY745" s="311"/>
      <c r="KCZ745" s="311"/>
      <c r="KDA745" s="311"/>
      <c r="KDB745" s="311"/>
      <c r="KDC745" s="311"/>
      <c r="KDD745" s="311"/>
      <c r="KDE745" s="311"/>
      <c r="KDF745" s="311"/>
      <c r="KDG745" s="311"/>
      <c r="KDH745" s="311"/>
      <c r="KDI745" s="311"/>
      <c r="KDJ745" s="311"/>
      <c r="KDK745" s="311"/>
      <c r="KDL745" s="311"/>
      <c r="KDM745" s="311"/>
      <c r="KDN745" s="311"/>
      <c r="KDO745" s="311"/>
      <c r="KDP745" s="311"/>
      <c r="KDQ745" s="311"/>
      <c r="KDR745" s="311"/>
      <c r="KDS745" s="311"/>
      <c r="KDT745" s="311"/>
      <c r="KDU745" s="311"/>
      <c r="KDV745" s="311"/>
      <c r="KDW745" s="311"/>
      <c r="KDX745" s="311"/>
      <c r="KDY745" s="311"/>
      <c r="KDZ745" s="311"/>
      <c r="KEA745" s="311"/>
      <c r="KEB745" s="311"/>
      <c r="KEC745" s="311"/>
      <c r="KED745" s="311"/>
      <c r="KEE745" s="311"/>
      <c r="KEF745" s="311"/>
      <c r="KEG745" s="311"/>
      <c r="KEH745" s="311"/>
      <c r="KEI745" s="311"/>
      <c r="KEJ745" s="311"/>
      <c r="KEK745" s="311"/>
      <c r="KEL745" s="311"/>
      <c r="KEM745" s="311"/>
      <c r="KEN745" s="311"/>
      <c r="KEO745" s="311"/>
      <c r="KEP745" s="311"/>
      <c r="KEQ745" s="311"/>
      <c r="KER745" s="311"/>
      <c r="KES745" s="311"/>
      <c r="KET745" s="311"/>
      <c r="KEU745" s="311"/>
      <c r="KEV745" s="311"/>
      <c r="KEW745" s="311"/>
      <c r="KEX745" s="311"/>
      <c r="KEY745" s="311"/>
      <c r="KEZ745" s="311"/>
      <c r="KFA745" s="311"/>
      <c r="KFB745" s="311"/>
      <c r="KFC745" s="311"/>
      <c r="KFD745" s="311"/>
      <c r="KFE745" s="311"/>
      <c r="KFF745" s="311"/>
      <c r="KFG745" s="311"/>
      <c r="KFH745" s="311"/>
      <c r="KFI745" s="311"/>
      <c r="KFJ745" s="311"/>
      <c r="KFK745" s="311"/>
      <c r="KFL745" s="311"/>
      <c r="KFM745" s="311"/>
      <c r="KFN745" s="311"/>
      <c r="KFO745" s="311"/>
      <c r="KFP745" s="311"/>
      <c r="KFQ745" s="311"/>
      <c r="KFR745" s="311"/>
      <c r="KFS745" s="311"/>
      <c r="KFT745" s="311"/>
      <c r="KFU745" s="311"/>
      <c r="KFV745" s="311"/>
      <c r="KFW745" s="311"/>
      <c r="KFX745" s="311"/>
      <c r="KFY745" s="311"/>
      <c r="KFZ745" s="311"/>
      <c r="KGA745" s="311"/>
      <c r="KGB745" s="311"/>
      <c r="KGC745" s="311"/>
      <c r="KGD745" s="311"/>
      <c r="KGE745" s="311"/>
      <c r="KGF745" s="311"/>
      <c r="KGG745" s="311"/>
      <c r="KGH745" s="311"/>
      <c r="KGI745" s="311"/>
      <c r="KGJ745" s="311"/>
      <c r="KGK745" s="311"/>
      <c r="KGL745" s="311"/>
      <c r="KGM745" s="311"/>
      <c r="KGN745" s="311"/>
      <c r="KGO745" s="311"/>
      <c r="KGP745" s="311"/>
      <c r="KGQ745" s="311"/>
      <c r="KGR745" s="311"/>
      <c r="KGS745" s="311"/>
      <c r="KGT745" s="311"/>
      <c r="KGU745" s="311"/>
      <c r="KGV745" s="311"/>
      <c r="KGW745" s="311"/>
      <c r="KGX745" s="311"/>
      <c r="KGY745" s="311"/>
      <c r="KGZ745" s="311"/>
      <c r="KHA745" s="311"/>
      <c r="KHB745" s="311"/>
      <c r="KHC745" s="311"/>
      <c r="KHD745" s="311"/>
      <c r="KHE745" s="311"/>
      <c r="KHF745" s="311"/>
      <c r="KHG745" s="311"/>
      <c r="KHH745" s="311"/>
      <c r="KHI745" s="311"/>
      <c r="KHJ745" s="311"/>
      <c r="KHK745" s="311"/>
      <c r="KHL745" s="311"/>
      <c r="KHM745" s="311"/>
      <c r="KHN745" s="311"/>
      <c r="KHO745" s="311"/>
      <c r="KHP745" s="311"/>
      <c r="KHQ745" s="311"/>
      <c r="KHR745" s="311"/>
      <c r="KHS745" s="311"/>
      <c r="KHT745" s="311"/>
      <c r="KHU745" s="311"/>
      <c r="KHV745" s="311"/>
      <c r="KHW745" s="311"/>
      <c r="KHX745" s="311"/>
      <c r="KHY745" s="311"/>
      <c r="KHZ745" s="311"/>
      <c r="KIA745" s="311"/>
      <c r="KIB745" s="311"/>
      <c r="KIC745" s="311"/>
      <c r="KID745" s="311"/>
      <c r="KIE745" s="311"/>
      <c r="KIF745" s="311"/>
      <c r="KIG745" s="311"/>
      <c r="KIH745" s="311"/>
      <c r="KII745" s="311"/>
      <c r="KIJ745" s="311"/>
      <c r="KIK745" s="311"/>
      <c r="KIL745" s="311"/>
      <c r="KIM745" s="311"/>
      <c r="KIN745" s="311"/>
      <c r="KIO745" s="311"/>
      <c r="KIP745" s="311"/>
      <c r="KIQ745" s="311"/>
      <c r="KIR745" s="311"/>
      <c r="KIS745" s="311"/>
      <c r="KIT745" s="311"/>
      <c r="KIU745" s="311"/>
      <c r="KIV745" s="311"/>
      <c r="KIW745" s="311"/>
      <c r="KIX745" s="311"/>
      <c r="KIY745" s="311"/>
      <c r="KIZ745" s="311"/>
      <c r="KJA745" s="311"/>
      <c r="KJB745" s="311"/>
      <c r="KJC745" s="311"/>
      <c r="KJD745" s="311"/>
      <c r="KJE745" s="311"/>
      <c r="KJF745" s="311"/>
      <c r="KJG745" s="311"/>
      <c r="KJH745" s="311"/>
      <c r="KJI745" s="311"/>
      <c r="KJJ745" s="311"/>
      <c r="KJK745" s="311"/>
      <c r="KJL745" s="311"/>
      <c r="KJM745" s="311"/>
      <c r="KJN745" s="311"/>
      <c r="KJO745" s="311"/>
      <c r="KJP745" s="311"/>
      <c r="KJQ745" s="311"/>
      <c r="KJR745" s="311"/>
      <c r="KJS745" s="311"/>
      <c r="KJT745" s="311"/>
      <c r="KJU745" s="311"/>
      <c r="KJV745" s="311"/>
      <c r="KJW745" s="311"/>
      <c r="KJX745" s="311"/>
      <c r="KJY745" s="311"/>
      <c r="KJZ745" s="311"/>
      <c r="KKA745" s="311"/>
      <c r="KKB745" s="311"/>
      <c r="KKC745" s="311"/>
      <c r="KKD745" s="311"/>
      <c r="KKE745" s="311"/>
      <c r="KKF745" s="311"/>
      <c r="KKG745" s="311"/>
      <c r="KKH745" s="311"/>
      <c r="KKI745" s="311"/>
      <c r="KKJ745" s="311"/>
      <c r="KKK745" s="311"/>
      <c r="KKL745" s="311"/>
      <c r="KKM745" s="311"/>
      <c r="KKN745" s="311"/>
      <c r="KKO745" s="311"/>
      <c r="KKP745" s="311"/>
      <c r="KKQ745" s="311"/>
      <c r="KKR745" s="311"/>
      <c r="KKS745" s="311"/>
      <c r="KKT745" s="311"/>
      <c r="KKU745" s="311"/>
      <c r="KKV745" s="311"/>
      <c r="KKW745" s="311"/>
      <c r="KKX745" s="311"/>
      <c r="KKY745" s="311"/>
      <c r="KKZ745" s="311"/>
      <c r="KLA745" s="311"/>
      <c r="KLB745" s="311"/>
      <c r="KLC745" s="311"/>
      <c r="KLD745" s="311"/>
      <c r="KLE745" s="311"/>
      <c r="KLF745" s="311"/>
      <c r="KLG745" s="311"/>
      <c r="KLH745" s="311"/>
      <c r="KLI745" s="311"/>
      <c r="KLJ745" s="311"/>
      <c r="KLK745" s="311"/>
      <c r="KLL745" s="311"/>
      <c r="KLM745" s="311"/>
      <c r="KLN745" s="311"/>
      <c r="KLO745" s="311"/>
      <c r="KLP745" s="311"/>
      <c r="KLQ745" s="311"/>
      <c r="KLR745" s="311"/>
      <c r="KLS745" s="311"/>
      <c r="KLT745" s="311"/>
      <c r="KLU745" s="311"/>
      <c r="KLV745" s="311"/>
      <c r="KLW745" s="311"/>
      <c r="KLX745" s="311"/>
      <c r="KLY745" s="311"/>
      <c r="KLZ745" s="311"/>
      <c r="KMA745" s="311"/>
      <c r="KMB745" s="311"/>
      <c r="KMC745" s="311"/>
      <c r="KMD745" s="311"/>
      <c r="KME745" s="311"/>
      <c r="KMF745" s="311"/>
      <c r="KMG745" s="311"/>
      <c r="KMH745" s="311"/>
      <c r="KMI745" s="311"/>
      <c r="KMJ745" s="311"/>
      <c r="KMK745" s="311"/>
      <c r="KML745" s="311"/>
      <c r="KMM745" s="311"/>
      <c r="KMN745" s="311"/>
      <c r="KMO745" s="311"/>
      <c r="KMP745" s="311"/>
      <c r="KMQ745" s="311"/>
      <c r="KMR745" s="311"/>
      <c r="KMS745" s="311"/>
      <c r="KMT745" s="311"/>
      <c r="KMU745" s="311"/>
      <c r="KMV745" s="311"/>
      <c r="KMW745" s="311"/>
      <c r="KMX745" s="311"/>
      <c r="KMY745" s="311"/>
      <c r="KMZ745" s="311"/>
      <c r="KNA745" s="311"/>
      <c r="KNB745" s="311"/>
      <c r="KNC745" s="311"/>
      <c r="KND745" s="311"/>
      <c r="KNE745" s="311"/>
      <c r="KNF745" s="311"/>
      <c r="KNG745" s="311"/>
      <c r="KNH745" s="311"/>
      <c r="KNI745" s="311"/>
      <c r="KNJ745" s="311"/>
      <c r="KNK745" s="311"/>
      <c r="KNL745" s="311"/>
      <c r="KNM745" s="311"/>
      <c r="KNN745" s="311"/>
      <c r="KNO745" s="311"/>
      <c r="KNP745" s="311"/>
      <c r="KNQ745" s="311"/>
      <c r="KNR745" s="311"/>
      <c r="KNS745" s="311"/>
      <c r="KNT745" s="311"/>
      <c r="KNU745" s="311"/>
      <c r="KNV745" s="311"/>
      <c r="KNW745" s="311"/>
      <c r="KNX745" s="311"/>
      <c r="KNY745" s="311"/>
      <c r="KNZ745" s="311"/>
      <c r="KOA745" s="311"/>
      <c r="KOB745" s="311"/>
      <c r="KOC745" s="311"/>
      <c r="KOD745" s="311"/>
      <c r="KOE745" s="311"/>
      <c r="KOF745" s="311"/>
      <c r="KOG745" s="311"/>
      <c r="KOH745" s="311"/>
      <c r="KOI745" s="311"/>
      <c r="KOJ745" s="311"/>
      <c r="KOK745" s="311"/>
      <c r="KOL745" s="311"/>
      <c r="KOM745" s="311"/>
      <c r="KON745" s="311"/>
      <c r="KOO745" s="311"/>
      <c r="KOP745" s="311"/>
      <c r="KOQ745" s="311"/>
      <c r="KOR745" s="311"/>
      <c r="KOS745" s="311"/>
      <c r="KOT745" s="311"/>
      <c r="KOU745" s="311"/>
      <c r="KOV745" s="311"/>
      <c r="KOW745" s="311"/>
      <c r="KOX745" s="311"/>
      <c r="KOY745" s="311"/>
      <c r="KOZ745" s="311"/>
      <c r="KPA745" s="311"/>
      <c r="KPB745" s="311"/>
      <c r="KPC745" s="311"/>
      <c r="KPD745" s="311"/>
      <c r="KPE745" s="311"/>
      <c r="KPF745" s="311"/>
      <c r="KPG745" s="311"/>
      <c r="KPH745" s="311"/>
      <c r="KPI745" s="311"/>
      <c r="KPJ745" s="311"/>
      <c r="KPK745" s="311"/>
      <c r="KPL745" s="311"/>
      <c r="KPM745" s="311"/>
      <c r="KPN745" s="311"/>
      <c r="KPO745" s="311"/>
      <c r="KPP745" s="311"/>
      <c r="KPQ745" s="311"/>
      <c r="KPR745" s="311"/>
      <c r="KPS745" s="311"/>
      <c r="KPT745" s="311"/>
      <c r="KPU745" s="311"/>
      <c r="KPV745" s="311"/>
      <c r="KPW745" s="311"/>
      <c r="KPX745" s="311"/>
      <c r="KPY745" s="311"/>
      <c r="KPZ745" s="311"/>
      <c r="KQA745" s="311"/>
      <c r="KQB745" s="311"/>
      <c r="KQC745" s="311"/>
      <c r="KQD745" s="311"/>
      <c r="KQE745" s="311"/>
      <c r="KQF745" s="311"/>
      <c r="KQG745" s="311"/>
      <c r="KQH745" s="311"/>
      <c r="KQI745" s="311"/>
      <c r="KQJ745" s="311"/>
      <c r="KQK745" s="311"/>
      <c r="KQL745" s="311"/>
      <c r="KQM745" s="311"/>
      <c r="KQN745" s="311"/>
      <c r="KQO745" s="311"/>
      <c r="KQP745" s="311"/>
      <c r="KQQ745" s="311"/>
      <c r="KQR745" s="311"/>
      <c r="KQS745" s="311"/>
      <c r="KQT745" s="311"/>
      <c r="KQU745" s="311"/>
      <c r="KQV745" s="311"/>
      <c r="KQW745" s="311"/>
      <c r="KQX745" s="311"/>
      <c r="KQY745" s="311"/>
      <c r="KQZ745" s="311"/>
      <c r="KRA745" s="311"/>
      <c r="KRB745" s="311"/>
      <c r="KRC745" s="311"/>
      <c r="KRD745" s="311"/>
      <c r="KRE745" s="311"/>
      <c r="KRF745" s="311"/>
      <c r="KRG745" s="311"/>
      <c r="KRH745" s="311"/>
      <c r="KRI745" s="311"/>
      <c r="KRJ745" s="311"/>
      <c r="KRK745" s="311"/>
      <c r="KRL745" s="311"/>
      <c r="KRM745" s="311"/>
      <c r="KRN745" s="311"/>
      <c r="KRO745" s="311"/>
      <c r="KRP745" s="311"/>
      <c r="KRQ745" s="311"/>
      <c r="KRR745" s="311"/>
      <c r="KRS745" s="311"/>
      <c r="KRT745" s="311"/>
      <c r="KRU745" s="311"/>
      <c r="KRV745" s="311"/>
      <c r="KRW745" s="311"/>
      <c r="KRX745" s="311"/>
      <c r="KRY745" s="311"/>
      <c r="KRZ745" s="311"/>
      <c r="KSA745" s="311"/>
      <c r="KSB745" s="311"/>
      <c r="KSC745" s="311"/>
      <c r="KSD745" s="311"/>
      <c r="KSE745" s="311"/>
      <c r="KSF745" s="311"/>
      <c r="KSG745" s="311"/>
      <c r="KSH745" s="311"/>
      <c r="KSI745" s="311"/>
      <c r="KSJ745" s="311"/>
      <c r="KSK745" s="311"/>
      <c r="KSL745" s="311"/>
      <c r="KSM745" s="311"/>
      <c r="KSN745" s="311"/>
      <c r="KSO745" s="311"/>
      <c r="KSP745" s="311"/>
      <c r="KSQ745" s="311"/>
      <c r="KSR745" s="311"/>
      <c r="KSS745" s="311"/>
      <c r="KST745" s="311"/>
      <c r="KSU745" s="311"/>
      <c r="KSV745" s="311"/>
      <c r="KSW745" s="311"/>
      <c r="KSX745" s="311"/>
      <c r="KSY745" s="311"/>
      <c r="KSZ745" s="311"/>
      <c r="KTA745" s="311"/>
      <c r="KTB745" s="311"/>
      <c r="KTC745" s="311"/>
      <c r="KTD745" s="311"/>
      <c r="KTE745" s="311"/>
      <c r="KTF745" s="311"/>
      <c r="KTG745" s="311"/>
      <c r="KTH745" s="311"/>
      <c r="KTI745" s="311"/>
      <c r="KTJ745" s="311"/>
      <c r="KTK745" s="311"/>
      <c r="KTL745" s="311"/>
      <c r="KTM745" s="311"/>
      <c r="KTN745" s="311"/>
      <c r="KTO745" s="311"/>
      <c r="KTP745" s="311"/>
      <c r="KTQ745" s="311"/>
      <c r="KTR745" s="311"/>
      <c r="KTS745" s="311"/>
      <c r="KTT745" s="311"/>
      <c r="KTU745" s="311"/>
      <c r="KTV745" s="311"/>
      <c r="KTW745" s="311"/>
      <c r="KTX745" s="311"/>
      <c r="KTY745" s="311"/>
      <c r="KTZ745" s="311"/>
      <c r="KUA745" s="311"/>
      <c r="KUB745" s="311"/>
      <c r="KUC745" s="311"/>
      <c r="KUD745" s="311"/>
      <c r="KUE745" s="311"/>
      <c r="KUF745" s="311"/>
      <c r="KUG745" s="311"/>
      <c r="KUH745" s="311"/>
      <c r="KUI745" s="311"/>
      <c r="KUJ745" s="311"/>
      <c r="KUK745" s="311"/>
      <c r="KUL745" s="311"/>
      <c r="KUM745" s="311"/>
      <c r="KUN745" s="311"/>
      <c r="KUO745" s="311"/>
      <c r="KUP745" s="311"/>
      <c r="KUQ745" s="311"/>
      <c r="KUR745" s="311"/>
      <c r="KUS745" s="311"/>
      <c r="KUT745" s="311"/>
      <c r="KUU745" s="311"/>
      <c r="KUV745" s="311"/>
      <c r="KUW745" s="311"/>
      <c r="KUX745" s="311"/>
      <c r="KUY745" s="311"/>
      <c r="KUZ745" s="311"/>
      <c r="KVA745" s="311"/>
      <c r="KVB745" s="311"/>
      <c r="KVC745" s="311"/>
      <c r="KVD745" s="311"/>
      <c r="KVE745" s="311"/>
      <c r="KVF745" s="311"/>
      <c r="KVG745" s="311"/>
      <c r="KVH745" s="311"/>
      <c r="KVI745" s="311"/>
      <c r="KVJ745" s="311"/>
      <c r="KVK745" s="311"/>
      <c r="KVL745" s="311"/>
      <c r="KVM745" s="311"/>
      <c r="KVN745" s="311"/>
      <c r="KVO745" s="311"/>
      <c r="KVP745" s="311"/>
      <c r="KVQ745" s="311"/>
      <c r="KVR745" s="311"/>
      <c r="KVS745" s="311"/>
      <c r="KVT745" s="311"/>
      <c r="KVU745" s="311"/>
      <c r="KVV745" s="311"/>
      <c r="KVW745" s="311"/>
      <c r="KVX745" s="311"/>
      <c r="KVY745" s="311"/>
      <c r="KVZ745" s="311"/>
      <c r="KWA745" s="311"/>
      <c r="KWB745" s="311"/>
      <c r="KWC745" s="311"/>
      <c r="KWD745" s="311"/>
      <c r="KWE745" s="311"/>
      <c r="KWF745" s="311"/>
      <c r="KWG745" s="311"/>
      <c r="KWH745" s="311"/>
      <c r="KWI745" s="311"/>
      <c r="KWJ745" s="311"/>
      <c r="KWK745" s="311"/>
      <c r="KWL745" s="311"/>
      <c r="KWM745" s="311"/>
      <c r="KWN745" s="311"/>
      <c r="KWO745" s="311"/>
      <c r="KWP745" s="311"/>
      <c r="KWQ745" s="311"/>
      <c r="KWR745" s="311"/>
      <c r="KWS745" s="311"/>
      <c r="KWT745" s="311"/>
      <c r="KWU745" s="311"/>
      <c r="KWV745" s="311"/>
      <c r="KWW745" s="311"/>
      <c r="KWX745" s="311"/>
      <c r="KWY745" s="311"/>
      <c r="KWZ745" s="311"/>
      <c r="KXA745" s="311"/>
      <c r="KXB745" s="311"/>
      <c r="KXC745" s="311"/>
      <c r="KXD745" s="311"/>
      <c r="KXE745" s="311"/>
      <c r="KXF745" s="311"/>
      <c r="KXG745" s="311"/>
      <c r="KXH745" s="311"/>
      <c r="KXI745" s="311"/>
      <c r="KXJ745" s="311"/>
      <c r="KXK745" s="311"/>
      <c r="KXL745" s="311"/>
      <c r="KXM745" s="311"/>
      <c r="KXN745" s="311"/>
      <c r="KXO745" s="311"/>
      <c r="KXP745" s="311"/>
      <c r="KXQ745" s="311"/>
      <c r="KXR745" s="311"/>
      <c r="KXS745" s="311"/>
      <c r="KXT745" s="311"/>
      <c r="KXU745" s="311"/>
      <c r="KXV745" s="311"/>
      <c r="KXW745" s="311"/>
      <c r="KXX745" s="311"/>
      <c r="KXY745" s="311"/>
      <c r="KXZ745" s="311"/>
      <c r="KYA745" s="311"/>
      <c r="KYB745" s="311"/>
      <c r="KYC745" s="311"/>
      <c r="KYD745" s="311"/>
      <c r="KYE745" s="311"/>
      <c r="KYF745" s="311"/>
      <c r="KYG745" s="311"/>
      <c r="KYH745" s="311"/>
      <c r="KYI745" s="311"/>
      <c r="KYJ745" s="311"/>
      <c r="KYK745" s="311"/>
      <c r="KYL745" s="311"/>
      <c r="KYM745" s="311"/>
      <c r="KYN745" s="311"/>
      <c r="KYO745" s="311"/>
      <c r="KYP745" s="311"/>
      <c r="KYQ745" s="311"/>
      <c r="KYR745" s="311"/>
      <c r="KYS745" s="311"/>
      <c r="KYT745" s="311"/>
      <c r="KYU745" s="311"/>
      <c r="KYV745" s="311"/>
      <c r="KYW745" s="311"/>
      <c r="KYX745" s="311"/>
      <c r="KYY745" s="311"/>
      <c r="KYZ745" s="311"/>
      <c r="KZA745" s="311"/>
      <c r="KZB745" s="311"/>
      <c r="KZC745" s="311"/>
      <c r="KZD745" s="311"/>
      <c r="KZE745" s="311"/>
      <c r="KZF745" s="311"/>
      <c r="KZG745" s="311"/>
      <c r="KZH745" s="311"/>
      <c r="KZI745" s="311"/>
      <c r="KZJ745" s="311"/>
      <c r="KZK745" s="311"/>
      <c r="KZL745" s="311"/>
      <c r="KZM745" s="311"/>
      <c r="KZN745" s="311"/>
      <c r="KZO745" s="311"/>
      <c r="KZP745" s="311"/>
      <c r="KZQ745" s="311"/>
      <c r="KZR745" s="311"/>
      <c r="KZS745" s="311"/>
      <c r="KZT745" s="311"/>
      <c r="KZU745" s="311"/>
      <c r="KZV745" s="311"/>
      <c r="KZW745" s="311"/>
      <c r="KZX745" s="311"/>
      <c r="KZY745" s="311"/>
      <c r="KZZ745" s="311"/>
      <c r="LAA745" s="311"/>
      <c r="LAB745" s="311"/>
      <c r="LAC745" s="311"/>
      <c r="LAD745" s="311"/>
      <c r="LAE745" s="311"/>
      <c r="LAF745" s="311"/>
      <c r="LAG745" s="311"/>
      <c r="LAH745" s="311"/>
      <c r="LAI745" s="311"/>
      <c r="LAJ745" s="311"/>
      <c r="LAK745" s="311"/>
      <c r="LAL745" s="311"/>
      <c r="LAM745" s="311"/>
      <c r="LAN745" s="311"/>
      <c r="LAO745" s="311"/>
      <c r="LAP745" s="311"/>
      <c r="LAQ745" s="311"/>
      <c r="LAR745" s="311"/>
      <c r="LAS745" s="311"/>
      <c r="LAT745" s="311"/>
      <c r="LAU745" s="311"/>
      <c r="LAV745" s="311"/>
      <c r="LAW745" s="311"/>
      <c r="LAX745" s="311"/>
      <c r="LAY745" s="311"/>
      <c r="LAZ745" s="311"/>
      <c r="LBA745" s="311"/>
      <c r="LBB745" s="311"/>
      <c r="LBC745" s="311"/>
      <c r="LBD745" s="311"/>
      <c r="LBE745" s="311"/>
      <c r="LBF745" s="311"/>
      <c r="LBG745" s="311"/>
      <c r="LBH745" s="311"/>
      <c r="LBI745" s="311"/>
      <c r="LBJ745" s="311"/>
      <c r="LBK745" s="311"/>
      <c r="LBL745" s="311"/>
      <c r="LBM745" s="311"/>
      <c r="LBN745" s="311"/>
      <c r="LBO745" s="311"/>
      <c r="LBP745" s="311"/>
      <c r="LBQ745" s="311"/>
      <c r="LBR745" s="311"/>
      <c r="LBS745" s="311"/>
      <c r="LBT745" s="311"/>
      <c r="LBU745" s="311"/>
      <c r="LBV745" s="311"/>
      <c r="LBW745" s="311"/>
      <c r="LBX745" s="311"/>
      <c r="LBY745" s="311"/>
      <c r="LBZ745" s="311"/>
      <c r="LCA745" s="311"/>
      <c r="LCB745" s="311"/>
      <c r="LCC745" s="311"/>
      <c r="LCD745" s="311"/>
      <c r="LCE745" s="311"/>
      <c r="LCF745" s="311"/>
      <c r="LCG745" s="311"/>
      <c r="LCH745" s="311"/>
      <c r="LCI745" s="311"/>
      <c r="LCJ745" s="311"/>
      <c r="LCK745" s="311"/>
      <c r="LCL745" s="311"/>
      <c r="LCM745" s="311"/>
      <c r="LCN745" s="311"/>
      <c r="LCO745" s="311"/>
      <c r="LCP745" s="311"/>
      <c r="LCQ745" s="311"/>
      <c r="LCR745" s="311"/>
      <c r="LCS745" s="311"/>
      <c r="LCT745" s="311"/>
      <c r="LCU745" s="311"/>
      <c r="LCV745" s="311"/>
      <c r="LCW745" s="311"/>
      <c r="LCX745" s="311"/>
      <c r="LCY745" s="311"/>
      <c r="LCZ745" s="311"/>
      <c r="LDA745" s="311"/>
      <c r="LDB745" s="311"/>
      <c r="LDC745" s="311"/>
      <c r="LDD745" s="311"/>
      <c r="LDE745" s="311"/>
      <c r="LDF745" s="311"/>
      <c r="LDG745" s="311"/>
      <c r="LDH745" s="311"/>
      <c r="LDI745" s="311"/>
      <c r="LDJ745" s="311"/>
      <c r="LDK745" s="311"/>
      <c r="LDL745" s="311"/>
      <c r="LDM745" s="311"/>
      <c r="LDN745" s="311"/>
      <c r="LDO745" s="311"/>
      <c r="LDP745" s="311"/>
      <c r="LDQ745" s="311"/>
      <c r="LDR745" s="311"/>
      <c r="LDS745" s="311"/>
      <c r="LDT745" s="311"/>
      <c r="LDU745" s="311"/>
      <c r="LDV745" s="311"/>
      <c r="LDW745" s="311"/>
      <c r="LDX745" s="311"/>
      <c r="LDY745" s="311"/>
      <c r="LDZ745" s="311"/>
      <c r="LEA745" s="311"/>
      <c r="LEB745" s="311"/>
      <c r="LEC745" s="311"/>
      <c r="LED745" s="311"/>
      <c r="LEE745" s="311"/>
      <c r="LEF745" s="311"/>
      <c r="LEG745" s="311"/>
      <c r="LEH745" s="311"/>
      <c r="LEI745" s="311"/>
      <c r="LEJ745" s="311"/>
      <c r="LEK745" s="311"/>
      <c r="LEL745" s="311"/>
      <c r="LEM745" s="311"/>
      <c r="LEN745" s="311"/>
      <c r="LEO745" s="311"/>
      <c r="LEP745" s="311"/>
      <c r="LEQ745" s="311"/>
      <c r="LER745" s="311"/>
      <c r="LES745" s="311"/>
      <c r="LET745" s="311"/>
      <c r="LEU745" s="311"/>
      <c r="LEV745" s="311"/>
      <c r="LEW745" s="311"/>
      <c r="LEX745" s="311"/>
      <c r="LEY745" s="311"/>
      <c r="LEZ745" s="311"/>
      <c r="LFA745" s="311"/>
      <c r="LFB745" s="311"/>
      <c r="LFC745" s="311"/>
      <c r="LFD745" s="311"/>
      <c r="LFE745" s="311"/>
      <c r="LFF745" s="311"/>
      <c r="LFG745" s="311"/>
      <c r="LFH745" s="311"/>
      <c r="LFI745" s="311"/>
      <c r="LFJ745" s="311"/>
      <c r="LFK745" s="311"/>
      <c r="LFL745" s="311"/>
      <c r="LFM745" s="311"/>
      <c r="LFN745" s="311"/>
      <c r="LFO745" s="311"/>
      <c r="LFP745" s="311"/>
      <c r="LFQ745" s="311"/>
      <c r="LFR745" s="311"/>
      <c r="LFS745" s="311"/>
      <c r="LFT745" s="311"/>
      <c r="LFU745" s="311"/>
      <c r="LFV745" s="311"/>
      <c r="LFW745" s="311"/>
      <c r="LFX745" s="311"/>
      <c r="LFY745" s="311"/>
      <c r="LFZ745" s="311"/>
      <c r="LGA745" s="311"/>
      <c r="LGB745" s="311"/>
      <c r="LGC745" s="311"/>
      <c r="LGD745" s="311"/>
      <c r="LGE745" s="311"/>
      <c r="LGF745" s="311"/>
      <c r="LGG745" s="311"/>
      <c r="LGH745" s="311"/>
      <c r="LGI745" s="311"/>
      <c r="LGJ745" s="311"/>
      <c r="LGK745" s="311"/>
      <c r="LGL745" s="311"/>
      <c r="LGM745" s="311"/>
      <c r="LGN745" s="311"/>
      <c r="LGO745" s="311"/>
      <c r="LGP745" s="311"/>
      <c r="LGQ745" s="311"/>
      <c r="LGR745" s="311"/>
      <c r="LGS745" s="311"/>
      <c r="LGT745" s="311"/>
      <c r="LGU745" s="311"/>
      <c r="LGV745" s="311"/>
      <c r="LGW745" s="311"/>
      <c r="LGX745" s="311"/>
      <c r="LGY745" s="311"/>
      <c r="LGZ745" s="311"/>
      <c r="LHA745" s="311"/>
      <c r="LHB745" s="311"/>
      <c r="LHC745" s="311"/>
      <c r="LHD745" s="311"/>
      <c r="LHE745" s="311"/>
      <c r="LHF745" s="311"/>
      <c r="LHG745" s="311"/>
      <c r="LHH745" s="311"/>
      <c r="LHI745" s="311"/>
      <c r="LHJ745" s="311"/>
      <c r="LHK745" s="311"/>
      <c r="LHL745" s="311"/>
      <c r="LHM745" s="311"/>
      <c r="LHN745" s="311"/>
      <c r="LHO745" s="311"/>
      <c r="LHP745" s="311"/>
      <c r="LHQ745" s="311"/>
      <c r="LHR745" s="311"/>
      <c r="LHS745" s="311"/>
      <c r="LHT745" s="311"/>
      <c r="LHU745" s="311"/>
      <c r="LHV745" s="311"/>
      <c r="LHW745" s="311"/>
      <c r="LHX745" s="311"/>
      <c r="LHY745" s="311"/>
      <c r="LHZ745" s="311"/>
      <c r="LIA745" s="311"/>
      <c r="LIB745" s="311"/>
      <c r="LIC745" s="311"/>
      <c r="LID745" s="311"/>
      <c r="LIE745" s="311"/>
      <c r="LIF745" s="311"/>
      <c r="LIG745" s="311"/>
      <c r="LIH745" s="311"/>
      <c r="LII745" s="311"/>
      <c r="LIJ745" s="311"/>
      <c r="LIK745" s="311"/>
      <c r="LIL745" s="311"/>
      <c r="LIM745" s="311"/>
      <c r="LIN745" s="311"/>
      <c r="LIO745" s="311"/>
      <c r="LIP745" s="311"/>
      <c r="LIQ745" s="311"/>
      <c r="LIR745" s="311"/>
      <c r="LIS745" s="311"/>
      <c r="LIT745" s="311"/>
      <c r="LIU745" s="311"/>
      <c r="LIV745" s="311"/>
      <c r="LIW745" s="311"/>
      <c r="LIX745" s="311"/>
      <c r="LIY745" s="311"/>
      <c r="LIZ745" s="311"/>
      <c r="LJA745" s="311"/>
      <c r="LJB745" s="311"/>
      <c r="LJC745" s="311"/>
      <c r="LJD745" s="311"/>
      <c r="LJE745" s="311"/>
      <c r="LJF745" s="311"/>
      <c r="LJG745" s="311"/>
      <c r="LJH745" s="311"/>
      <c r="LJI745" s="311"/>
      <c r="LJJ745" s="311"/>
      <c r="LJK745" s="311"/>
      <c r="LJL745" s="311"/>
      <c r="LJM745" s="311"/>
      <c r="LJN745" s="311"/>
      <c r="LJO745" s="311"/>
      <c r="LJP745" s="311"/>
      <c r="LJQ745" s="311"/>
      <c r="LJR745" s="311"/>
      <c r="LJS745" s="311"/>
      <c r="LJT745" s="311"/>
      <c r="LJU745" s="311"/>
      <c r="LJV745" s="311"/>
      <c r="LJW745" s="311"/>
      <c r="LJX745" s="311"/>
      <c r="LJY745" s="311"/>
      <c r="LJZ745" s="311"/>
      <c r="LKA745" s="311"/>
      <c r="LKB745" s="311"/>
      <c r="LKC745" s="311"/>
      <c r="LKD745" s="311"/>
      <c r="LKE745" s="311"/>
      <c r="LKF745" s="311"/>
      <c r="LKG745" s="311"/>
      <c r="LKH745" s="311"/>
      <c r="LKI745" s="311"/>
      <c r="LKJ745" s="311"/>
      <c r="LKK745" s="311"/>
      <c r="LKL745" s="311"/>
      <c r="LKM745" s="311"/>
      <c r="LKN745" s="311"/>
      <c r="LKO745" s="311"/>
      <c r="LKP745" s="311"/>
      <c r="LKQ745" s="311"/>
      <c r="LKR745" s="311"/>
      <c r="LKS745" s="311"/>
      <c r="LKT745" s="311"/>
      <c r="LKU745" s="311"/>
      <c r="LKV745" s="311"/>
      <c r="LKW745" s="311"/>
      <c r="LKX745" s="311"/>
      <c r="LKY745" s="311"/>
      <c r="LKZ745" s="311"/>
      <c r="LLA745" s="311"/>
      <c r="LLB745" s="311"/>
      <c r="LLC745" s="311"/>
      <c r="LLD745" s="311"/>
      <c r="LLE745" s="311"/>
      <c r="LLF745" s="311"/>
      <c r="LLG745" s="311"/>
      <c r="LLH745" s="311"/>
      <c r="LLI745" s="311"/>
      <c r="LLJ745" s="311"/>
      <c r="LLK745" s="311"/>
      <c r="LLL745" s="311"/>
      <c r="LLM745" s="311"/>
      <c r="LLN745" s="311"/>
      <c r="LLO745" s="311"/>
      <c r="LLP745" s="311"/>
      <c r="LLQ745" s="311"/>
      <c r="LLR745" s="311"/>
      <c r="LLS745" s="311"/>
      <c r="LLT745" s="311"/>
      <c r="LLU745" s="311"/>
      <c r="LLV745" s="311"/>
      <c r="LLW745" s="311"/>
      <c r="LLX745" s="311"/>
      <c r="LLY745" s="311"/>
      <c r="LLZ745" s="311"/>
      <c r="LMA745" s="311"/>
      <c r="LMB745" s="311"/>
      <c r="LMC745" s="311"/>
      <c r="LMD745" s="311"/>
      <c r="LME745" s="311"/>
      <c r="LMF745" s="311"/>
      <c r="LMG745" s="311"/>
      <c r="LMH745" s="311"/>
      <c r="LMI745" s="311"/>
      <c r="LMJ745" s="311"/>
      <c r="LMK745" s="311"/>
      <c r="LML745" s="311"/>
      <c r="LMM745" s="311"/>
      <c r="LMN745" s="311"/>
      <c r="LMO745" s="311"/>
      <c r="LMP745" s="311"/>
      <c r="LMQ745" s="311"/>
      <c r="LMR745" s="311"/>
      <c r="LMS745" s="311"/>
      <c r="LMT745" s="311"/>
      <c r="LMU745" s="311"/>
      <c r="LMV745" s="311"/>
      <c r="LMW745" s="311"/>
      <c r="LMX745" s="311"/>
      <c r="LMY745" s="311"/>
      <c r="LMZ745" s="311"/>
      <c r="LNA745" s="311"/>
      <c r="LNB745" s="311"/>
      <c r="LNC745" s="311"/>
      <c r="LND745" s="311"/>
      <c r="LNE745" s="311"/>
      <c r="LNF745" s="311"/>
      <c r="LNG745" s="311"/>
      <c r="LNH745" s="311"/>
      <c r="LNI745" s="311"/>
      <c r="LNJ745" s="311"/>
      <c r="LNK745" s="311"/>
      <c r="LNL745" s="311"/>
      <c r="LNM745" s="311"/>
      <c r="LNN745" s="311"/>
      <c r="LNO745" s="311"/>
      <c r="LNP745" s="311"/>
      <c r="LNQ745" s="311"/>
      <c r="LNR745" s="311"/>
      <c r="LNS745" s="311"/>
      <c r="LNT745" s="311"/>
      <c r="LNU745" s="311"/>
      <c r="LNV745" s="311"/>
      <c r="LNW745" s="311"/>
      <c r="LNX745" s="311"/>
      <c r="LNY745" s="311"/>
      <c r="LNZ745" s="311"/>
      <c r="LOA745" s="311"/>
      <c r="LOB745" s="311"/>
      <c r="LOC745" s="311"/>
      <c r="LOD745" s="311"/>
      <c r="LOE745" s="311"/>
      <c r="LOF745" s="311"/>
      <c r="LOG745" s="311"/>
      <c r="LOH745" s="311"/>
      <c r="LOI745" s="311"/>
      <c r="LOJ745" s="311"/>
      <c r="LOK745" s="311"/>
      <c r="LOL745" s="311"/>
      <c r="LOM745" s="311"/>
      <c r="LON745" s="311"/>
      <c r="LOO745" s="311"/>
      <c r="LOP745" s="311"/>
      <c r="LOQ745" s="311"/>
      <c r="LOR745" s="311"/>
      <c r="LOS745" s="311"/>
      <c r="LOT745" s="311"/>
      <c r="LOU745" s="311"/>
      <c r="LOV745" s="311"/>
      <c r="LOW745" s="311"/>
      <c r="LOX745" s="311"/>
      <c r="LOY745" s="311"/>
      <c r="LOZ745" s="311"/>
      <c r="LPA745" s="311"/>
      <c r="LPB745" s="311"/>
      <c r="LPC745" s="311"/>
      <c r="LPD745" s="311"/>
      <c r="LPE745" s="311"/>
      <c r="LPF745" s="311"/>
      <c r="LPG745" s="311"/>
      <c r="LPH745" s="311"/>
      <c r="LPI745" s="311"/>
      <c r="LPJ745" s="311"/>
      <c r="LPK745" s="311"/>
      <c r="LPL745" s="311"/>
      <c r="LPM745" s="311"/>
      <c r="LPN745" s="311"/>
      <c r="LPO745" s="311"/>
      <c r="LPP745" s="311"/>
      <c r="LPQ745" s="311"/>
      <c r="LPR745" s="311"/>
      <c r="LPS745" s="311"/>
      <c r="LPT745" s="311"/>
      <c r="LPU745" s="311"/>
      <c r="LPV745" s="311"/>
      <c r="LPW745" s="311"/>
      <c r="LPX745" s="311"/>
      <c r="LPY745" s="311"/>
      <c r="LPZ745" s="311"/>
      <c r="LQA745" s="311"/>
      <c r="LQB745" s="311"/>
      <c r="LQC745" s="311"/>
      <c r="LQD745" s="311"/>
      <c r="LQE745" s="311"/>
      <c r="LQF745" s="311"/>
      <c r="LQG745" s="311"/>
      <c r="LQH745" s="311"/>
      <c r="LQI745" s="311"/>
      <c r="LQJ745" s="311"/>
      <c r="LQK745" s="311"/>
      <c r="LQL745" s="311"/>
      <c r="LQM745" s="311"/>
      <c r="LQN745" s="311"/>
      <c r="LQO745" s="311"/>
      <c r="LQP745" s="311"/>
      <c r="LQQ745" s="311"/>
      <c r="LQR745" s="311"/>
      <c r="LQS745" s="311"/>
      <c r="LQT745" s="311"/>
      <c r="LQU745" s="311"/>
      <c r="LQV745" s="311"/>
      <c r="LQW745" s="311"/>
      <c r="LQX745" s="311"/>
      <c r="LQY745" s="311"/>
      <c r="LQZ745" s="311"/>
      <c r="LRA745" s="311"/>
      <c r="LRB745" s="311"/>
      <c r="LRC745" s="311"/>
      <c r="LRD745" s="311"/>
      <c r="LRE745" s="311"/>
      <c r="LRF745" s="311"/>
      <c r="LRG745" s="311"/>
      <c r="LRH745" s="311"/>
      <c r="LRI745" s="311"/>
      <c r="LRJ745" s="311"/>
      <c r="LRK745" s="311"/>
      <c r="LRL745" s="311"/>
      <c r="LRM745" s="311"/>
      <c r="LRN745" s="311"/>
      <c r="LRO745" s="311"/>
      <c r="LRP745" s="311"/>
      <c r="LRQ745" s="311"/>
      <c r="LRR745" s="311"/>
      <c r="LRS745" s="311"/>
      <c r="LRT745" s="311"/>
      <c r="LRU745" s="311"/>
      <c r="LRV745" s="311"/>
      <c r="LRW745" s="311"/>
      <c r="LRX745" s="311"/>
      <c r="LRY745" s="311"/>
      <c r="LRZ745" s="311"/>
      <c r="LSA745" s="311"/>
      <c r="LSB745" s="311"/>
      <c r="LSC745" s="311"/>
      <c r="LSD745" s="311"/>
      <c r="LSE745" s="311"/>
      <c r="LSF745" s="311"/>
      <c r="LSG745" s="311"/>
      <c r="LSH745" s="311"/>
      <c r="LSI745" s="311"/>
      <c r="LSJ745" s="311"/>
      <c r="LSK745" s="311"/>
      <c r="LSL745" s="311"/>
      <c r="LSM745" s="311"/>
      <c r="LSN745" s="311"/>
      <c r="LSO745" s="311"/>
      <c r="LSP745" s="311"/>
      <c r="LSQ745" s="311"/>
      <c r="LSR745" s="311"/>
      <c r="LSS745" s="311"/>
      <c r="LST745" s="311"/>
      <c r="LSU745" s="311"/>
      <c r="LSV745" s="311"/>
      <c r="LSW745" s="311"/>
      <c r="LSX745" s="311"/>
      <c r="LSY745" s="311"/>
      <c r="LSZ745" s="311"/>
      <c r="LTA745" s="311"/>
      <c r="LTB745" s="311"/>
      <c r="LTC745" s="311"/>
      <c r="LTD745" s="311"/>
      <c r="LTE745" s="311"/>
      <c r="LTF745" s="311"/>
      <c r="LTG745" s="311"/>
      <c r="LTH745" s="311"/>
      <c r="LTI745" s="311"/>
      <c r="LTJ745" s="311"/>
      <c r="LTK745" s="311"/>
      <c r="LTL745" s="311"/>
      <c r="LTM745" s="311"/>
      <c r="LTN745" s="311"/>
      <c r="LTO745" s="311"/>
      <c r="LTP745" s="311"/>
      <c r="LTQ745" s="311"/>
      <c r="LTR745" s="311"/>
      <c r="LTS745" s="311"/>
      <c r="LTT745" s="311"/>
      <c r="LTU745" s="311"/>
      <c r="LTV745" s="311"/>
      <c r="LTW745" s="311"/>
      <c r="LTX745" s="311"/>
      <c r="LTY745" s="311"/>
      <c r="LTZ745" s="311"/>
      <c r="LUA745" s="311"/>
      <c r="LUB745" s="311"/>
      <c r="LUC745" s="311"/>
      <c r="LUD745" s="311"/>
      <c r="LUE745" s="311"/>
      <c r="LUF745" s="311"/>
      <c r="LUG745" s="311"/>
      <c r="LUH745" s="311"/>
      <c r="LUI745" s="311"/>
      <c r="LUJ745" s="311"/>
      <c r="LUK745" s="311"/>
      <c r="LUL745" s="311"/>
      <c r="LUM745" s="311"/>
      <c r="LUN745" s="311"/>
      <c r="LUO745" s="311"/>
      <c r="LUP745" s="311"/>
      <c r="LUQ745" s="311"/>
      <c r="LUR745" s="311"/>
      <c r="LUS745" s="311"/>
      <c r="LUT745" s="311"/>
      <c r="LUU745" s="311"/>
      <c r="LUV745" s="311"/>
      <c r="LUW745" s="311"/>
      <c r="LUX745" s="311"/>
      <c r="LUY745" s="311"/>
      <c r="LUZ745" s="311"/>
      <c r="LVA745" s="311"/>
      <c r="LVB745" s="311"/>
      <c r="LVC745" s="311"/>
      <c r="LVD745" s="311"/>
      <c r="LVE745" s="311"/>
      <c r="LVF745" s="311"/>
      <c r="LVG745" s="311"/>
      <c r="LVH745" s="311"/>
      <c r="LVI745" s="311"/>
      <c r="LVJ745" s="311"/>
      <c r="LVK745" s="311"/>
      <c r="LVL745" s="311"/>
      <c r="LVM745" s="311"/>
      <c r="LVN745" s="311"/>
      <c r="LVO745" s="311"/>
      <c r="LVP745" s="311"/>
      <c r="LVQ745" s="311"/>
      <c r="LVR745" s="311"/>
      <c r="LVS745" s="311"/>
      <c r="LVT745" s="311"/>
      <c r="LVU745" s="311"/>
      <c r="LVV745" s="311"/>
      <c r="LVW745" s="311"/>
      <c r="LVX745" s="311"/>
      <c r="LVY745" s="311"/>
      <c r="LVZ745" s="311"/>
      <c r="LWA745" s="311"/>
      <c r="LWB745" s="311"/>
      <c r="LWC745" s="311"/>
      <c r="LWD745" s="311"/>
      <c r="LWE745" s="311"/>
      <c r="LWF745" s="311"/>
      <c r="LWG745" s="311"/>
      <c r="LWH745" s="311"/>
      <c r="LWI745" s="311"/>
      <c r="LWJ745" s="311"/>
      <c r="LWK745" s="311"/>
      <c r="LWL745" s="311"/>
      <c r="LWM745" s="311"/>
      <c r="LWN745" s="311"/>
      <c r="LWO745" s="311"/>
      <c r="LWP745" s="311"/>
      <c r="LWQ745" s="311"/>
      <c r="LWR745" s="311"/>
      <c r="LWS745" s="311"/>
      <c r="LWT745" s="311"/>
      <c r="LWU745" s="311"/>
      <c r="LWV745" s="311"/>
      <c r="LWW745" s="311"/>
      <c r="LWX745" s="311"/>
      <c r="LWY745" s="311"/>
      <c r="LWZ745" s="311"/>
      <c r="LXA745" s="311"/>
      <c r="LXB745" s="311"/>
      <c r="LXC745" s="311"/>
      <c r="LXD745" s="311"/>
      <c r="LXE745" s="311"/>
      <c r="LXF745" s="311"/>
      <c r="LXG745" s="311"/>
      <c r="LXH745" s="311"/>
      <c r="LXI745" s="311"/>
      <c r="LXJ745" s="311"/>
      <c r="LXK745" s="311"/>
      <c r="LXL745" s="311"/>
      <c r="LXM745" s="311"/>
      <c r="LXN745" s="311"/>
      <c r="LXO745" s="311"/>
      <c r="LXP745" s="311"/>
      <c r="LXQ745" s="311"/>
      <c r="LXR745" s="311"/>
      <c r="LXS745" s="311"/>
      <c r="LXT745" s="311"/>
      <c r="LXU745" s="311"/>
      <c r="LXV745" s="311"/>
      <c r="LXW745" s="311"/>
      <c r="LXX745" s="311"/>
      <c r="LXY745" s="311"/>
      <c r="LXZ745" s="311"/>
      <c r="LYA745" s="311"/>
      <c r="LYB745" s="311"/>
      <c r="LYC745" s="311"/>
      <c r="LYD745" s="311"/>
      <c r="LYE745" s="311"/>
      <c r="LYF745" s="311"/>
      <c r="LYG745" s="311"/>
      <c r="LYH745" s="311"/>
      <c r="LYI745" s="311"/>
      <c r="LYJ745" s="311"/>
      <c r="LYK745" s="311"/>
      <c r="LYL745" s="311"/>
      <c r="LYM745" s="311"/>
      <c r="LYN745" s="311"/>
      <c r="LYO745" s="311"/>
      <c r="LYP745" s="311"/>
      <c r="LYQ745" s="311"/>
      <c r="LYR745" s="311"/>
      <c r="LYS745" s="311"/>
      <c r="LYT745" s="311"/>
      <c r="LYU745" s="311"/>
      <c r="LYV745" s="311"/>
      <c r="LYW745" s="311"/>
      <c r="LYX745" s="311"/>
      <c r="LYY745" s="311"/>
      <c r="LYZ745" s="311"/>
      <c r="LZA745" s="311"/>
      <c r="LZB745" s="311"/>
      <c r="LZC745" s="311"/>
      <c r="LZD745" s="311"/>
      <c r="LZE745" s="311"/>
      <c r="LZF745" s="311"/>
      <c r="LZG745" s="311"/>
      <c r="LZH745" s="311"/>
      <c r="LZI745" s="311"/>
      <c r="LZJ745" s="311"/>
      <c r="LZK745" s="311"/>
      <c r="LZL745" s="311"/>
      <c r="LZM745" s="311"/>
      <c r="LZN745" s="311"/>
      <c r="LZO745" s="311"/>
      <c r="LZP745" s="311"/>
      <c r="LZQ745" s="311"/>
      <c r="LZR745" s="311"/>
      <c r="LZS745" s="311"/>
      <c r="LZT745" s="311"/>
      <c r="LZU745" s="311"/>
      <c r="LZV745" s="311"/>
      <c r="LZW745" s="311"/>
      <c r="LZX745" s="311"/>
      <c r="LZY745" s="311"/>
      <c r="LZZ745" s="311"/>
      <c r="MAA745" s="311"/>
      <c r="MAB745" s="311"/>
      <c r="MAC745" s="311"/>
      <c r="MAD745" s="311"/>
      <c r="MAE745" s="311"/>
      <c r="MAF745" s="311"/>
      <c r="MAG745" s="311"/>
      <c r="MAH745" s="311"/>
      <c r="MAI745" s="311"/>
      <c r="MAJ745" s="311"/>
      <c r="MAK745" s="311"/>
      <c r="MAL745" s="311"/>
      <c r="MAM745" s="311"/>
      <c r="MAN745" s="311"/>
      <c r="MAO745" s="311"/>
      <c r="MAP745" s="311"/>
      <c r="MAQ745" s="311"/>
      <c r="MAR745" s="311"/>
      <c r="MAS745" s="311"/>
      <c r="MAT745" s="311"/>
      <c r="MAU745" s="311"/>
      <c r="MAV745" s="311"/>
      <c r="MAW745" s="311"/>
      <c r="MAX745" s="311"/>
      <c r="MAY745" s="311"/>
      <c r="MAZ745" s="311"/>
      <c r="MBA745" s="311"/>
      <c r="MBB745" s="311"/>
      <c r="MBC745" s="311"/>
      <c r="MBD745" s="311"/>
      <c r="MBE745" s="311"/>
      <c r="MBF745" s="311"/>
      <c r="MBG745" s="311"/>
      <c r="MBH745" s="311"/>
      <c r="MBI745" s="311"/>
      <c r="MBJ745" s="311"/>
      <c r="MBK745" s="311"/>
      <c r="MBL745" s="311"/>
      <c r="MBM745" s="311"/>
      <c r="MBN745" s="311"/>
      <c r="MBO745" s="311"/>
      <c r="MBP745" s="311"/>
      <c r="MBQ745" s="311"/>
      <c r="MBR745" s="311"/>
      <c r="MBS745" s="311"/>
      <c r="MBT745" s="311"/>
      <c r="MBU745" s="311"/>
      <c r="MBV745" s="311"/>
      <c r="MBW745" s="311"/>
      <c r="MBX745" s="311"/>
      <c r="MBY745" s="311"/>
      <c r="MBZ745" s="311"/>
      <c r="MCA745" s="311"/>
      <c r="MCB745" s="311"/>
      <c r="MCC745" s="311"/>
      <c r="MCD745" s="311"/>
      <c r="MCE745" s="311"/>
      <c r="MCF745" s="311"/>
      <c r="MCG745" s="311"/>
      <c r="MCH745" s="311"/>
      <c r="MCI745" s="311"/>
      <c r="MCJ745" s="311"/>
      <c r="MCK745" s="311"/>
      <c r="MCL745" s="311"/>
      <c r="MCM745" s="311"/>
      <c r="MCN745" s="311"/>
      <c r="MCO745" s="311"/>
      <c r="MCP745" s="311"/>
      <c r="MCQ745" s="311"/>
      <c r="MCR745" s="311"/>
      <c r="MCS745" s="311"/>
      <c r="MCT745" s="311"/>
      <c r="MCU745" s="311"/>
      <c r="MCV745" s="311"/>
      <c r="MCW745" s="311"/>
      <c r="MCX745" s="311"/>
      <c r="MCY745" s="311"/>
      <c r="MCZ745" s="311"/>
      <c r="MDA745" s="311"/>
      <c r="MDB745" s="311"/>
      <c r="MDC745" s="311"/>
      <c r="MDD745" s="311"/>
      <c r="MDE745" s="311"/>
      <c r="MDF745" s="311"/>
      <c r="MDG745" s="311"/>
      <c r="MDH745" s="311"/>
      <c r="MDI745" s="311"/>
      <c r="MDJ745" s="311"/>
      <c r="MDK745" s="311"/>
      <c r="MDL745" s="311"/>
      <c r="MDM745" s="311"/>
      <c r="MDN745" s="311"/>
      <c r="MDO745" s="311"/>
      <c r="MDP745" s="311"/>
      <c r="MDQ745" s="311"/>
      <c r="MDR745" s="311"/>
      <c r="MDS745" s="311"/>
      <c r="MDT745" s="311"/>
      <c r="MDU745" s="311"/>
      <c r="MDV745" s="311"/>
      <c r="MDW745" s="311"/>
      <c r="MDX745" s="311"/>
      <c r="MDY745" s="311"/>
      <c r="MDZ745" s="311"/>
      <c r="MEA745" s="311"/>
      <c r="MEB745" s="311"/>
      <c r="MEC745" s="311"/>
      <c r="MED745" s="311"/>
      <c r="MEE745" s="311"/>
      <c r="MEF745" s="311"/>
      <c r="MEG745" s="311"/>
      <c r="MEH745" s="311"/>
      <c r="MEI745" s="311"/>
      <c r="MEJ745" s="311"/>
      <c r="MEK745" s="311"/>
      <c r="MEL745" s="311"/>
      <c r="MEM745" s="311"/>
      <c r="MEN745" s="311"/>
      <c r="MEO745" s="311"/>
      <c r="MEP745" s="311"/>
      <c r="MEQ745" s="311"/>
      <c r="MER745" s="311"/>
      <c r="MES745" s="311"/>
      <c r="MET745" s="311"/>
      <c r="MEU745" s="311"/>
      <c r="MEV745" s="311"/>
      <c r="MEW745" s="311"/>
      <c r="MEX745" s="311"/>
      <c r="MEY745" s="311"/>
      <c r="MEZ745" s="311"/>
      <c r="MFA745" s="311"/>
      <c r="MFB745" s="311"/>
      <c r="MFC745" s="311"/>
      <c r="MFD745" s="311"/>
      <c r="MFE745" s="311"/>
      <c r="MFF745" s="311"/>
      <c r="MFG745" s="311"/>
      <c r="MFH745" s="311"/>
      <c r="MFI745" s="311"/>
      <c r="MFJ745" s="311"/>
      <c r="MFK745" s="311"/>
      <c r="MFL745" s="311"/>
      <c r="MFM745" s="311"/>
      <c r="MFN745" s="311"/>
      <c r="MFO745" s="311"/>
      <c r="MFP745" s="311"/>
      <c r="MFQ745" s="311"/>
      <c r="MFR745" s="311"/>
      <c r="MFS745" s="311"/>
      <c r="MFT745" s="311"/>
      <c r="MFU745" s="311"/>
      <c r="MFV745" s="311"/>
      <c r="MFW745" s="311"/>
      <c r="MFX745" s="311"/>
      <c r="MFY745" s="311"/>
      <c r="MFZ745" s="311"/>
      <c r="MGA745" s="311"/>
      <c r="MGB745" s="311"/>
      <c r="MGC745" s="311"/>
      <c r="MGD745" s="311"/>
      <c r="MGE745" s="311"/>
      <c r="MGF745" s="311"/>
      <c r="MGG745" s="311"/>
      <c r="MGH745" s="311"/>
      <c r="MGI745" s="311"/>
      <c r="MGJ745" s="311"/>
      <c r="MGK745" s="311"/>
      <c r="MGL745" s="311"/>
      <c r="MGM745" s="311"/>
      <c r="MGN745" s="311"/>
      <c r="MGO745" s="311"/>
      <c r="MGP745" s="311"/>
      <c r="MGQ745" s="311"/>
      <c r="MGR745" s="311"/>
      <c r="MGS745" s="311"/>
      <c r="MGT745" s="311"/>
      <c r="MGU745" s="311"/>
      <c r="MGV745" s="311"/>
      <c r="MGW745" s="311"/>
      <c r="MGX745" s="311"/>
      <c r="MGY745" s="311"/>
      <c r="MGZ745" s="311"/>
      <c r="MHA745" s="311"/>
      <c r="MHB745" s="311"/>
      <c r="MHC745" s="311"/>
      <c r="MHD745" s="311"/>
      <c r="MHE745" s="311"/>
      <c r="MHF745" s="311"/>
      <c r="MHG745" s="311"/>
      <c r="MHH745" s="311"/>
      <c r="MHI745" s="311"/>
      <c r="MHJ745" s="311"/>
      <c r="MHK745" s="311"/>
      <c r="MHL745" s="311"/>
      <c r="MHM745" s="311"/>
      <c r="MHN745" s="311"/>
      <c r="MHO745" s="311"/>
      <c r="MHP745" s="311"/>
      <c r="MHQ745" s="311"/>
      <c r="MHR745" s="311"/>
      <c r="MHS745" s="311"/>
      <c r="MHT745" s="311"/>
      <c r="MHU745" s="311"/>
      <c r="MHV745" s="311"/>
      <c r="MHW745" s="311"/>
      <c r="MHX745" s="311"/>
      <c r="MHY745" s="311"/>
      <c r="MHZ745" s="311"/>
      <c r="MIA745" s="311"/>
      <c r="MIB745" s="311"/>
      <c r="MIC745" s="311"/>
      <c r="MID745" s="311"/>
      <c r="MIE745" s="311"/>
      <c r="MIF745" s="311"/>
      <c r="MIG745" s="311"/>
      <c r="MIH745" s="311"/>
      <c r="MII745" s="311"/>
      <c r="MIJ745" s="311"/>
      <c r="MIK745" s="311"/>
      <c r="MIL745" s="311"/>
      <c r="MIM745" s="311"/>
      <c r="MIN745" s="311"/>
      <c r="MIO745" s="311"/>
      <c r="MIP745" s="311"/>
      <c r="MIQ745" s="311"/>
      <c r="MIR745" s="311"/>
      <c r="MIS745" s="311"/>
      <c r="MIT745" s="311"/>
      <c r="MIU745" s="311"/>
      <c r="MIV745" s="311"/>
      <c r="MIW745" s="311"/>
      <c r="MIX745" s="311"/>
      <c r="MIY745" s="311"/>
      <c r="MIZ745" s="311"/>
      <c r="MJA745" s="311"/>
      <c r="MJB745" s="311"/>
      <c r="MJC745" s="311"/>
      <c r="MJD745" s="311"/>
      <c r="MJE745" s="311"/>
      <c r="MJF745" s="311"/>
      <c r="MJG745" s="311"/>
      <c r="MJH745" s="311"/>
      <c r="MJI745" s="311"/>
      <c r="MJJ745" s="311"/>
      <c r="MJK745" s="311"/>
      <c r="MJL745" s="311"/>
      <c r="MJM745" s="311"/>
      <c r="MJN745" s="311"/>
      <c r="MJO745" s="311"/>
      <c r="MJP745" s="311"/>
      <c r="MJQ745" s="311"/>
      <c r="MJR745" s="311"/>
      <c r="MJS745" s="311"/>
      <c r="MJT745" s="311"/>
      <c r="MJU745" s="311"/>
      <c r="MJV745" s="311"/>
      <c r="MJW745" s="311"/>
      <c r="MJX745" s="311"/>
      <c r="MJY745" s="311"/>
      <c r="MJZ745" s="311"/>
      <c r="MKA745" s="311"/>
      <c r="MKB745" s="311"/>
      <c r="MKC745" s="311"/>
      <c r="MKD745" s="311"/>
      <c r="MKE745" s="311"/>
      <c r="MKF745" s="311"/>
      <c r="MKG745" s="311"/>
      <c r="MKH745" s="311"/>
      <c r="MKI745" s="311"/>
      <c r="MKJ745" s="311"/>
      <c r="MKK745" s="311"/>
      <c r="MKL745" s="311"/>
      <c r="MKM745" s="311"/>
      <c r="MKN745" s="311"/>
      <c r="MKO745" s="311"/>
      <c r="MKP745" s="311"/>
      <c r="MKQ745" s="311"/>
      <c r="MKR745" s="311"/>
      <c r="MKS745" s="311"/>
      <c r="MKT745" s="311"/>
      <c r="MKU745" s="311"/>
      <c r="MKV745" s="311"/>
      <c r="MKW745" s="311"/>
      <c r="MKX745" s="311"/>
      <c r="MKY745" s="311"/>
      <c r="MKZ745" s="311"/>
      <c r="MLA745" s="311"/>
      <c r="MLB745" s="311"/>
      <c r="MLC745" s="311"/>
      <c r="MLD745" s="311"/>
      <c r="MLE745" s="311"/>
      <c r="MLF745" s="311"/>
      <c r="MLG745" s="311"/>
      <c r="MLH745" s="311"/>
      <c r="MLI745" s="311"/>
      <c r="MLJ745" s="311"/>
      <c r="MLK745" s="311"/>
      <c r="MLL745" s="311"/>
      <c r="MLM745" s="311"/>
      <c r="MLN745" s="311"/>
      <c r="MLO745" s="311"/>
      <c r="MLP745" s="311"/>
      <c r="MLQ745" s="311"/>
      <c r="MLR745" s="311"/>
      <c r="MLS745" s="311"/>
      <c r="MLT745" s="311"/>
      <c r="MLU745" s="311"/>
      <c r="MLV745" s="311"/>
      <c r="MLW745" s="311"/>
      <c r="MLX745" s="311"/>
      <c r="MLY745" s="311"/>
      <c r="MLZ745" s="311"/>
      <c r="MMA745" s="311"/>
      <c r="MMB745" s="311"/>
      <c r="MMC745" s="311"/>
      <c r="MMD745" s="311"/>
      <c r="MME745" s="311"/>
      <c r="MMF745" s="311"/>
      <c r="MMG745" s="311"/>
      <c r="MMH745" s="311"/>
      <c r="MMI745" s="311"/>
      <c r="MMJ745" s="311"/>
      <c r="MMK745" s="311"/>
      <c r="MML745" s="311"/>
      <c r="MMM745" s="311"/>
      <c r="MMN745" s="311"/>
      <c r="MMO745" s="311"/>
      <c r="MMP745" s="311"/>
      <c r="MMQ745" s="311"/>
      <c r="MMR745" s="311"/>
      <c r="MMS745" s="311"/>
      <c r="MMT745" s="311"/>
      <c r="MMU745" s="311"/>
      <c r="MMV745" s="311"/>
      <c r="MMW745" s="311"/>
      <c r="MMX745" s="311"/>
      <c r="MMY745" s="311"/>
      <c r="MMZ745" s="311"/>
      <c r="MNA745" s="311"/>
      <c r="MNB745" s="311"/>
      <c r="MNC745" s="311"/>
      <c r="MND745" s="311"/>
      <c r="MNE745" s="311"/>
      <c r="MNF745" s="311"/>
      <c r="MNG745" s="311"/>
      <c r="MNH745" s="311"/>
      <c r="MNI745" s="311"/>
      <c r="MNJ745" s="311"/>
      <c r="MNK745" s="311"/>
      <c r="MNL745" s="311"/>
      <c r="MNM745" s="311"/>
      <c r="MNN745" s="311"/>
      <c r="MNO745" s="311"/>
      <c r="MNP745" s="311"/>
      <c r="MNQ745" s="311"/>
      <c r="MNR745" s="311"/>
      <c r="MNS745" s="311"/>
      <c r="MNT745" s="311"/>
      <c r="MNU745" s="311"/>
      <c r="MNV745" s="311"/>
      <c r="MNW745" s="311"/>
      <c r="MNX745" s="311"/>
      <c r="MNY745" s="311"/>
      <c r="MNZ745" s="311"/>
      <c r="MOA745" s="311"/>
      <c r="MOB745" s="311"/>
      <c r="MOC745" s="311"/>
      <c r="MOD745" s="311"/>
      <c r="MOE745" s="311"/>
      <c r="MOF745" s="311"/>
      <c r="MOG745" s="311"/>
      <c r="MOH745" s="311"/>
      <c r="MOI745" s="311"/>
      <c r="MOJ745" s="311"/>
      <c r="MOK745" s="311"/>
      <c r="MOL745" s="311"/>
      <c r="MOM745" s="311"/>
      <c r="MON745" s="311"/>
      <c r="MOO745" s="311"/>
      <c r="MOP745" s="311"/>
      <c r="MOQ745" s="311"/>
      <c r="MOR745" s="311"/>
      <c r="MOS745" s="311"/>
      <c r="MOT745" s="311"/>
      <c r="MOU745" s="311"/>
      <c r="MOV745" s="311"/>
      <c r="MOW745" s="311"/>
      <c r="MOX745" s="311"/>
      <c r="MOY745" s="311"/>
      <c r="MOZ745" s="311"/>
      <c r="MPA745" s="311"/>
      <c r="MPB745" s="311"/>
      <c r="MPC745" s="311"/>
      <c r="MPD745" s="311"/>
      <c r="MPE745" s="311"/>
      <c r="MPF745" s="311"/>
      <c r="MPG745" s="311"/>
      <c r="MPH745" s="311"/>
      <c r="MPI745" s="311"/>
      <c r="MPJ745" s="311"/>
      <c r="MPK745" s="311"/>
      <c r="MPL745" s="311"/>
      <c r="MPM745" s="311"/>
      <c r="MPN745" s="311"/>
      <c r="MPO745" s="311"/>
      <c r="MPP745" s="311"/>
      <c r="MPQ745" s="311"/>
      <c r="MPR745" s="311"/>
      <c r="MPS745" s="311"/>
      <c r="MPT745" s="311"/>
      <c r="MPU745" s="311"/>
      <c r="MPV745" s="311"/>
      <c r="MPW745" s="311"/>
      <c r="MPX745" s="311"/>
      <c r="MPY745" s="311"/>
      <c r="MPZ745" s="311"/>
      <c r="MQA745" s="311"/>
      <c r="MQB745" s="311"/>
      <c r="MQC745" s="311"/>
      <c r="MQD745" s="311"/>
      <c r="MQE745" s="311"/>
      <c r="MQF745" s="311"/>
      <c r="MQG745" s="311"/>
      <c r="MQH745" s="311"/>
      <c r="MQI745" s="311"/>
      <c r="MQJ745" s="311"/>
      <c r="MQK745" s="311"/>
      <c r="MQL745" s="311"/>
      <c r="MQM745" s="311"/>
      <c r="MQN745" s="311"/>
      <c r="MQO745" s="311"/>
      <c r="MQP745" s="311"/>
      <c r="MQQ745" s="311"/>
      <c r="MQR745" s="311"/>
      <c r="MQS745" s="311"/>
      <c r="MQT745" s="311"/>
      <c r="MQU745" s="311"/>
      <c r="MQV745" s="311"/>
      <c r="MQW745" s="311"/>
      <c r="MQX745" s="311"/>
      <c r="MQY745" s="311"/>
      <c r="MQZ745" s="311"/>
      <c r="MRA745" s="311"/>
      <c r="MRB745" s="311"/>
      <c r="MRC745" s="311"/>
      <c r="MRD745" s="311"/>
      <c r="MRE745" s="311"/>
      <c r="MRF745" s="311"/>
      <c r="MRG745" s="311"/>
      <c r="MRH745" s="311"/>
      <c r="MRI745" s="311"/>
      <c r="MRJ745" s="311"/>
      <c r="MRK745" s="311"/>
      <c r="MRL745" s="311"/>
      <c r="MRM745" s="311"/>
      <c r="MRN745" s="311"/>
      <c r="MRO745" s="311"/>
      <c r="MRP745" s="311"/>
      <c r="MRQ745" s="311"/>
      <c r="MRR745" s="311"/>
      <c r="MRS745" s="311"/>
      <c r="MRT745" s="311"/>
      <c r="MRU745" s="311"/>
      <c r="MRV745" s="311"/>
      <c r="MRW745" s="311"/>
      <c r="MRX745" s="311"/>
      <c r="MRY745" s="311"/>
      <c r="MRZ745" s="311"/>
      <c r="MSA745" s="311"/>
      <c r="MSB745" s="311"/>
      <c r="MSC745" s="311"/>
      <c r="MSD745" s="311"/>
      <c r="MSE745" s="311"/>
      <c r="MSF745" s="311"/>
      <c r="MSG745" s="311"/>
      <c r="MSH745" s="311"/>
      <c r="MSI745" s="311"/>
      <c r="MSJ745" s="311"/>
      <c r="MSK745" s="311"/>
      <c r="MSL745" s="311"/>
      <c r="MSM745" s="311"/>
      <c r="MSN745" s="311"/>
      <c r="MSO745" s="311"/>
      <c r="MSP745" s="311"/>
      <c r="MSQ745" s="311"/>
      <c r="MSR745" s="311"/>
      <c r="MSS745" s="311"/>
      <c r="MST745" s="311"/>
      <c r="MSU745" s="311"/>
      <c r="MSV745" s="311"/>
      <c r="MSW745" s="311"/>
      <c r="MSX745" s="311"/>
      <c r="MSY745" s="311"/>
      <c r="MSZ745" s="311"/>
      <c r="MTA745" s="311"/>
      <c r="MTB745" s="311"/>
      <c r="MTC745" s="311"/>
      <c r="MTD745" s="311"/>
      <c r="MTE745" s="311"/>
      <c r="MTF745" s="311"/>
      <c r="MTG745" s="311"/>
      <c r="MTH745" s="311"/>
      <c r="MTI745" s="311"/>
      <c r="MTJ745" s="311"/>
      <c r="MTK745" s="311"/>
      <c r="MTL745" s="311"/>
      <c r="MTM745" s="311"/>
      <c r="MTN745" s="311"/>
      <c r="MTO745" s="311"/>
      <c r="MTP745" s="311"/>
      <c r="MTQ745" s="311"/>
      <c r="MTR745" s="311"/>
      <c r="MTS745" s="311"/>
      <c r="MTT745" s="311"/>
      <c r="MTU745" s="311"/>
      <c r="MTV745" s="311"/>
      <c r="MTW745" s="311"/>
      <c r="MTX745" s="311"/>
      <c r="MTY745" s="311"/>
      <c r="MTZ745" s="311"/>
      <c r="MUA745" s="311"/>
      <c r="MUB745" s="311"/>
      <c r="MUC745" s="311"/>
      <c r="MUD745" s="311"/>
      <c r="MUE745" s="311"/>
      <c r="MUF745" s="311"/>
      <c r="MUG745" s="311"/>
      <c r="MUH745" s="311"/>
      <c r="MUI745" s="311"/>
      <c r="MUJ745" s="311"/>
      <c r="MUK745" s="311"/>
      <c r="MUL745" s="311"/>
      <c r="MUM745" s="311"/>
      <c r="MUN745" s="311"/>
      <c r="MUO745" s="311"/>
      <c r="MUP745" s="311"/>
      <c r="MUQ745" s="311"/>
      <c r="MUR745" s="311"/>
      <c r="MUS745" s="311"/>
      <c r="MUT745" s="311"/>
      <c r="MUU745" s="311"/>
      <c r="MUV745" s="311"/>
      <c r="MUW745" s="311"/>
      <c r="MUX745" s="311"/>
      <c r="MUY745" s="311"/>
      <c r="MUZ745" s="311"/>
      <c r="MVA745" s="311"/>
      <c r="MVB745" s="311"/>
      <c r="MVC745" s="311"/>
      <c r="MVD745" s="311"/>
      <c r="MVE745" s="311"/>
      <c r="MVF745" s="311"/>
      <c r="MVG745" s="311"/>
      <c r="MVH745" s="311"/>
      <c r="MVI745" s="311"/>
      <c r="MVJ745" s="311"/>
      <c r="MVK745" s="311"/>
      <c r="MVL745" s="311"/>
      <c r="MVM745" s="311"/>
      <c r="MVN745" s="311"/>
      <c r="MVO745" s="311"/>
      <c r="MVP745" s="311"/>
      <c r="MVQ745" s="311"/>
      <c r="MVR745" s="311"/>
      <c r="MVS745" s="311"/>
      <c r="MVT745" s="311"/>
      <c r="MVU745" s="311"/>
      <c r="MVV745" s="311"/>
      <c r="MVW745" s="311"/>
      <c r="MVX745" s="311"/>
      <c r="MVY745" s="311"/>
      <c r="MVZ745" s="311"/>
      <c r="MWA745" s="311"/>
      <c r="MWB745" s="311"/>
      <c r="MWC745" s="311"/>
      <c r="MWD745" s="311"/>
      <c r="MWE745" s="311"/>
      <c r="MWF745" s="311"/>
      <c r="MWG745" s="311"/>
      <c r="MWH745" s="311"/>
      <c r="MWI745" s="311"/>
      <c r="MWJ745" s="311"/>
      <c r="MWK745" s="311"/>
      <c r="MWL745" s="311"/>
      <c r="MWM745" s="311"/>
      <c r="MWN745" s="311"/>
      <c r="MWO745" s="311"/>
      <c r="MWP745" s="311"/>
      <c r="MWQ745" s="311"/>
      <c r="MWR745" s="311"/>
      <c r="MWS745" s="311"/>
      <c r="MWT745" s="311"/>
      <c r="MWU745" s="311"/>
      <c r="MWV745" s="311"/>
      <c r="MWW745" s="311"/>
      <c r="MWX745" s="311"/>
      <c r="MWY745" s="311"/>
      <c r="MWZ745" s="311"/>
      <c r="MXA745" s="311"/>
      <c r="MXB745" s="311"/>
      <c r="MXC745" s="311"/>
      <c r="MXD745" s="311"/>
      <c r="MXE745" s="311"/>
      <c r="MXF745" s="311"/>
      <c r="MXG745" s="311"/>
      <c r="MXH745" s="311"/>
      <c r="MXI745" s="311"/>
      <c r="MXJ745" s="311"/>
      <c r="MXK745" s="311"/>
      <c r="MXL745" s="311"/>
      <c r="MXM745" s="311"/>
      <c r="MXN745" s="311"/>
      <c r="MXO745" s="311"/>
      <c r="MXP745" s="311"/>
      <c r="MXQ745" s="311"/>
      <c r="MXR745" s="311"/>
      <c r="MXS745" s="311"/>
      <c r="MXT745" s="311"/>
      <c r="MXU745" s="311"/>
      <c r="MXV745" s="311"/>
      <c r="MXW745" s="311"/>
      <c r="MXX745" s="311"/>
      <c r="MXY745" s="311"/>
      <c r="MXZ745" s="311"/>
      <c r="MYA745" s="311"/>
      <c r="MYB745" s="311"/>
      <c r="MYC745" s="311"/>
      <c r="MYD745" s="311"/>
      <c r="MYE745" s="311"/>
      <c r="MYF745" s="311"/>
      <c r="MYG745" s="311"/>
      <c r="MYH745" s="311"/>
      <c r="MYI745" s="311"/>
      <c r="MYJ745" s="311"/>
      <c r="MYK745" s="311"/>
      <c r="MYL745" s="311"/>
      <c r="MYM745" s="311"/>
      <c r="MYN745" s="311"/>
      <c r="MYO745" s="311"/>
      <c r="MYP745" s="311"/>
      <c r="MYQ745" s="311"/>
      <c r="MYR745" s="311"/>
      <c r="MYS745" s="311"/>
      <c r="MYT745" s="311"/>
      <c r="MYU745" s="311"/>
      <c r="MYV745" s="311"/>
      <c r="MYW745" s="311"/>
      <c r="MYX745" s="311"/>
      <c r="MYY745" s="311"/>
      <c r="MYZ745" s="311"/>
      <c r="MZA745" s="311"/>
      <c r="MZB745" s="311"/>
      <c r="MZC745" s="311"/>
      <c r="MZD745" s="311"/>
      <c r="MZE745" s="311"/>
      <c r="MZF745" s="311"/>
      <c r="MZG745" s="311"/>
      <c r="MZH745" s="311"/>
      <c r="MZI745" s="311"/>
      <c r="MZJ745" s="311"/>
      <c r="MZK745" s="311"/>
      <c r="MZL745" s="311"/>
      <c r="MZM745" s="311"/>
      <c r="MZN745" s="311"/>
      <c r="MZO745" s="311"/>
      <c r="MZP745" s="311"/>
      <c r="MZQ745" s="311"/>
      <c r="MZR745" s="311"/>
      <c r="MZS745" s="311"/>
      <c r="MZT745" s="311"/>
      <c r="MZU745" s="311"/>
      <c r="MZV745" s="311"/>
      <c r="MZW745" s="311"/>
      <c r="MZX745" s="311"/>
      <c r="MZY745" s="311"/>
      <c r="MZZ745" s="311"/>
      <c r="NAA745" s="311"/>
      <c r="NAB745" s="311"/>
      <c r="NAC745" s="311"/>
      <c r="NAD745" s="311"/>
      <c r="NAE745" s="311"/>
      <c r="NAF745" s="311"/>
      <c r="NAG745" s="311"/>
      <c r="NAH745" s="311"/>
      <c r="NAI745" s="311"/>
      <c r="NAJ745" s="311"/>
      <c r="NAK745" s="311"/>
      <c r="NAL745" s="311"/>
      <c r="NAM745" s="311"/>
      <c r="NAN745" s="311"/>
      <c r="NAO745" s="311"/>
      <c r="NAP745" s="311"/>
      <c r="NAQ745" s="311"/>
      <c r="NAR745" s="311"/>
      <c r="NAS745" s="311"/>
      <c r="NAT745" s="311"/>
      <c r="NAU745" s="311"/>
      <c r="NAV745" s="311"/>
      <c r="NAW745" s="311"/>
      <c r="NAX745" s="311"/>
      <c r="NAY745" s="311"/>
      <c r="NAZ745" s="311"/>
      <c r="NBA745" s="311"/>
      <c r="NBB745" s="311"/>
      <c r="NBC745" s="311"/>
      <c r="NBD745" s="311"/>
      <c r="NBE745" s="311"/>
      <c r="NBF745" s="311"/>
      <c r="NBG745" s="311"/>
      <c r="NBH745" s="311"/>
      <c r="NBI745" s="311"/>
      <c r="NBJ745" s="311"/>
      <c r="NBK745" s="311"/>
      <c r="NBL745" s="311"/>
      <c r="NBM745" s="311"/>
      <c r="NBN745" s="311"/>
      <c r="NBO745" s="311"/>
      <c r="NBP745" s="311"/>
      <c r="NBQ745" s="311"/>
      <c r="NBR745" s="311"/>
      <c r="NBS745" s="311"/>
      <c r="NBT745" s="311"/>
      <c r="NBU745" s="311"/>
      <c r="NBV745" s="311"/>
      <c r="NBW745" s="311"/>
      <c r="NBX745" s="311"/>
      <c r="NBY745" s="311"/>
      <c r="NBZ745" s="311"/>
      <c r="NCA745" s="311"/>
      <c r="NCB745" s="311"/>
      <c r="NCC745" s="311"/>
      <c r="NCD745" s="311"/>
      <c r="NCE745" s="311"/>
      <c r="NCF745" s="311"/>
      <c r="NCG745" s="311"/>
      <c r="NCH745" s="311"/>
      <c r="NCI745" s="311"/>
      <c r="NCJ745" s="311"/>
      <c r="NCK745" s="311"/>
      <c r="NCL745" s="311"/>
      <c r="NCM745" s="311"/>
      <c r="NCN745" s="311"/>
      <c r="NCO745" s="311"/>
      <c r="NCP745" s="311"/>
      <c r="NCQ745" s="311"/>
      <c r="NCR745" s="311"/>
      <c r="NCS745" s="311"/>
      <c r="NCT745" s="311"/>
      <c r="NCU745" s="311"/>
      <c r="NCV745" s="311"/>
      <c r="NCW745" s="311"/>
      <c r="NCX745" s="311"/>
      <c r="NCY745" s="311"/>
      <c r="NCZ745" s="311"/>
      <c r="NDA745" s="311"/>
      <c r="NDB745" s="311"/>
      <c r="NDC745" s="311"/>
      <c r="NDD745" s="311"/>
      <c r="NDE745" s="311"/>
      <c r="NDF745" s="311"/>
      <c r="NDG745" s="311"/>
      <c r="NDH745" s="311"/>
      <c r="NDI745" s="311"/>
      <c r="NDJ745" s="311"/>
      <c r="NDK745" s="311"/>
      <c r="NDL745" s="311"/>
      <c r="NDM745" s="311"/>
      <c r="NDN745" s="311"/>
      <c r="NDO745" s="311"/>
      <c r="NDP745" s="311"/>
      <c r="NDQ745" s="311"/>
      <c r="NDR745" s="311"/>
      <c r="NDS745" s="311"/>
      <c r="NDT745" s="311"/>
      <c r="NDU745" s="311"/>
      <c r="NDV745" s="311"/>
      <c r="NDW745" s="311"/>
      <c r="NDX745" s="311"/>
      <c r="NDY745" s="311"/>
      <c r="NDZ745" s="311"/>
      <c r="NEA745" s="311"/>
      <c r="NEB745" s="311"/>
      <c r="NEC745" s="311"/>
      <c r="NED745" s="311"/>
      <c r="NEE745" s="311"/>
      <c r="NEF745" s="311"/>
      <c r="NEG745" s="311"/>
      <c r="NEH745" s="311"/>
      <c r="NEI745" s="311"/>
      <c r="NEJ745" s="311"/>
      <c r="NEK745" s="311"/>
      <c r="NEL745" s="311"/>
      <c r="NEM745" s="311"/>
      <c r="NEN745" s="311"/>
      <c r="NEO745" s="311"/>
      <c r="NEP745" s="311"/>
      <c r="NEQ745" s="311"/>
      <c r="NER745" s="311"/>
      <c r="NES745" s="311"/>
      <c r="NET745" s="311"/>
      <c r="NEU745" s="311"/>
      <c r="NEV745" s="311"/>
      <c r="NEW745" s="311"/>
      <c r="NEX745" s="311"/>
      <c r="NEY745" s="311"/>
      <c r="NEZ745" s="311"/>
      <c r="NFA745" s="311"/>
      <c r="NFB745" s="311"/>
      <c r="NFC745" s="311"/>
      <c r="NFD745" s="311"/>
      <c r="NFE745" s="311"/>
      <c r="NFF745" s="311"/>
      <c r="NFG745" s="311"/>
      <c r="NFH745" s="311"/>
      <c r="NFI745" s="311"/>
      <c r="NFJ745" s="311"/>
      <c r="NFK745" s="311"/>
      <c r="NFL745" s="311"/>
      <c r="NFM745" s="311"/>
      <c r="NFN745" s="311"/>
      <c r="NFO745" s="311"/>
      <c r="NFP745" s="311"/>
      <c r="NFQ745" s="311"/>
      <c r="NFR745" s="311"/>
      <c r="NFS745" s="311"/>
      <c r="NFT745" s="311"/>
      <c r="NFU745" s="311"/>
      <c r="NFV745" s="311"/>
      <c r="NFW745" s="311"/>
      <c r="NFX745" s="311"/>
      <c r="NFY745" s="311"/>
      <c r="NFZ745" s="311"/>
      <c r="NGA745" s="311"/>
      <c r="NGB745" s="311"/>
      <c r="NGC745" s="311"/>
      <c r="NGD745" s="311"/>
      <c r="NGE745" s="311"/>
      <c r="NGF745" s="311"/>
      <c r="NGG745" s="311"/>
      <c r="NGH745" s="311"/>
      <c r="NGI745" s="311"/>
      <c r="NGJ745" s="311"/>
      <c r="NGK745" s="311"/>
      <c r="NGL745" s="311"/>
      <c r="NGM745" s="311"/>
      <c r="NGN745" s="311"/>
      <c r="NGO745" s="311"/>
      <c r="NGP745" s="311"/>
      <c r="NGQ745" s="311"/>
      <c r="NGR745" s="311"/>
      <c r="NGS745" s="311"/>
      <c r="NGT745" s="311"/>
      <c r="NGU745" s="311"/>
      <c r="NGV745" s="311"/>
      <c r="NGW745" s="311"/>
      <c r="NGX745" s="311"/>
      <c r="NGY745" s="311"/>
      <c r="NGZ745" s="311"/>
      <c r="NHA745" s="311"/>
      <c r="NHB745" s="311"/>
      <c r="NHC745" s="311"/>
      <c r="NHD745" s="311"/>
      <c r="NHE745" s="311"/>
      <c r="NHF745" s="311"/>
      <c r="NHG745" s="311"/>
      <c r="NHH745" s="311"/>
      <c r="NHI745" s="311"/>
      <c r="NHJ745" s="311"/>
      <c r="NHK745" s="311"/>
      <c r="NHL745" s="311"/>
      <c r="NHM745" s="311"/>
      <c r="NHN745" s="311"/>
      <c r="NHO745" s="311"/>
      <c r="NHP745" s="311"/>
      <c r="NHQ745" s="311"/>
      <c r="NHR745" s="311"/>
      <c r="NHS745" s="311"/>
      <c r="NHT745" s="311"/>
      <c r="NHU745" s="311"/>
      <c r="NHV745" s="311"/>
      <c r="NHW745" s="311"/>
      <c r="NHX745" s="311"/>
      <c r="NHY745" s="311"/>
      <c r="NHZ745" s="311"/>
      <c r="NIA745" s="311"/>
      <c r="NIB745" s="311"/>
      <c r="NIC745" s="311"/>
      <c r="NID745" s="311"/>
      <c r="NIE745" s="311"/>
      <c r="NIF745" s="311"/>
      <c r="NIG745" s="311"/>
      <c r="NIH745" s="311"/>
      <c r="NII745" s="311"/>
      <c r="NIJ745" s="311"/>
      <c r="NIK745" s="311"/>
      <c r="NIL745" s="311"/>
      <c r="NIM745" s="311"/>
      <c r="NIN745" s="311"/>
      <c r="NIO745" s="311"/>
      <c r="NIP745" s="311"/>
      <c r="NIQ745" s="311"/>
      <c r="NIR745" s="311"/>
      <c r="NIS745" s="311"/>
      <c r="NIT745" s="311"/>
      <c r="NIU745" s="311"/>
      <c r="NIV745" s="311"/>
      <c r="NIW745" s="311"/>
      <c r="NIX745" s="311"/>
      <c r="NIY745" s="311"/>
      <c r="NIZ745" s="311"/>
      <c r="NJA745" s="311"/>
      <c r="NJB745" s="311"/>
      <c r="NJC745" s="311"/>
      <c r="NJD745" s="311"/>
      <c r="NJE745" s="311"/>
      <c r="NJF745" s="311"/>
      <c r="NJG745" s="311"/>
      <c r="NJH745" s="311"/>
      <c r="NJI745" s="311"/>
      <c r="NJJ745" s="311"/>
      <c r="NJK745" s="311"/>
      <c r="NJL745" s="311"/>
      <c r="NJM745" s="311"/>
      <c r="NJN745" s="311"/>
      <c r="NJO745" s="311"/>
      <c r="NJP745" s="311"/>
      <c r="NJQ745" s="311"/>
      <c r="NJR745" s="311"/>
      <c r="NJS745" s="311"/>
      <c r="NJT745" s="311"/>
      <c r="NJU745" s="311"/>
      <c r="NJV745" s="311"/>
      <c r="NJW745" s="311"/>
      <c r="NJX745" s="311"/>
      <c r="NJY745" s="311"/>
      <c r="NJZ745" s="311"/>
      <c r="NKA745" s="311"/>
      <c r="NKB745" s="311"/>
      <c r="NKC745" s="311"/>
      <c r="NKD745" s="311"/>
      <c r="NKE745" s="311"/>
      <c r="NKF745" s="311"/>
      <c r="NKG745" s="311"/>
      <c r="NKH745" s="311"/>
      <c r="NKI745" s="311"/>
      <c r="NKJ745" s="311"/>
      <c r="NKK745" s="311"/>
      <c r="NKL745" s="311"/>
      <c r="NKM745" s="311"/>
      <c r="NKN745" s="311"/>
      <c r="NKO745" s="311"/>
      <c r="NKP745" s="311"/>
      <c r="NKQ745" s="311"/>
      <c r="NKR745" s="311"/>
      <c r="NKS745" s="311"/>
      <c r="NKT745" s="311"/>
      <c r="NKU745" s="311"/>
      <c r="NKV745" s="311"/>
      <c r="NKW745" s="311"/>
      <c r="NKX745" s="311"/>
      <c r="NKY745" s="311"/>
      <c r="NKZ745" s="311"/>
      <c r="NLA745" s="311"/>
      <c r="NLB745" s="311"/>
      <c r="NLC745" s="311"/>
      <c r="NLD745" s="311"/>
      <c r="NLE745" s="311"/>
      <c r="NLF745" s="311"/>
      <c r="NLG745" s="311"/>
      <c r="NLH745" s="311"/>
      <c r="NLI745" s="311"/>
      <c r="NLJ745" s="311"/>
      <c r="NLK745" s="311"/>
      <c r="NLL745" s="311"/>
      <c r="NLM745" s="311"/>
      <c r="NLN745" s="311"/>
      <c r="NLO745" s="311"/>
      <c r="NLP745" s="311"/>
      <c r="NLQ745" s="311"/>
      <c r="NLR745" s="311"/>
      <c r="NLS745" s="311"/>
      <c r="NLT745" s="311"/>
      <c r="NLU745" s="311"/>
      <c r="NLV745" s="311"/>
      <c r="NLW745" s="311"/>
      <c r="NLX745" s="311"/>
      <c r="NLY745" s="311"/>
      <c r="NLZ745" s="311"/>
      <c r="NMA745" s="311"/>
      <c r="NMB745" s="311"/>
      <c r="NMC745" s="311"/>
      <c r="NMD745" s="311"/>
      <c r="NME745" s="311"/>
      <c r="NMF745" s="311"/>
      <c r="NMG745" s="311"/>
      <c r="NMH745" s="311"/>
      <c r="NMI745" s="311"/>
      <c r="NMJ745" s="311"/>
      <c r="NMK745" s="311"/>
      <c r="NML745" s="311"/>
      <c r="NMM745" s="311"/>
      <c r="NMN745" s="311"/>
      <c r="NMO745" s="311"/>
      <c r="NMP745" s="311"/>
      <c r="NMQ745" s="311"/>
      <c r="NMR745" s="311"/>
      <c r="NMS745" s="311"/>
      <c r="NMT745" s="311"/>
      <c r="NMU745" s="311"/>
      <c r="NMV745" s="311"/>
      <c r="NMW745" s="311"/>
      <c r="NMX745" s="311"/>
      <c r="NMY745" s="311"/>
      <c r="NMZ745" s="311"/>
      <c r="NNA745" s="311"/>
      <c r="NNB745" s="311"/>
      <c r="NNC745" s="311"/>
      <c r="NND745" s="311"/>
      <c r="NNE745" s="311"/>
      <c r="NNF745" s="311"/>
      <c r="NNG745" s="311"/>
      <c r="NNH745" s="311"/>
      <c r="NNI745" s="311"/>
      <c r="NNJ745" s="311"/>
      <c r="NNK745" s="311"/>
      <c r="NNL745" s="311"/>
      <c r="NNM745" s="311"/>
      <c r="NNN745" s="311"/>
      <c r="NNO745" s="311"/>
      <c r="NNP745" s="311"/>
      <c r="NNQ745" s="311"/>
      <c r="NNR745" s="311"/>
      <c r="NNS745" s="311"/>
      <c r="NNT745" s="311"/>
      <c r="NNU745" s="311"/>
      <c r="NNV745" s="311"/>
      <c r="NNW745" s="311"/>
      <c r="NNX745" s="311"/>
      <c r="NNY745" s="311"/>
      <c r="NNZ745" s="311"/>
      <c r="NOA745" s="311"/>
      <c r="NOB745" s="311"/>
      <c r="NOC745" s="311"/>
      <c r="NOD745" s="311"/>
      <c r="NOE745" s="311"/>
      <c r="NOF745" s="311"/>
      <c r="NOG745" s="311"/>
      <c r="NOH745" s="311"/>
      <c r="NOI745" s="311"/>
      <c r="NOJ745" s="311"/>
      <c r="NOK745" s="311"/>
      <c r="NOL745" s="311"/>
      <c r="NOM745" s="311"/>
      <c r="NON745" s="311"/>
      <c r="NOO745" s="311"/>
      <c r="NOP745" s="311"/>
      <c r="NOQ745" s="311"/>
      <c r="NOR745" s="311"/>
      <c r="NOS745" s="311"/>
      <c r="NOT745" s="311"/>
      <c r="NOU745" s="311"/>
      <c r="NOV745" s="311"/>
      <c r="NOW745" s="311"/>
      <c r="NOX745" s="311"/>
      <c r="NOY745" s="311"/>
      <c r="NOZ745" s="311"/>
      <c r="NPA745" s="311"/>
      <c r="NPB745" s="311"/>
      <c r="NPC745" s="311"/>
      <c r="NPD745" s="311"/>
      <c r="NPE745" s="311"/>
      <c r="NPF745" s="311"/>
      <c r="NPG745" s="311"/>
      <c r="NPH745" s="311"/>
      <c r="NPI745" s="311"/>
      <c r="NPJ745" s="311"/>
      <c r="NPK745" s="311"/>
      <c r="NPL745" s="311"/>
      <c r="NPM745" s="311"/>
      <c r="NPN745" s="311"/>
      <c r="NPO745" s="311"/>
      <c r="NPP745" s="311"/>
      <c r="NPQ745" s="311"/>
      <c r="NPR745" s="311"/>
      <c r="NPS745" s="311"/>
      <c r="NPT745" s="311"/>
      <c r="NPU745" s="311"/>
      <c r="NPV745" s="311"/>
      <c r="NPW745" s="311"/>
      <c r="NPX745" s="311"/>
      <c r="NPY745" s="311"/>
      <c r="NPZ745" s="311"/>
      <c r="NQA745" s="311"/>
      <c r="NQB745" s="311"/>
      <c r="NQC745" s="311"/>
      <c r="NQD745" s="311"/>
      <c r="NQE745" s="311"/>
      <c r="NQF745" s="311"/>
      <c r="NQG745" s="311"/>
      <c r="NQH745" s="311"/>
      <c r="NQI745" s="311"/>
      <c r="NQJ745" s="311"/>
      <c r="NQK745" s="311"/>
      <c r="NQL745" s="311"/>
      <c r="NQM745" s="311"/>
      <c r="NQN745" s="311"/>
      <c r="NQO745" s="311"/>
      <c r="NQP745" s="311"/>
      <c r="NQQ745" s="311"/>
      <c r="NQR745" s="311"/>
      <c r="NQS745" s="311"/>
      <c r="NQT745" s="311"/>
      <c r="NQU745" s="311"/>
      <c r="NQV745" s="311"/>
      <c r="NQW745" s="311"/>
      <c r="NQX745" s="311"/>
      <c r="NQY745" s="311"/>
      <c r="NQZ745" s="311"/>
      <c r="NRA745" s="311"/>
      <c r="NRB745" s="311"/>
      <c r="NRC745" s="311"/>
      <c r="NRD745" s="311"/>
      <c r="NRE745" s="311"/>
      <c r="NRF745" s="311"/>
      <c r="NRG745" s="311"/>
      <c r="NRH745" s="311"/>
      <c r="NRI745" s="311"/>
      <c r="NRJ745" s="311"/>
      <c r="NRK745" s="311"/>
      <c r="NRL745" s="311"/>
      <c r="NRM745" s="311"/>
      <c r="NRN745" s="311"/>
      <c r="NRO745" s="311"/>
      <c r="NRP745" s="311"/>
      <c r="NRQ745" s="311"/>
      <c r="NRR745" s="311"/>
      <c r="NRS745" s="311"/>
      <c r="NRT745" s="311"/>
      <c r="NRU745" s="311"/>
      <c r="NRV745" s="311"/>
      <c r="NRW745" s="311"/>
      <c r="NRX745" s="311"/>
      <c r="NRY745" s="311"/>
      <c r="NRZ745" s="311"/>
      <c r="NSA745" s="311"/>
      <c r="NSB745" s="311"/>
      <c r="NSC745" s="311"/>
      <c r="NSD745" s="311"/>
      <c r="NSE745" s="311"/>
      <c r="NSF745" s="311"/>
      <c r="NSG745" s="311"/>
      <c r="NSH745" s="311"/>
      <c r="NSI745" s="311"/>
      <c r="NSJ745" s="311"/>
      <c r="NSK745" s="311"/>
      <c r="NSL745" s="311"/>
      <c r="NSM745" s="311"/>
      <c r="NSN745" s="311"/>
      <c r="NSO745" s="311"/>
      <c r="NSP745" s="311"/>
      <c r="NSQ745" s="311"/>
      <c r="NSR745" s="311"/>
      <c r="NSS745" s="311"/>
      <c r="NST745" s="311"/>
      <c r="NSU745" s="311"/>
      <c r="NSV745" s="311"/>
      <c r="NSW745" s="311"/>
      <c r="NSX745" s="311"/>
      <c r="NSY745" s="311"/>
      <c r="NSZ745" s="311"/>
      <c r="NTA745" s="311"/>
      <c r="NTB745" s="311"/>
      <c r="NTC745" s="311"/>
      <c r="NTD745" s="311"/>
      <c r="NTE745" s="311"/>
      <c r="NTF745" s="311"/>
      <c r="NTG745" s="311"/>
      <c r="NTH745" s="311"/>
      <c r="NTI745" s="311"/>
      <c r="NTJ745" s="311"/>
      <c r="NTK745" s="311"/>
      <c r="NTL745" s="311"/>
      <c r="NTM745" s="311"/>
      <c r="NTN745" s="311"/>
      <c r="NTO745" s="311"/>
      <c r="NTP745" s="311"/>
      <c r="NTQ745" s="311"/>
      <c r="NTR745" s="311"/>
      <c r="NTS745" s="311"/>
      <c r="NTT745" s="311"/>
      <c r="NTU745" s="311"/>
      <c r="NTV745" s="311"/>
      <c r="NTW745" s="311"/>
      <c r="NTX745" s="311"/>
      <c r="NTY745" s="311"/>
      <c r="NTZ745" s="311"/>
      <c r="NUA745" s="311"/>
      <c r="NUB745" s="311"/>
      <c r="NUC745" s="311"/>
      <c r="NUD745" s="311"/>
      <c r="NUE745" s="311"/>
      <c r="NUF745" s="311"/>
      <c r="NUG745" s="311"/>
      <c r="NUH745" s="311"/>
      <c r="NUI745" s="311"/>
      <c r="NUJ745" s="311"/>
      <c r="NUK745" s="311"/>
      <c r="NUL745" s="311"/>
      <c r="NUM745" s="311"/>
      <c r="NUN745" s="311"/>
      <c r="NUO745" s="311"/>
      <c r="NUP745" s="311"/>
      <c r="NUQ745" s="311"/>
      <c r="NUR745" s="311"/>
      <c r="NUS745" s="311"/>
      <c r="NUT745" s="311"/>
      <c r="NUU745" s="311"/>
      <c r="NUV745" s="311"/>
      <c r="NUW745" s="311"/>
      <c r="NUX745" s="311"/>
      <c r="NUY745" s="311"/>
      <c r="NUZ745" s="311"/>
      <c r="NVA745" s="311"/>
      <c r="NVB745" s="311"/>
      <c r="NVC745" s="311"/>
      <c r="NVD745" s="311"/>
      <c r="NVE745" s="311"/>
      <c r="NVF745" s="311"/>
      <c r="NVG745" s="311"/>
      <c r="NVH745" s="311"/>
      <c r="NVI745" s="311"/>
      <c r="NVJ745" s="311"/>
      <c r="NVK745" s="311"/>
      <c r="NVL745" s="311"/>
      <c r="NVM745" s="311"/>
      <c r="NVN745" s="311"/>
      <c r="NVO745" s="311"/>
      <c r="NVP745" s="311"/>
      <c r="NVQ745" s="311"/>
      <c r="NVR745" s="311"/>
      <c r="NVS745" s="311"/>
      <c r="NVT745" s="311"/>
      <c r="NVU745" s="311"/>
      <c r="NVV745" s="311"/>
      <c r="NVW745" s="311"/>
      <c r="NVX745" s="311"/>
      <c r="NVY745" s="311"/>
      <c r="NVZ745" s="311"/>
      <c r="NWA745" s="311"/>
      <c r="NWB745" s="311"/>
      <c r="NWC745" s="311"/>
      <c r="NWD745" s="311"/>
      <c r="NWE745" s="311"/>
      <c r="NWF745" s="311"/>
      <c r="NWG745" s="311"/>
      <c r="NWH745" s="311"/>
      <c r="NWI745" s="311"/>
      <c r="NWJ745" s="311"/>
      <c r="NWK745" s="311"/>
      <c r="NWL745" s="311"/>
      <c r="NWM745" s="311"/>
      <c r="NWN745" s="311"/>
      <c r="NWO745" s="311"/>
      <c r="NWP745" s="311"/>
      <c r="NWQ745" s="311"/>
      <c r="NWR745" s="311"/>
      <c r="NWS745" s="311"/>
      <c r="NWT745" s="311"/>
      <c r="NWU745" s="311"/>
      <c r="NWV745" s="311"/>
      <c r="NWW745" s="311"/>
      <c r="NWX745" s="311"/>
      <c r="NWY745" s="311"/>
      <c r="NWZ745" s="311"/>
      <c r="NXA745" s="311"/>
      <c r="NXB745" s="311"/>
      <c r="NXC745" s="311"/>
      <c r="NXD745" s="311"/>
      <c r="NXE745" s="311"/>
      <c r="NXF745" s="311"/>
      <c r="NXG745" s="311"/>
      <c r="NXH745" s="311"/>
      <c r="NXI745" s="311"/>
      <c r="NXJ745" s="311"/>
      <c r="NXK745" s="311"/>
      <c r="NXL745" s="311"/>
      <c r="NXM745" s="311"/>
      <c r="NXN745" s="311"/>
      <c r="NXO745" s="311"/>
      <c r="NXP745" s="311"/>
      <c r="NXQ745" s="311"/>
      <c r="NXR745" s="311"/>
      <c r="NXS745" s="311"/>
      <c r="NXT745" s="311"/>
      <c r="NXU745" s="311"/>
      <c r="NXV745" s="311"/>
      <c r="NXW745" s="311"/>
      <c r="NXX745" s="311"/>
      <c r="NXY745" s="311"/>
      <c r="NXZ745" s="311"/>
      <c r="NYA745" s="311"/>
      <c r="NYB745" s="311"/>
      <c r="NYC745" s="311"/>
      <c r="NYD745" s="311"/>
      <c r="NYE745" s="311"/>
      <c r="NYF745" s="311"/>
      <c r="NYG745" s="311"/>
      <c r="NYH745" s="311"/>
      <c r="NYI745" s="311"/>
      <c r="NYJ745" s="311"/>
      <c r="NYK745" s="311"/>
      <c r="NYL745" s="311"/>
      <c r="NYM745" s="311"/>
      <c r="NYN745" s="311"/>
      <c r="NYO745" s="311"/>
      <c r="NYP745" s="311"/>
      <c r="NYQ745" s="311"/>
      <c r="NYR745" s="311"/>
      <c r="NYS745" s="311"/>
      <c r="NYT745" s="311"/>
      <c r="NYU745" s="311"/>
      <c r="NYV745" s="311"/>
      <c r="NYW745" s="311"/>
      <c r="NYX745" s="311"/>
      <c r="NYY745" s="311"/>
      <c r="NYZ745" s="311"/>
      <c r="NZA745" s="311"/>
      <c r="NZB745" s="311"/>
      <c r="NZC745" s="311"/>
      <c r="NZD745" s="311"/>
      <c r="NZE745" s="311"/>
      <c r="NZF745" s="311"/>
      <c r="NZG745" s="311"/>
      <c r="NZH745" s="311"/>
      <c r="NZI745" s="311"/>
      <c r="NZJ745" s="311"/>
      <c r="NZK745" s="311"/>
      <c r="NZL745" s="311"/>
      <c r="NZM745" s="311"/>
      <c r="NZN745" s="311"/>
      <c r="NZO745" s="311"/>
      <c r="NZP745" s="311"/>
      <c r="NZQ745" s="311"/>
      <c r="NZR745" s="311"/>
      <c r="NZS745" s="311"/>
      <c r="NZT745" s="311"/>
      <c r="NZU745" s="311"/>
      <c r="NZV745" s="311"/>
      <c r="NZW745" s="311"/>
      <c r="NZX745" s="311"/>
      <c r="NZY745" s="311"/>
      <c r="NZZ745" s="311"/>
      <c r="OAA745" s="311"/>
      <c r="OAB745" s="311"/>
      <c r="OAC745" s="311"/>
      <c r="OAD745" s="311"/>
      <c r="OAE745" s="311"/>
      <c r="OAF745" s="311"/>
      <c r="OAG745" s="311"/>
      <c r="OAH745" s="311"/>
      <c r="OAI745" s="311"/>
      <c r="OAJ745" s="311"/>
      <c r="OAK745" s="311"/>
      <c r="OAL745" s="311"/>
      <c r="OAM745" s="311"/>
      <c r="OAN745" s="311"/>
      <c r="OAO745" s="311"/>
      <c r="OAP745" s="311"/>
      <c r="OAQ745" s="311"/>
      <c r="OAR745" s="311"/>
      <c r="OAS745" s="311"/>
      <c r="OAT745" s="311"/>
      <c r="OAU745" s="311"/>
      <c r="OAV745" s="311"/>
      <c r="OAW745" s="311"/>
      <c r="OAX745" s="311"/>
      <c r="OAY745" s="311"/>
      <c r="OAZ745" s="311"/>
      <c r="OBA745" s="311"/>
      <c r="OBB745" s="311"/>
      <c r="OBC745" s="311"/>
      <c r="OBD745" s="311"/>
      <c r="OBE745" s="311"/>
      <c r="OBF745" s="311"/>
      <c r="OBG745" s="311"/>
      <c r="OBH745" s="311"/>
      <c r="OBI745" s="311"/>
      <c r="OBJ745" s="311"/>
      <c r="OBK745" s="311"/>
      <c r="OBL745" s="311"/>
      <c r="OBM745" s="311"/>
      <c r="OBN745" s="311"/>
      <c r="OBO745" s="311"/>
      <c r="OBP745" s="311"/>
      <c r="OBQ745" s="311"/>
      <c r="OBR745" s="311"/>
      <c r="OBS745" s="311"/>
      <c r="OBT745" s="311"/>
      <c r="OBU745" s="311"/>
      <c r="OBV745" s="311"/>
      <c r="OBW745" s="311"/>
      <c r="OBX745" s="311"/>
      <c r="OBY745" s="311"/>
      <c r="OBZ745" s="311"/>
      <c r="OCA745" s="311"/>
      <c r="OCB745" s="311"/>
      <c r="OCC745" s="311"/>
      <c r="OCD745" s="311"/>
      <c r="OCE745" s="311"/>
      <c r="OCF745" s="311"/>
      <c r="OCG745" s="311"/>
      <c r="OCH745" s="311"/>
      <c r="OCI745" s="311"/>
      <c r="OCJ745" s="311"/>
      <c r="OCK745" s="311"/>
      <c r="OCL745" s="311"/>
      <c r="OCM745" s="311"/>
      <c r="OCN745" s="311"/>
      <c r="OCO745" s="311"/>
      <c r="OCP745" s="311"/>
      <c r="OCQ745" s="311"/>
      <c r="OCR745" s="311"/>
      <c r="OCS745" s="311"/>
      <c r="OCT745" s="311"/>
      <c r="OCU745" s="311"/>
      <c r="OCV745" s="311"/>
      <c r="OCW745" s="311"/>
      <c r="OCX745" s="311"/>
      <c r="OCY745" s="311"/>
      <c r="OCZ745" s="311"/>
      <c r="ODA745" s="311"/>
      <c r="ODB745" s="311"/>
      <c r="ODC745" s="311"/>
      <c r="ODD745" s="311"/>
      <c r="ODE745" s="311"/>
      <c r="ODF745" s="311"/>
      <c r="ODG745" s="311"/>
      <c r="ODH745" s="311"/>
      <c r="ODI745" s="311"/>
      <c r="ODJ745" s="311"/>
      <c r="ODK745" s="311"/>
      <c r="ODL745" s="311"/>
      <c r="ODM745" s="311"/>
      <c r="ODN745" s="311"/>
      <c r="ODO745" s="311"/>
      <c r="ODP745" s="311"/>
      <c r="ODQ745" s="311"/>
      <c r="ODR745" s="311"/>
      <c r="ODS745" s="311"/>
      <c r="ODT745" s="311"/>
      <c r="ODU745" s="311"/>
      <c r="ODV745" s="311"/>
      <c r="ODW745" s="311"/>
      <c r="ODX745" s="311"/>
      <c r="ODY745" s="311"/>
      <c r="ODZ745" s="311"/>
      <c r="OEA745" s="311"/>
      <c r="OEB745" s="311"/>
      <c r="OEC745" s="311"/>
      <c r="OED745" s="311"/>
      <c r="OEE745" s="311"/>
      <c r="OEF745" s="311"/>
      <c r="OEG745" s="311"/>
      <c r="OEH745" s="311"/>
      <c r="OEI745" s="311"/>
      <c r="OEJ745" s="311"/>
      <c r="OEK745" s="311"/>
      <c r="OEL745" s="311"/>
      <c r="OEM745" s="311"/>
      <c r="OEN745" s="311"/>
      <c r="OEO745" s="311"/>
      <c r="OEP745" s="311"/>
      <c r="OEQ745" s="311"/>
      <c r="OER745" s="311"/>
      <c r="OES745" s="311"/>
      <c r="OET745" s="311"/>
      <c r="OEU745" s="311"/>
      <c r="OEV745" s="311"/>
      <c r="OEW745" s="311"/>
      <c r="OEX745" s="311"/>
      <c r="OEY745" s="311"/>
      <c r="OEZ745" s="311"/>
      <c r="OFA745" s="311"/>
      <c r="OFB745" s="311"/>
      <c r="OFC745" s="311"/>
      <c r="OFD745" s="311"/>
      <c r="OFE745" s="311"/>
      <c r="OFF745" s="311"/>
      <c r="OFG745" s="311"/>
      <c r="OFH745" s="311"/>
      <c r="OFI745" s="311"/>
      <c r="OFJ745" s="311"/>
      <c r="OFK745" s="311"/>
      <c r="OFL745" s="311"/>
      <c r="OFM745" s="311"/>
      <c r="OFN745" s="311"/>
      <c r="OFO745" s="311"/>
      <c r="OFP745" s="311"/>
      <c r="OFQ745" s="311"/>
      <c r="OFR745" s="311"/>
      <c r="OFS745" s="311"/>
      <c r="OFT745" s="311"/>
      <c r="OFU745" s="311"/>
      <c r="OFV745" s="311"/>
      <c r="OFW745" s="311"/>
      <c r="OFX745" s="311"/>
      <c r="OFY745" s="311"/>
      <c r="OFZ745" s="311"/>
      <c r="OGA745" s="311"/>
      <c r="OGB745" s="311"/>
      <c r="OGC745" s="311"/>
      <c r="OGD745" s="311"/>
      <c r="OGE745" s="311"/>
      <c r="OGF745" s="311"/>
      <c r="OGG745" s="311"/>
      <c r="OGH745" s="311"/>
      <c r="OGI745" s="311"/>
      <c r="OGJ745" s="311"/>
      <c r="OGK745" s="311"/>
      <c r="OGL745" s="311"/>
      <c r="OGM745" s="311"/>
      <c r="OGN745" s="311"/>
      <c r="OGO745" s="311"/>
      <c r="OGP745" s="311"/>
      <c r="OGQ745" s="311"/>
      <c r="OGR745" s="311"/>
      <c r="OGS745" s="311"/>
      <c r="OGT745" s="311"/>
      <c r="OGU745" s="311"/>
      <c r="OGV745" s="311"/>
      <c r="OGW745" s="311"/>
      <c r="OGX745" s="311"/>
      <c r="OGY745" s="311"/>
      <c r="OGZ745" s="311"/>
      <c r="OHA745" s="311"/>
      <c r="OHB745" s="311"/>
      <c r="OHC745" s="311"/>
      <c r="OHD745" s="311"/>
      <c r="OHE745" s="311"/>
      <c r="OHF745" s="311"/>
      <c r="OHG745" s="311"/>
      <c r="OHH745" s="311"/>
      <c r="OHI745" s="311"/>
      <c r="OHJ745" s="311"/>
      <c r="OHK745" s="311"/>
      <c r="OHL745" s="311"/>
      <c r="OHM745" s="311"/>
      <c r="OHN745" s="311"/>
      <c r="OHO745" s="311"/>
      <c r="OHP745" s="311"/>
      <c r="OHQ745" s="311"/>
      <c r="OHR745" s="311"/>
      <c r="OHS745" s="311"/>
      <c r="OHT745" s="311"/>
      <c r="OHU745" s="311"/>
      <c r="OHV745" s="311"/>
      <c r="OHW745" s="311"/>
      <c r="OHX745" s="311"/>
      <c r="OHY745" s="311"/>
      <c r="OHZ745" s="311"/>
      <c r="OIA745" s="311"/>
      <c r="OIB745" s="311"/>
      <c r="OIC745" s="311"/>
      <c r="OID745" s="311"/>
      <c r="OIE745" s="311"/>
      <c r="OIF745" s="311"/>
      <c r="OIG745" s="311"/>
      <c r="OIH745" s="311"/>
      <c r="OII745" s="311"/>
      <c r="OIJ745" s="311"/>
      <c r="OIK745" s="311"/>
      <c r="OIL745" s="311"/>
      <c r="OIM745" s="311"/>
      <c r="OIN745" s="311"/>
      <c r="OIO745" s="311"/>
      <c r="OIP745" s="311"/>
      <c r="OIQ745" s="311"/>
      <c r="OIR745" s="311"/>
      <c r="OIS745" s="311"/>
      <c r="OIT745" s="311"/>
      <c r="OIU745" s="311"/>
      <c r="OIV745" s="311"/>
      <c r="OIW745" s="311"/>
      <c r="OIX745" s="311"/>
      <c r="OIY745" s="311"/>
      <c r="OIZ745" s="311"/>
      <c r="OJA745" s="311"/>
      <c r="OJB745" s="311"/>
      <c r="OJC745" s="311"/>
      <c r="OJD745" s="311"/>
      <c r="OJE745" s="311"/>
      <c r="OJF745" s="311"/>
      <c r="OJG745" s="311"/>
      <c r="OJH745" s="311"/>
      <c r="OJI745" s="311"/>
      <c r="OJJ745" s="311"/>
      <c r="OJK745" s="311"/>
      <c r="OJL745" s="311"/>
      <c r="OJM745" s="311"/>
      <c r="OJN745" s="311"/>
      <c r="OJO745" s="311"/>
      <c r="OJP745" s="311"/>
      <c r="OJQ745" s="311"/>
      <c r="OJR745" s="311"/>
      <c r="OJS745" s="311"/>
      <c r="OJT745" s="311"/>
      <c r="OJU745" s="311"/>
      <c r="OJV745" s="311"/>
      <c r="OJW745" s="311"/>
      <c r="OJX745" s="311"/>
      <c r="OJY745" s="311"/>
      <c r="OJZ745" s="311"/>
      <c r="OKA745" s="311"/>
      <c r="OKB745" s="311"/>
      <c r="OKC745" s="311"/>
      <c r="OKD745" s="311"/>
      <c r="OKE745" s="311"/>
      <c r="OKF745" s="311"/>
      <c r="OKG745" s="311"/>
      <c r="OKH745" s="311"/>
      <c r="OKI745" s="311"/>
      <c r="OKJ745" s="311"/>
      <c r="OKK745" s="311"/>
      <c r="OKL745" s="311"/>
      <c r="OKM745" s="311"/>
      <c r="OKN745" s="311"/>
      <c r="OKO745" s="311"/>
      <c r="OKP745" s="311"/>
      <c r="OKQ745" s="311"/>
      <c r="OKR745" s="311"/>
      <c r="OKS745" s="311"/>
      <c r="OKT745" s="311"/>
      <c r="OKU745" s="311"/>
      <c r="OKV745" s="311"/>
      <c r="OKW745" s="311"/>
      <c r="OKX745" s="311"/>
      <c r="OKY745" s="311"/>
      <c r="OKZ745" s="311"/>
      <c r="OLA745" s="311"/>
      <c r="OLB745" s="311"/>
      <c r="OLC745" s="311"/>
      <c r="OLD745" s="311"/>
      <c r="OLE745" s="311"/>
      <c r="OLF745" s="311"/>
      <c r="OLG745" s="311"/>
      <c r="OLH745" s="311"/>
      <c r="OLI745" s="311"/>
      <c r="OLJ745" s="311"/>
      <c r="OLK745" s="311"/>
      <c r="OLL745" s="311"/>
      <c r="OLM745" s="311"/>
      <c r="OLN745" s="311"/>
      <c r="OLO745" s="311"/>
      <c r="OLP745" s="311"/>
      <c r="OLQ745" s="311"/>
      <c r="OLR745" s="311"/>
      <c r="OLS745" s="311"/>
      <c r="OLT745" s="311"/>
      <c r="OLU745" s="311"/>
      <c r="OLV745" s="311"/>
      <c r="OLW745" s="311"/>
      <c r="OLX745" s="311"/>
      <c r="OLY745" s="311"/>
      <c r="OLZ745" s="311"/>
      <c r="OMA745" s="311"/>
      <c r="OMB745" s="311"/>
      <c r="OMC745" s="311"/>
      <c r="OMD745" s="311"/>
      <c r="OME745" s="311"/>
      <c r="OMF745" s="311"/>
      <c r="OMG745" s="311"/>
      <c r="OMH745" s="311"/>
      <c r="OMI745" s="311"/>
      <c r="OMJ745" s="311"/>
      <c r="OMK745" s="311"/>
      <c r="OML745" s="311"/>
      <c r="OMM745" s="311"/>
      <c r="OMN745" s="311"/>
      <c r="OMO745" s="311"/>
      <c r="OMP745" s="311"/>
      <c r="OMQ745" s="311"/>
      <c r="OMR745" s="311"/>
      <c r="OMS745" s="311"/>
      <c r="OMT745" s="311"/>
      <c r="OMU745" s="311"/>
      <c r="OMV745" s="311"/>
      <c r="OMW745" s="311"/>
      <c r="OMX745" s="311"/>
      <c r="OMY745" s="311"/>
      <c r="OMZ745" s="311"/>
      <c r="ONA745" s="311"/>
      <c r="ONB745" s="311"/>
      <c r="ONC745" s="311"/>
      <c r="OND745" s="311"/>
      <c r="ONE745" s="311"/>
      <c r="ONF745" s="311"/>
      <c r="ONG745" s="311"/>
      <c r="ONH745" s="311"/>
      <c r="ONI745" s="311"/>
      <c r="ONJ745" s="311"/>
      <c r="ONK745" s="311"/>
      <c r="ONL745" s="311"/>
      <c r="ONM745" s="311"/>
      <c r="ONN745" s="311"/>
      <c r="ONO745" s="311"/>
      <c r="ONP745" s="311"/>
      <c r="ONQ745" s="311"/>
      <c r="ONR745" s="311"/>
      <c r="ONS745" s="311"/>
      <c r="ONT745" s="311"/>
      <c r="ONU745" s="311"/>
      <c r="ONV745" s="311"/>
      <c r="ONW745" s="311"/>
      <c r="ONX745" s="311"/>
      <c r="ONY745" s="311"/>
      <c r="ONZ745" s="311"/>
      <c r="OOA745" s="311"/>
      <c r="OOB745" s="311"/>
      <c r="OOC745" s="311"/>
      <c r="OOD745" s="311"/>
      <c r="OOE745" s="311"/>
      <c r="OOF745" s="311"/>
      <c r="OOG745" s="311"/>
      <c r="OOH745" s="311"/>
      <c r="OOI745" s="311"/>
      <c r="OOJ745" s="311"/>
      <c r="OOK745" s="311"/>
      <c r="OOL745" s="311"/>
      <c r="OOM745" s="311"/>
      <c r="OON745" s="311"/>
      <c r="OOO745" s="311"/>
      <c r="OOP745" s="311"/>
      <c r="OOQ745" s="311"/>
      <c r="OOR745" s="311"/>
      <c r="OOS745" s="311"/>
      <c r="OOT745" s="311"/>
      <c r="OOU745" s="311"/>
      <c r="OOV745" s="311"/>
      <c r="OOW745" s="311"/>
      <c r="OOX745" s="311"/>
      <c r="OOY745" s="311"/>
      <c r="OOZ745" s="311"/>
      <c r="OPA745" s="311"/>
      <c r="OPB745" s="311"/>
      <c r="OPC745" s="311"/>
      <c r="OPD745" s="311"/>
      <c r="OPE745" s="311"/>
      <c r="OPF745" s="311"/>
      <c r="OPG745" s="311"/>
      <c r="OPH745" s="311"/>
      <c r="OPI745" s="311"/>
      <c r="OPJ745" s="311"/>
      <c r="OPK745" s="311"/>
      <c r="OPL745" s="311"/>
      <c r="OPM745" s="311"/>
      <c r="OPN745" s="311"/>
      <c r="OPO745" s="311"/>
      <c r="OPP745" s="311"/>
      <c r="OPQ745" s="311"/>
      <c r="OPR745" s="311"/>
      <c r="OPS745" s="311"/>
      <c r="OPT745" s="311"/>
      <c r="OPU745" s="311"/>
      <c r="OPV745" s="311"/>
      <c r="OPW745" s="311"/>
      <c r="OPX745" s="311"/>
      <c r="OPY745" s="311"/>
      <c r="OPZ745" s="311"/>
      <c r="OQA745" s="311"/>
      <c r="OQB745" s="311"/>
      <c r="OQC745" s="311"/>
      <c r="OQD745" s="311"/>
      <c r="OQE745" s="311"/>
      <c r="OQF745" s="311"/>
      <c r="OQG745" s="311"/>
      <c r="OQH745" s="311"/>
      <c r="OQI745" s="311"/>
      <c r="OQJ745" s="311"/>
      <c r="OQK745" s="311"/>
      <c r="OQL745" s="311"/>
      <c r="OQM745" s="311"/>
      <c r="OQN745" s="311"/>
      <c r="OQO745" s="311"/>
      <c r="OQP745" s="311"/>
      <c r="OQQ745" s="311"/>
      <c r="OQR745" s="311"/>
      <c r="OQS745" s="311"/>
      <c r="OQT745" s="311"/>
      <c r="OQU745" s="311"/>
      <c r="OQV745" s="311"/>
      <c r="OQW745" s="311"/>
      <c r="OQX745" s="311"/>
      <c r="OQY745" s="311"/>
      <c r="OQZ745" s="311"/>
      <c r="ORA745" s="311"/>
      <c r="ORB745" s="311"/>
      <c r="ORC745" s="311"/>
      <c r="ORD745" s="311"/>
      <c r="ORE745" s="311"/>
      <c r="ORF745" s="311"/>
      <c r="ORG745" s="311"/>
      <c r="ORH745" s="311"/>
      <c r="ORI745" s="311"/>
      <c r="ORJ745" s="311"/>
      <c r="ORK745" s="311"/>
      <c r="ORL745" s="311"/>
      <c r="ORM745" s="311"/>
      <c r="ORN745" s="311"/>
      <c r="ORO745" s="311"/>
      <c r="ORP745" s="311"/>
      <c r="ORQ745" s="311"/>
      <c r="ORR745" s="311"/>
      <c r="ORS745" s="311"/>
      <c r="ORT745" s="311"/>
      <c r="ORU745" s="311"/>
      <c r="ORV745" s="311"/>
      <c r="ORW745" s="311"/>
      <c r="ORX745" s="311"/>
      <c r="ORY745" s="311"/>
      <c r="ORZ745" s="311"/>
      <c r="OSA745" s="311"/>
      <c r="OSB745" s="311"/>
      <c r="OSC745" s="311"/>
      <c r="OSD745" s="311"/>
      <c r="OSE745" s="311"/>
      <c r="OSF745" s="311"/>
      <c r="OSG745" s="311"/>
      <c r="OSH745" s="311"/>
      <c r="OSI745" s="311"/>
      <c r="OSJ745" s="311"/>
      <c r="OSK745" s="311"/>
      <c r="OSL745" s="311"/>
      <c r="OSM745" s="311"/>
      <c r="OSN745" s="311"/>
      <c r="OSO745" s="311"/>
      <c r="OSP745" s="311"/>
      <c r="OSQ745" s="311"/>
      <c r="OSR745" s="311"/>
      <c r="OSS745" s="311"/>
      <c r="OST745" s="311"/>
      <c r="OSU745" s="311"/>
      <c r="OSV745" s="311"/>
      <c r="OSW745" s="311"/>
      <c r="OSX745" s="311"/>
      <c r="OSY745" s="311"/>
      <c r="OSZ745" s="311"/>
      <c r="OTA745" s="311"/>
      <c r="OTB745" s="311"/>
      <c r="OTC745" s="311"/>
      <c r="OTD745" s="311"/>
      <c r="OTE745" s="311"/>
      <c r="OTF745" s="311"/>
      <c r="OTG745" s="311"/>
      <c r="OTH745" s="311"/>
      <c r="OTI745" s="311"/>
      <c r="OTJ745" s="311"/>
      <c r="OTK745" s="311"/>
      <c r="OTL745" s="311"/>
      <c r="OTM745" s="311"/>
      <c r="OTN745" s="311"/>
      <c r="OTO745" s="311"/>
      <c r="OTP745" s="311"/>
      <c r="OTQ745" s="311"/>
      <c r="OTR745" s="311"/>
      <c r="OTS745" s="311"/>
      <c r="OTT745" s="311"/>
      <c r="OTU745" s="311"/>
      <c r="OTV745" s="311"/>
      <c r="OTW745" s="311"/>
      <c r="OTX745" s="311"/>
      <c r="OTY745" s="311"/>
      <c r="OTZ745" s="311"/>
      <c r="OUA745" s="311"/>
      <c r="OUB745" s="311"/>
      <c r="OUC745" s="311"/>
      <c r="OUD745" s="311"/>
      <c r="OUE745" s="311"/>
      <c r="OUF745" s="311"/>
      <c r="OUG745" s="311"/>
      <c r="OUH745" s="311"/>
      <c r="OUI745" s="311"/>
      <c r="OUJ745" s="311"/>
      <c r="OUK745" s="311"/>
      <c r="OUL745" s="311"/>
      <c r="OUM745" s="311"/>
      <c r="OUN745" s="311"/>
      <c r="OUO745" s="311"/>
      <c r="OUP745" s="311"/>
      <c r="OUQ745" s="311"/>
      <c r="OUR745" s="311"/>
      <c r="OUS745" s="311"/>
      <c r="OUT745" s="311"/>
      <c r="OUU745" s="311"/>
      <c r="OUV745" s="311"/>
      <c r="OUW745" s="311"/>
      <c r="OUX745" s="311"/>
      <c r="OUY745" s="311"/>
      <c r="OUZ745" s="311"/>
      <c r="OVA745" s="311"/>
      <c r="OVB745" s="311"/>
      <c r="OVC745" s="311"/>
      <c r="OVD745" s="311"/>
      <c r="OVE745" s="311"/>
      <c r="OVF745" s="311"/>
      <c r="OVG745" s="311"/>
      <c r="OVH745" s="311"/>
      <c r="OVI745" s="311"/>
      <c r="OVJ745" s="311"/>
      <c r="OVK745" s="311"/>
      <c r="OVL745" s="311"/>
      <c r="OVM745" s="311"/>
      <c r="OVN745" s="311"/>
      <c r="OVO745" s="311"/>
      <c r="OVP745" s="311"/>
      <c r="OVQ745" s="311"/>
      <c r="OVR745" s="311"/>
      <c r="OVS745" s="311"/>
      <c r="OVT745" s="311"/>
      <c r="OVU745" s="311"/>
      <c r="OVV745" s="311"/>
      <c r="OVW745" s="311"/>
      <c r="OVX745" s="311"/>
      <c r="OVY745" s="311"/>
      <c r="OVZ745" s="311"/>
      <c r="OWA745" s="311"/>
      <c r="OWB745" s="311"/>
      <c r="OWC745" s="311"/>
      <c r="OWD745" s="311"/>
      <c r="OWE745" s="311"/>
      <c r="OWF745" s="311"/>
      <c r="OWG745" s="311"/>
      <c r="OWH745" s="311"/>
      <c r="OWI745" s="311"/>
      <c r="OWJ745" s="311"/>
      <c r="OWK745" s="311"/>
      <c r="OWL745" s="311"/>
      <c r="OWM745" s="311"/>
      <c r="OWN745" s="311"/>
      <c r="OWO745" s="311"/>
      <c r="OWP745" s="311"/>
      <c r="OWQ745" s="311"/>
      <c r="OWR745" s="311"/>
      <c r="OWS745" s="311"/>
      <c r="OWT745" s="311"/>
      <c r="OWU745" s="311"/>
      <c r="OWV745" s="311"/>
      <c r="OWW745" s="311"/>
      <c r="OWX745" s="311"/>
      <c r="OWY745" s="311"/>
      <c r="OWZ745" s="311"/>
      <c r="OXA745" s="311"/>
      <c r="OXB745" s="311"/>
      <c r="OXC745" s="311"/>
      <c r="OXD745" s="311"/>
      <c r="OXE745" s="311"/>
      <c r="OXF745" s="311"/>
      <c r="OXG745" s="311"/>
      <c r="OXH745" s="311"/>
      <c r="OXI745" s="311"/>
      <c r="OXJ745" s="311"/>
      <c r="OXK745" s="311"/>
      <c r="OXL745" s="311"/>
      <c r="OXM745" s="311"/>
      <c r="OXN745" s="311"/>
      <c r="OXO745" s="311"/>
      <c r="OXP745" s="311"/>
      <c r="OXQ745" s="311"/>
      <c r="OXR745" s="311"/>
      <c r="OXS745" s="311"/>
      <c r="OXT745" s="311"/>
      <c r="OXU745" s="311"/>
      <c r="OXV745" s="311"/>
      <c r="OXW745" s="311"/>
      <c r="OXX745" s="311"/>
      <c r="OXY745" s="311"/>
      <c r="OXZ745" s="311"/>
      <c r="OYA745" s="311"/>
      <c r="OYB745" s="311"/>
      <c r="OYC745" s="311"/>
      <c r="OYD745" s="311"/>
      <c r="OYE745" s="311"/>
      <c r="OYF745" s="311"/>
      <c r="OYG745" s="311"/>
      <c r="OYH745" s="311"/>
      <c r="OYI745" s="311"/>
      <c r="OYJ745" s="311"/>
      <c r="OYK745" s="311"/>
      <c r="OYL745" s="311"/>
      <c r="OYM745" s="311"/>
      <c r="OYN745" s="311"/>
      <c r="OYO745" s="311"/>
      <c r="OYP745" s="311"/>
      <c r="OYQ745" s="311"/>
      <c r="OYR745" s="311"/>
      <c r="OYS745" s="311"/>
      <c r="OYT745" s="311"/>
      <c r="OYU745" s="311"/>
      <c r="OYV745" s="311"/>
      <c r="OYW745" s="311"/>
      <c r="OYX745" s="311"/>
      <c r="OYY745" s="311"/>
      <c r="OYZ745" s="311"/>
      <c r="OZA745" s="311"/>
      <c r="OZB745" s="311"/>
      <c r="OZC745" s="311"/>
      <c r="OZD745" s="311"/>
      <c r="OZE745" s="311"/>
      <c r="OZF745" s="311"/>
      <c r="OZG745" s="311"/>
      <c r="OZH745" s="311"/>
      <c r="OZI745" s="311"/>
      <c r="OZJ745" s="311"/>
      <c r="OZK745" s="311"/>
      <c r="OZL745" s="311"/>
      <c r="OZM745" s="311"/>
      <c r="OZN745" s="311"/>
      <c r="OZO745" s="311"/>
      <c r="OZP745" s="311"/>
      <c r="OZQ745" s="311"/>
      <c r="OZR745" s="311"/>
      <c r="OZS745" s="311"/>
      <c r="OZT745" s="311"/>
      <c r="OZU745" s="311"/>
      <c r="OZV745" s="311"/>
      <c r="OZW745" s="311"/>
      <c r="OZX745" s="311"/>
      <c r="OZY745" s="311"/>
      <c r="OZZ745" s="311"/>
      <c r="PAA745" s="311"/>
      <c r="PAB745" s="311"/>
      <c r="PAC745" s="311"/>
      <c r="PAD745" s="311"/>
      <c r="PAE745" s="311"/>
      <c r="PAF745" s="311"/>
      <c r="PAG745" s="311"/>
      <c r="PAH745" s="311"/>
      <c r="PAI745" s="311"/>
      <c r="PAJ745" s="311"/>
      <c r="PAK745" s="311"/>
      <c r="PAL745" s="311"/>
      <c r="PAM745" s="311"/>
      <c r="PAN745" s="311"/>
      <c r="PAO745" s="311"/>
      <c r="PAP745" s="311"/>
      <c r="PAQ745" s="311"/>
      <c r="PAR745" s="311"/>
      <c r="PAS745" s="311"/>
      <c r="PAT745" s="311"/>
      <c r="PAU745" s="311"/>
      <c r="PAV745" s="311"/>
      <c r="PAW745" s="311"/>
      <c r="PAX745" s="311"/>
      <c r="PAY745" s="311"/>
      <c r="PAZ745" s="311"/>
      <c r="PBA745" s="311"/>
      <c r="PBB745" s="311"/>
      <c r="PBC745" s="311"/>
      <c r="PBD745" s="311"/>
      <c r="PBE745" s="311"/>
      <c r="PBF745" s="311"/>
      <c r="PBG745" s="311"/>
      <c r="PBH745" s="311"/>
      <c r="PBI745" s="311"/>
      <c r="PBJ745" s="311"/>
      <c r="PBK745" s="311"/>
      <c r="PBL745" s="311"/>
      <c r="PBM745" s="311"/>
      <c r="PBN745" s="311"/>
      <c r="PBO745" s="311"/>
      <c r="PBP745" s="311"/>
      <c r="PBQ745" s="311"/>
      <c r="PBR745" s="311"/>
      <c r="PBS745" s="311"/>
      <c r="PBT745" s="311"/>
      <c r="PBU745" s="311"/>
      <c r="PBV745" s="311"/>
      <c r="PBW745" s="311"/>
      <c r="PBX745" s="311"/>
      <c r="PBY745" s="311"/>
      <c r="PBZ745" s="311"/>
      <c r="PCA745" s="311"/>
      <c r="PCB745" s="311"/>
      <c r="PCC745" s="311"/>
      <c r="PCD745" s="311"/>
      <c r="PCE745" s="311"/>
      <c r="PCF745" s="311"/>
      <c r="PCG745" s="311"/>
      <c r="PCH745" s="311"/>
      <c r="PCI745" s="311"/>
      <c r="PCJ745" s="311"/>
      <c r="PCK745" s="311"/>
      <c r="PCL745" s="311"/>
      <c r="PCM745" s="311"/>
      <c r="PCN745" s="311"/>
      <c r="PCO745" s="311"/>
      <c r="PCP745" s="311"/>
      <c r="PCQ745" s="311"/>
      <c r="PCR745" s="311"/>
      <c r="PCS745" s="311"/>
      <c r="PCT745" s="311"/>
      <c r="PCU745" s="311"/>
      <c r="PCV745" s="311"/>
      <c r="PCW745" s="311"/>
      <c r="PCX745" s="311"/>
      <c r="PCY745" s="311"/>
      <c r="PCZ745" s="311"/>
      <c r="PDA745" s="311"/>
      <c r="PDB745" s="311"/>
      <c r="PDC745" s="311"/>
      <c r="PDD745" s="311"/>
      <c r="PDE745" s="311"/>
      <c r="PDF745" s="311"/>
      <c r="PDG745" s="311"/>
      <c r="PDH745" s="311"/>
      <c r="PDI745" s="311"/>
      <c r="PDJ745" s="311"/>
      <c r="PDK745" s="311"/>
      <c r="PDL745" s="311"/>
      <c r="PDM745" s="311"/>
      <c r="PDN745" s="311"/>
      <c r="PDO745" s="311"/>
      <c r="PDP745" s="311"/>
      <c r="PDQ745" s="311"/>
      <c r="PDR745" s="311"/>
      <c r="PDS745" s="311"/>
      <c r="PDT745" s="311"/>
      <c r="PDU745" s="311"/>
      <c r="PDV745" s="311"/>
      <c r="PDW745" s="311"/>
      <c r="PDX745" s="311"/>
      <c r="PDY745" s="311"/>
      <c r="PDZ745" s="311"/>
      <c r="PEA745" s="311"/>
      <c r="PEB745" s="311"/>
      <c r="PEC745" s="311"/>
      <c r="PED745" s="311"/>
      <c r="PEE745" s="311"/>
      <c r="PEF745" s="311"/>
      <c r="PEG745" s="311"/>
      <c r="PEH745" s="311"/>
      <c r="PEI745" s="311"/>
      <c r="PEJ745" s="311"/>
      <c r="PEK745" s="311"/>
      <c r="PEL745" s="311"/>
      <c r="PEM745" s="311"/>
      <c r="PEN745" s="311"/>
      <c r="PEO745" s="311"/>
      <c r="PEP745" s="311"/>
      <c r="PEQ745" s="311"/>
      <c r="PER745" s="311"/>
      <c r="PES745" s="311"/>
      <c r="PET745" s="311"/>
      <c r="PEU745" s="311"/>
      <c r="PEV745" s="311"/>
      <c r="PEW745" s="311"/>
      <c r="PEX745" s="311"/>
      <c r="PEY745" s="311"/>
      <c r="PEZ745" s="311"/>
      <c r="PFA745" s="311"/>
      <c r="PFB745" s="311"/>
      <c r="PFC745" s="311"/>
      <c r="PFD745" s="311"/>
      <c r="PFE745" s="311"/>
      <c r="PFF745" s="311"/>
      <c r="PFG745" s="311"/>
      <c r="PFH745" s="311"/>
      <c r="PFI745" s="311"/>
      <c r="PFJ745" s="311"/>
      <c r="PFK745" s="311"/>
      <c r="PFL745" s="311"/>
      <c r="PFM745" s="311"/>
      <c r="PFN745" s="311"/>
      <c r="PFO745" s="311"/>
      <c r="PFP745" s="311"/>
      <c r="PFQ745" s="311"/>
      <c r="PFR745" s="311"/>
      <c r="PFS745" s="311"/>
      <c r="PFT745" s="311"/>
      <c r="PFU745" s="311"/>
      <c r="PFV745" s="311"/>
      <c r="PFW745" s="311"/>
      <c r="PFX745" s="311"/>
      <c r="PFY745" s="311"/>
      <c r="PFZ745" s="311"/>
      <c r="PGA745" s="311"/>
      <c r="PGB745" s="311"/>
      <c r="PGC745" s="311"/>
      <c r="PGD745" s="311"/>
      <c r="PGE745" s="311"/>
      <c r="PGF745" s="311"/>
      <c r="PGG745" s="311"/>
      <c r="PGH745" s="311"/>
      <c r="PGI745" s="311"/>
      <c r="PGJ745" s="311"/>
      <c r="PGK745" s="311"/>
      <c r="PGL745" s="311"/>
      <c r="PGM745" s="311"/>
      <c r="PGN745" s="311"/>
      <c r="PGO745" s="311"/>
      <c r="PGP745" s="311"/>
      <c r="PGQ745" s="311"/>
      <c r="PGR745" s="311"/>
      <c r="PGS745" s="311"/>
      <c r="PGT745" s="311"/>
      <c r="PGU745" s="311"/>
      <c r="PGV745" s="311"/>
      <c r="PGW745" s="311"/>
      <c r="PGX745" s="311"/>
      <c r="PGY745" s="311"/>
      <c r="PGZ745" s="311"/>
      <c r="PHA745" s="311"/>
      <c r="PHB745" s="311"/>
      <c r="PHC745" s="311"/>
      <c r="PHD745" s="311"/>
      <c r="PHE745" s="311"/>
      <c r="PHF745" s="311"/>
      <c r="PHG745" s="311"/>
      <c r="PHH745" s="311"/>
      <c r="PHI745" s="311"/>
      <c r="PHJ745" s="311"/>
      <c r="PHK745" s="311"/>
      <c r="PHL745" s="311"/>
      <c r="PHM745" s="311"/>
      <c r="PHN745" s="311"/>
      <c r="PHO745" s="311"/>
      <c r="PHP745" s="311"/>
      <c r="PHQ745" s="311"/>
      <c r="PHR745" s="311"/>
      <c r="PHS745" s="311"/>
      <c r="PHT745" s="311"/>
      <c r="PHU745" s="311"/>
      <c r="PHV745" s="311"/>
      <c r="PHW745" s="311"/>
      <c r="PHX745" s="311"/>
      <c r="PHY745" s="311"/>
      <c r="PHZ745" s="311"/>
      <c r="PIA745" s="311"/>
      <c r="PIB745" s="311"/>
      <c r="PIC745" s="311"/>
      <c r="PID745" s="311"/>
      <c r="PIE745" s="311"/>
      <c r="PIF745" s="311"/>
      <c r="PIG745" s="311"/>
      <c r="PIH745" s="311"/>
      <c r="PII745" s="311"/>
      <c r="PIJ745" s="311"/>
      <c r="PIK745" s="311"/>
      <c r="PIL745" s="311"/>
      <c r="PIM745" s="311"/>
      <c r="PIN745" s="311"/>
      <c r="PIO745" s="311"/>
      <c r="PIP745" s="311"/>
      <c r="PIQ745" s="311"/>
      <c r="PIR745" s="311"/>
      <c r="PIS745" s="311"/>
      <c r="PIT745" s="311"/>
      <c r="PIU745" s="311"/>
      <c r="PIV745" s="311"/>
      <c r="PIW745" s="311"/>
      <c r="PIX745" s="311"/>
      <c r="PIY745" s="311"/>
      <c r="PIZ745" s="311"/>
      <c r="PJA745" s="311"/>
      <c r="PJB745" s="311"/>
      <c r="PJC745" s="311"/>
      <c r="PJD745" s="311"/>
      <c r="PJE745" s="311"/>
      <c r="PJF745" s="311"/>
      <c r="PJG745" s="311"/>
      <c r="PJH745" s="311"/>
      <c r="PJI745" s="311"/>
      <c r="PJJ745" s="311"/>
      <c r="PJK745" s="311"/>
      <c r="PJL745" s="311"/>
      <c r="PJM745" s="311"/>
      <c r="PJN745" s="311"/>
      <c r="PJO745" s="311"/>
      <c r="PJP745" s="311"/>
      <c r="PJQ745" s="311"/>
      <c r="PJR745" s="311"/>
      <c r="PJS745" s="311"/>
      <c r="PJT745" s="311"/>
      <c r="PJU745" s="311"/>
      <c r="PJV745" s="311"/>
      <c r="PJW745" s="311"/>
      <c r="PJX745" s="311"/>
      <c r="PJY745" s="311"/>
      <c r="PJZ745" s="311"/>
      <c r="PKA745" s="311"/>
      <c r="PKB745" s="311"/>
      <c r="PKC745" s="311"/>
      <c r="PKD745" s="311"/>
      <c r="PKE745" s="311"/>
      <c r="PKF745" s="311"/>
      <c r="PKG745" s="311"/>
      <c r="PKH745" s="311"/>
      <c r="PKI745" s="311"/>
      <c r="PKJ745" s="311"/>
      <c r="PKK745" s="311"/>
      <c r="PKL745" s="311"/>
      <c r="PKM745" s="311"/>
      <c r="PKN745" s="311"/>
      <c r="PKO745" s="311"/>
      <c r="PKP745" s="311"/>
      <c r="PKQ745" s="311"/>
      <c r="PKR745" s="311"/>
      <c r="PKS745" s="311"/>
      <c r="PKT745" s="311"/>
      <c r="PKU745" s="311"/>
      <c r="PKV745" s="311"/>
      <c r="PKW745" s="311"/>
      <c r="PKX745" s="311"/>
      <c r="PKY745" s="311"/>
      <c r="PKZ745" s="311"/>
      <c r="PLA745" s="311"/>
      <c r="PLB745" s="311"/>
      <c r="PLC745" s="311"/>
      <c r="PLD745" s="311"/>
      <c r="PLE745" s="311"/>
      <c r="PLF745" s="311"/>
      <c r="PLG745" s="311"/>
      <c r="PLH745" s="311"/>
      <c r="PLI745" s="311"/>
      <c r="PLJ745" s="311"/>
      <c r="PLK745" s="311"/>
      <c r="PLL745" s="311"/>
      <c r="PLM745" s="311"/>
      <c r="PLN745" s="311"/>
      <c r="PLO745" s="311"/>
      <c r="PLP745" s="311"/>
      <c r="PLQ745" s="311"/>
      <c r="PLR745" s="311"/>
      <c r="PLS745" s="311"/>
      <c r="PLT745" s="311"/>
      <c r="PLU745" s="311"/>
      <c r="PLV745" s="311"/>
      <c r="PLW745" s="311"/>
      <c r="PLX745" s="311"/>
      <c r="PLY745" s="311"/>
      <c r="PLZ745" s="311"/>
      <c r="PMA745" s="311"/>
      <c r="PMB745" s="311"/>
      <c r="PMC745" s="311"/>
      <c r="PMD745" s="311"/>
      <c r="PME745" s="311"/>
      <c r="PMF745" s="311"/>
      <c r="PMG745" s="311"/>
      <c r="PMH745" s="311"/>
      <c r="PMI745" s="311"/>
      <c r="PMJ745" s="311"/>
      <c r="PMK745" s="311"/>
      <c r="PML745" s="311"/>
      <c r="PMM745" s="311"/>
      <c r="PMN745" s="311"/>
      <c r="PMO745" s="311"/>
      <c r="PMP745" s="311"/>
      <c r="PMQ745" s="311"/>
      <c r="PMR745" s="311"/>
      <c r="PMS745" s="311"/>
      <c r="PMT745" s="311"/>
      <c r="PMU745" s="311"/>
      <c r="PMV745" s="311"/>
      <c r="PMW745" s="311"/>
      <c r="PMX745" s="311"/>
      <c r="PMY745" s="311"/>
      <c r="PMZ745" s="311"/>
      <c r="PNA745" s="311"/>
      <c r="PNB745" s="311"/>
      <c r="PNC745" s="311"/>
      <c r="PND745" s="311"/>
      <c r="PNE745" s="311"/>
      <c r="PNF745" s="311"/>
      <c r="PNG745" s="311"/>
      <c r="PNH745" s="311"/>
      <c r="PNI745" s="311"/>
      <c r="PNJ745" s="311"/>
      <c r="PNK745" s="311"/>
      <c r="PNL745" s="311"/>
      <c r="PNM745" s="311"/>
      <c r="PNN745" s="311"/>
      <c r="PNO745" s="311"/>
      <c r="PNP745" s="311"/>
      <c r="PNQ745" s="311"/>
      <c r="PNR745" s="311"/>
      <c r="PNS745" s="311"/>
      <c r="PNT745" s="311"/>
      <c r="PNU745" s="311"/>
      <c r="PNV745" s="311"/>
      <c r="PNW745" s="311"/>
      <c r="PNX745" s="311"/>
      <c r="PNY745" s="311"/>
      <c r="PNZ745" s="311"/>
      <c r="POA745" s="311"/>
      <c r="POB745" s="311"/>
      <c r="POC745" s="311"/>
      <c r="POD745" s="311"/>
      <c r="POE745" s="311"/>
      <c r="POF745" s="311"/>
      <c r="POG745" s="311"/>
      <c r="POH745" s="311"/>
      <c r="POI745" s="311"/>
      <c r="POJ745" s="311"/>
      <c r="POK745" s="311"/>
      <c r="POL745" s="311"/>
      <c r="POM745" s="311"/>
      <c r="PON745" s="311"/>
      <c r="POO745" s="311"/>
      <c r="POP745" s="311"/>
      <c r="POQ745" s="311"/>
      <c r="POR745" s="311"/>
      <c r="POS745" s="311"/>
      <c r="POT745" s="311"/>
      <c r="POU745" s="311"/>
      <c r="POV745" s="311"/>
      <c r="POW745" s="311"/>
      <c r="POX745" s="311"/>
      <c r="POY745" s="311"/>
      <c r="POZ745" s="311"/>
      <c r="PPA745" s="311"/>
      <c r="PPB745" s="311"/>
      <c r="PPC745" s="311"/>
      <c r="PPD745" s="311"/>
      <c r="PPE745" s="311"/>
      <c r="PPF745" s="311"/>
      <c r="PPG745" s="311"/>
      <c r="PPH745" s="311"/>
      <c r="PPI745" s="311"/>
      <c r="PPJ745" s="311"/>
      <c r="PPK745" s="311"/>
      <c r="PPL745" s="311"/>
      <c r="PPM745" s="311"/>
      <c r="PPN745" s="311"/>
      <c r="PPO745" s="311"/>
      <c r="PPP745" s="311"/>
      <c r="PPQ745" s="311"/>
      <c r="PPR745" s="311"/>
      <c r="PPS745" s="311"/>
      <c r="PPT745" s="311"/>
      <c r="PPU745" s="311"/>
      <c r="PPV745" s="311"/>
      <c r="PPW745" s="311"/>
      <c r="PPX745" s="311"/>
      <c r="PPY745" s="311"/>
      <c r="PPZ745" s="311"/>
      <c r="PQA745" s="311"/>
      <c r="PQB745" s="311"/>
      <c r="PQC745" s="311"/>
      <c r="PQD745" s="311"/>
      <c r="PQE745" s="311"/>
      <c r="PQF745" s="311"/>
      <c r="PQG745" s="311"/>
      <c r="PQH745" s="311"/>
      <c r="PQI745" s="311"/>
      <c r="PQJ745" s="311"/>
      <c r="PQK745" s="311"/>
      <c r="PQL745" s="311"/>
      <c r="PQM745" s="311"/>
      <c r="PQN745" s="311"/>
      <c r="PQO745" s="311"/>
      <c r="PQP745" s="311"/>
      <c r="PQQ745" s="311"/>
      <c r="PQR745" s="311"/>
      <c r="PQS745" s="311"/>
      <c r="PQT745" s="311"/>
      <c r="PQU745" s="311"/>
      <c r="PQV745" s="311"/>
      <c r="PQW745" s="311"/>
      <c r="PQX745" s="311"/>
      <c r="PQY745" s="311"/>
      <c r="PQZ745" s="311"/>
      <c r="PRA745" s="311"/>
      <c r="PRB745" s="311"/>
      <c r="PRC745" s="311"/>
      <c r="PRD745" s="311"/>
      <c r="PRE745" s="311"/>
      <c r="PRF745" s="311"/>
      <c r="PRG745" s="311"/>
      <c r="PRH745" s="311"/>
      <c r="PRI745" s="311"/>
      <c r="PRJ745" s="311"/>
      <c r="PRK745" s="311"/>
      <c r="PRL745" s="311"/>
      <c r="PRM745" s="311"/>
      <c r="PRN745" s="311"/>
      <c r="PRO745" s="311"/>
      <c r="PRP745" s="311"/>
      <c r="PRQ745" s="311"/>
      <c r="PRR745" s="311"/>
      <c r="PRS745" s="311"/>
      <c r="PRT745" s="311"/>
      <c r="PRU745" s="311"/>
      <c r="PRV745" s="311"/>
      <c r="PRW745" s="311"/>
      <c r="PRX745" s="311"/>
      <c r="PRY745" s="311"/>
      <c r="PRZ745" s="311"/>
      <c r="PSA745" s="311"/>
      <c r="PSB745" s="311"/>
      <c r="PSC745" s="311"/>
      <c r="PSD745" s="311"/>
      <c r="PSE745" s="311"/>
      <c r="PSF745" s="311"/>
      <c r="PSG745" s="311"/>
      <c r="PSH745" s="311"/>
      <c r="PSI745" s="311"/>
      <c r="PSJ745" s="311"/>
      <c r="PSK745" s="311"/>
      <c r="PSL745" s="311"/>
      <c r="PSM745" s="311"/>
      <c r="PSN745" s="311"/>
      <c r="PSO745" s="311"/>
      <c r="PSP745" s="311"/>
      <c r="PSQ745" s="311"/>
      <c r="PSR745" s="311"/>
      <c r="PSS745" s="311"/>
      <c r="PST745" s="311"/>
      <c r="PSU745" s="311"/>
      <c r="PSV745" s="311"/>
      <c r="PSW745" s="311"/>
      <c r="PSX745" s="311"/>
      <c r="PSY745" s="311"/>
      <c r="PSZ745" s="311"/>
      <c r="PTA745" s="311"/>
      <c r="PTB745" s="311"/>
      <c r="PTC745" s="311"/>
      <c r="PTD745" s="311"/>
      <c r="PTE745" s="311"/>
      <c r="PTF745" s="311"/>
      <c r="PTG745" s="311"/>
      <c r="PTH745" s="311"/>
      <c r="PTI745" s="311"/>
      <c r="PTJ745" s="311"/>
      <c r="PTK745" s="311"/>
      <c r="PTL745" s="311"/>
      <c r="PTM745" s="311"/>
      <c r="PTN745" s="311"/>
      <c r="PTO745" s="311"/>
      <c r="PTP745" s="311"/>
      <c r="PTQ745" s="311"/>
      <c r="PTR745" s="311"/>
      <c r="PTS745" s="311"/>
      <c r="PTT745" s="311"/>
      <c r="PTU745" s="311"/>
      <c r="PTV745" s="311"/>
      <c r="PTW745" s="311"/>
      <c r="PTX745" s="311"/>
      <c r="PTY745" s="311"/>
      <c r="PTZ745" s="311"/>
      <c r="PUA745" s="311"/>
      <c r="PUB745" s="311"/>
      <c r="PUC745" s="311"/>
      <c r="PUD745" s="311"/>
      <c r="PUE745" s="311"/>
      <c r="PUF745" s="311"/>
      <c r="PUG745" s="311"/>
      <c r="PUH745" s="311"/>
      <c r="PUI745" s="311"/>
      <c r="PUJ745" s="311"/>
      <c r="PUK745" s="311"/>
      <c r="PUL745" s="311"/>
      <c r="PUM745" s="311"/>
      <c r="PUN745" s="311"/>
      <c r="PUO745" s="311"/>
      <c r="PUP745" s="311"/>
      <c r="PUQ745" s="311"/>
      <c r="PUR745" s="311"/>
      <c r="PUS745" s="311"/>
      <c r="PUT745" s="311"/>
      <c r="PUU745" s="311"/>
      <c r="PUV745" s="311"/>
      <c r="PUW745" s="311"/>
      <c r="PUX745" s="311"/>
      <c r="PUY745" s="311"/>
      <c r="PUZ745" s="311"/>
      <c r="PVA745" s="311"/>
      <c r="PVB745" s="311"/>
      <c r="PVC745" s="311"/>
      <c r="PVD745" s="311"/>
      <c r="PVE745" s="311"/>
      <c r="PVF745" s="311"/>
      <c r="PVG745" s="311"/>
      <c r="PVH745" s="311"/>
      <c r="PVI745" s="311"/>
      <c r="PVJ745" s="311"/>
      <c r="PVK745" s="311"/>
      <c r="PVL745" s="311"/>
      <c r="PVM745" s="311"/>
      <c r="PVN745" s="311"/>
      <c r="PVO745" s="311"/>
      <c r="PVP745" s="311"/>
      <c r="PVQ745" s="311"/>
      <c r="PVR745" s="311"/>
      <c r="PVS745" s="311"/>
      <c r="PVT745" s="311"/>
      <c r="PVU745" s="311"/>
      <c r="PVV745" s="311"/>
      <c r="PVW745" s="311"/>
      <c r="PVX745" s="311"/>
      <c r="PVY745" s="311"/>
      <c r="PVZ745" s="311"/>
      <c r="PWA745" s="311"/>
      <c r="PWB745" s="311"/>
      <c r="PWC745" s="311"/>
      <c r="PWD745" s="311"/>
      <c r="PWE745" s="311"/>
      <c r="PWF745" s="311"/>
      <c r="PWG745" s="311"/>
      <c r="PWH745" s="311"/>
      <c r="PWI745" s="311"/>
      <c r="PWJ745" s="311"/>
      <c r="PWK745" s="311"/>
      <c r="PWL745" s="311"/>
      <c r="PWM745" s="311"/>
      <c r="PWN745" s="311"/>
      <c r="PWO745" s="311"/>
      <c r="PWP745" s="311"/>
      <c r="PWQ745" s="311"/>
      <c r="PWR745" s="311"/>
      <c r="PWS745" s="311"/>
      <c r="PWT745" s="311"/>
      <c r="PWU745" s="311"/>
      <c r="PWV745" s="311"/>
      <c r="PWW745" s="311"/>
      <c r="PWX745" s="311"/>
      <c r="PWY745" s="311"/>
      <c r="PWZ745" s="311"/>
      <c r="PXA745" s="311"/>
      <c r="PXB745" s="311"/>
      <c r="PXC745" s="311"/>
      <c r="PXD745" s="311"/>
      <c r="PXE745" s="311"/>
      <c r="PXF745" s="311"/>
      <c r="PXG745" s="311"/>
      <c r="PXH745" s="311"/>
      <c r="PXI745" s="311"/>
      <c r="PXJ745" s="311"/>
      <c r="PXK745" s="311"/>
      <c r="PXL745" s="311"/>
      <c r="PXM745" s="311"/>
      <c r="PXN745" s="311"/>
      <c r="PXO745" s="311"/>
      <c r="PXP745" s="311"/>
      <c r="PXQ745" s="311"/>
      <c r="PXR745" s="311"/>
      <c r="PXS745" s="311"/>
      <c r="PXT745" s="311"/>
      <c r="PXU745" s="311"/>
      <c r="PXV745" s="311"/>
      <c r="PXW745" s="311"/>
      <c r="PXX745" s="311"/>
      <c r="PXY745" s="311"/>
      <c r="PXZ745" s="311"/>
      <c r="PYA745" s="311"/>
      <c r="PYB745" s="311"/>
      <c r="PYC745" s="311"/>
      <c r="PYD745" s="311"/>
      <c r="PYE745" s="311"/>
      <c r="PYF745" s="311"/>
      <c r="PYG745" s="311"/>
      <c r="PYH745" s="311"/>
      <c r="PYI745" s="311"/>
      <c r="PYJ745" s="311"/>
      <c r="PYK745" s="311"/>
      <c r="PYL745" s="311"/>
      <c r="PYM745" s="311"/>
      <c r="PYN745" s="311"/>
      <c r="PYO745" s="311"/>
      <c r="PYP745" s="311"/>
      <c r="PYQ745" s="311"/>
      <c r="PYR745" s="311"/>
      <c r="PYS745" s="311"/>
      <c r="PYT745" s="311"/>
      <c r="PYU745" s="311"/>
      <c r="PYV745" s="311"/>
      <c r="PYW745" s="311"/>
      <c r="PYX745" s="311"/>
      <c r="PYY745" s="311"/>
      <c r="PYZ745" s="311"/>
      <c r="PZA745" s="311"/>
      <c r="PZB745" s="311"/>
      <c r="PZC745" s="311"/>
      <c r="PZD745" s="311"/>
      <c r="PZE745" s="311"/>
      <c r="PZF745" s="311"/>
      <c r="PZG745" s="311"/>
      <c r="PZH745" s="311"/>
      <c r="PZI745" s="311"/>
      <c r="PZJ745" s="311"/>
      <c r="PZK745" s="311"/>
      <c r="PZL745" s="311"/>
      <c r="PZM745" s="311"/>
      <c r="PZN745" s="311"/>
      <c r="PZO745" s="311"/>
      <c r="PZP745" s="311"/>
      <c r="PZQ745" s="311"/>
      <c r="PZR745" s="311"/>
      <c r="PZS745" s="311"/>
      <c r="PZT745" s="311"/>
      <c r="PZU745" s="311"/>
      <c r="PZV745" s="311"/>
      <c r="PZW745" s="311"/>
      <c r="PZX745" s="311"/>
      <c r="PZY745" s="311"/>
      <c r="PZZ745" s="311"/>
      <c r="QAA745" s="311"/>
      <c r="QAB745" s="311"/>
      <c r="QAC745" s="311"/>
      <c r="QAD745" s="311"/>
      <c r="QAE745" s="311"/>
      <c r="QAF745" s="311"/>
      <c r="QAG745" s="311"/>
      <c r="QAH745" s="311"/>
      <c r="QAI745" s="311"/>
      <c r="QAJ745" s="311"/>
      <c r="QAK745" s="311"/>
      <c r="QAL745" s="311"/>
      <c r="QAM745" s="311"/>
      <c r="QAN745" s="311"/>
      <c r="QAO745" s="311"/>
      <c r="QAP745" s="311"/>
      <c r="QAQ745" s="311"/>
      <c r="QAR745" s="311"/>
      <c r="QAS745" s="311"/>
      <c r="QAT745" s="311"/>
      <c r="QAU745" s="311"/>
      <c r="QAV745" s="311"/>
      <c r="QAW745" s="311"/>
      <c r="QAX745" s="311"/>
      <c r="QAY745" s="311"/>
      <c r="QAZ745" s="311"/>
      <c r="QBA745" s="311"/>
      <c r="QBB745" s="311"/>
      <c r="QBC745" s="311"/>
      <c r="QBD745" s="311"/>
      <c r="QBE745" s="311"/>
      <c r="QBF745" s="311"/>
      <c r="QBG745" s="311"/>
      <c r="QBH745" s="311"/>
      <c r="QBI745" s="311"/>
      <c r="QBJ745" s="311"/>
      <c r="QBK745" s="311"/>
      <c r="QBL745" s="311"/>
      <c r="QBM745" s="311"/>
      <c r="QBN745" s="311"/>
      <c r="QBO745" s="311"/>
      <c r="QBP745" s="311"/>
      <c r="QBQ745" s="311"/>
      <c r="QBR745" s="311"/>
      <c r="QBS745" s="311"/>
      <c r="QBT745" s="311"/>
      <c r="QBU745" s="311"/>
      <c r="QBV745" s="311"/>
      <c r="QBW745" s="311"/>
      <c r="QBX745" s="311"/>
      <c r="QBY745" s="311"/>
      <c r="QBZ745" s="311"/>
      <c r="QCA745" s="311"/>
      <c r="QCB745" s="311"/>
      <c r="QCC745" s="311"/>
      <c r="QCD745" s="311"/>
      <c r="QCE745" s="311"/>
      <c r="QCF745" s="311"/>
      <c r="QCG745" s="311"/>
      <c r="QCH745" s="311"/>
      <c r="QCI745" s="311"/>
      <c r="QCJ745" s="311"/>
      <c r="QCK745" s="311"/>
      <c r="QCL745" s="311"/>
      <c r="QCM745" s="311"/>
      <c r="QCN745" s="311"/>
      <c r="QCO745" s="311"/>
      <c r="QCP745" s="311"/>
      <c r="QCQ745" s="311"/>
      <c r="QCR745" s="311"/>
      <c r="QCS745" s="311"/>
      <c r="QCT745" s="311"/>
      <c r="QCU745" s="311"/>
      <c r="QCV745" s="311"/>
      <c r="QCW745" s="311"/>
      <c r="QCX745" s="311"/>
      <c r="QCY745" s="311"/>
      <c r="QCZ745" s="311"/>
      <c r="QDA745" s="311"/>
      <c r="QDB745" s="311"/>
      <c r="QDC745" s="311"/>
      <c r="QDD745" s="311"/>
      <c r="QDE745" s="311"/>
      <c r="QDF745" s="311"/>
      <c r="QDG745" s="311"/>
      <c r="QDH745" s="311"/>
      <c r="QDI745" s="311"/>
      <c r="QDJ745" s="311"/>
      <c r="QDK745" s="311"/>
      <c r="QDL745" s="311"/>
      <c r="QDM745" s="311"/>
      <c r="QDN745" s="311"/>
      <c r="QDO745" s="311"/>
      <c r="QDP745" s="311"/>
      <c r="QDQ745" s="311"/>
      <c r="QDR745" s="311"/>
      <c r="QDS745" s="311"/>
      <c r="QDT745" s="311"/>
      <c r="QDU745" s="311"/>
      <c r="QDV745" s="311"/>
      <c r="QDW745" s="311"/>
      <c r="QDX745" s="311"/>
      <c r="QDY745" s="311"/>
      <c r="QDZ745" s="311"/>
      <c r="QEA745" s="311"/>
      <c r="QEB745" s="311"/>
      <c r="QEC745" s="311"/>
      <c r="QED745" s="311"/>
      <c r="QEE745" s="311"/>
      <c r="QEF745" s="311"/>
      <c r="QEG745" s="311"/>
      <c r="QEH745" s="311"/>
      <c r="QEI745" s="311"/>
      <c r="QEJ745" s="311"/>
      <c r="QEK745" s="311"/>
      <c r="QEL745" s="311"/>
      <c r="QEM745" s="311"/>
      <c r="QEN745" s="311"/>
      <c r="QEO745" s="311"/>
      <c r="QEP745" s="311"/>
      <c r="QEQ745" s="311"/>
      <c r="QER745" s="311"/>
      <c r="QES745" s="311"/>
      <c r="QET745" s="311"/>
      <c r="QEU745" s="311"/>
      <c r="QEV745" s="311"/>
      <c r="QEW745" s="311"/>
      <c r="QEX745" s="311"/>
      <c r="QEY745" s="311"/>
      <c r="QEZ745" s="311"/>
      <c r="QFA745" s="311"/>
      <c r="QFB745" s="311"/>
      <c r="QFC745" s="311"/>
      <c r="QFD745" s="311"/>
      <c r="QFE745" s="311"/>
      <c r="QFF745" s="311"/>
      <c r="QFG745" s="311"/>
      <c r="QFH745" s="311"/>
      <c r="QFI745" s="311"/>
      <c r="QFJ745" s="311"/>
      <c r="QFK745" s="311"/>
      <c r="QFL745" s="311"/>
      <c r="QFM745" s="311"/>
      <c r="QFN745" s="311"/>
      <c r="QFO745" s="311"/>
      <c r="QFP745" s="311"/>
      <c r="QFQ745" s="311"/>
      <c r="QFR745" s="311"/>
      <c r="QFS745" s="311"/>
      <c r="QFT745" s="311"/>
      <c r="QFU745" s="311"/>
      <c r="QFV745" s="311"/>
      <c r="QFW745" s="311"/>
      <c r="QFX745" s="311"/>
      <c r="QFY745" s="311"/>
      <c r="QFZ745" s="311"/>
      <c r="QGA745" s="311"/>
      <c r="QGB745" s="311"/>
      <c r="QGC745" s="311"/>
      <c r="QGD745" s="311"/>
      <c r="QGE745" s="311"/>
      <c r="QGF745" s="311"/>
      <c r="QGG745" s="311"/>
      <c r="QGH745" s="311"/>
      <c r="QGI745" s="311"/>
      <c r="QGJ745" s="311"/>
      <c r="QGK745" s="311"/>
      <c r="QGL745" s="311"/>
      <c r="QGM745" s="311"/>
      <c r="QGN745" s="311"/>
      <c r="QGO745" s="311"/>
      <c r="QGP745" s="311"/>
      <c r="QGQ745" s="311"/>
      <c r="QGR745" s="311"/>
      <c r="QGS745" s="311"/>
      <c r="QGT745" s="311"/>
      <c r="QGU745" s="311"/>
      <c r="QGV745" s="311"/>
      <c r="QGW745" s="311"/>
      <c r="QGX745" s="311"/>
      <c r="QGY745" s="311"/>
      <c r="QGZ745" s="311"/>
      <c r="QHA745" s="311"/>
      <c r="QHB745" s="311"/>
      <c r="QHC745" s="311"/>
      <c r="QHD745" s="311"/>
      <c r="QHE745" s="311"/>
      <c r="QHF745" s="311"/>
      <c r="QHG745" s="311"/>
      <c r="QHH745" s="311"/>
      <c r="QHI745" s="311"/>
      <c r="QHJ745" s="311"/>
      <c r="QHK745" s="311"/>
      <c r="QHL745" s="311"/>
      <c r="QHM745" s="311"/>
      <c r="QHN745" s="311"/>
      <c r="QHO745" s="311"/>
      <c r="QHP745" s="311"/>
      <c r="QHQ745" s="311"/>
      <c r="QHR745" s="311"/>
      <c r="QHS745" s="311"/>
      <c r="QHT745" s="311"/>
      <c r="QHU745" s="311"/>
      <c r="QHV745" s="311"/>
      <c r="QHW745" s="311"/>
      <c r="QHX745" s="311"/>
      <c r="QHY745" s="311"/>
      <c r="QHZ745" s="311"/>
      <c r="QIA745" s="311"/>
      <c r="QIB745" s="311"/>
      <c r="QIC745" s="311"/>
      <c r="QID745" s="311"/>
      <c r="QIE745" s="311"/>
      <c r="QIF745" s="311"/>
      <c r="QIG745" s="311"/>
      <c r="QIH745" s="311"/>
      <c r="QII745" s="311"/>
      <c r="QIJ745" s="311"/>
      <c r="QIK745" s="311"/>
      <c r="QIL745" s="311"/>
      <c r="QIM745" s="311"/>
      <c r="QIN745" s="311"/>
      <c r="QIO745" s="311"/>
      <c r="QIP745" s="311"/>
      <c r="QIQ745" s="311"/>
      <c r="QIR745" s="311"/>
      <c r="QIS745" s="311"/>
      <c r="QIT745" s="311"/>
      <c r="QIU745" s="311"/>
      <c r="QIV745" s="311"/>
      <c r="QIW745" s="311"/>
      <c r="QIX745" s="311"/>
      <c r="QIY745" s="311"/>
      <c r="QIZ745" s="311"/>
      <c r="QJA745" s="311"/>
      <c r="QJB745" s="311"/>
      <c r="QJC745" s="311"/>
      <c r="QJD745" s="311"/>
      <c r="QJE745" s="311"/>
      <c r="QJF745" s="311"/>
      <c r="QJG745" s="311"/>
      <c r="QJH745" s="311"/>
      <c r="QJI745" s="311"/>
      <c r="QJJ745" s="311"/>
      <c r="QJK745" s="311"/>
      <c r="QJL745" s="311"/>
      <c r="QJM745" s="311"/>
      <c r="QJN745" s="311"/>
      <c r="QJO745" s="311"/>
      <c r="QJP745" s="311"/>
      <c r="QJQ745" s="311"/>
      <c r="QJR745" s="311"/>
      <c r="QJS745" s="311"/>
      <c r="QJT745" s="311"/>
      <c r="QJU745" s="311"/>
      <c r="QJV745" s="311"/>
      <c r="QJW745" s="311"/>
      <c r="QJX745" s="311"/>
      <c r="QJY745" s="311"/>
      <c r="QJZ745" s="311"/>
      <c r="QKA745" s="311"/>
      <c r="QKB745" s="311"/>
      <c r="QKC745" s="311"/>
      <c r="QKD745" s="311"/>
      <c r="QKE745" s="311"/>
      <c r="QKF745" s="311"/>
      <c r="QKG745" s="311"/>
      <c r="QKH745" s="311"/>
      <c r="QKI745" s="311"/>
      <c r="QKJ745" s="311"/>
      <c r="QKK745" s="311"/>
      <c r="QKL745" s="311"/>
      <c r="QKM745" s="311"/>
      <c r="QKN745" s="311"/>
      <c r="QKO745" s="311"/>
      <c r="QKP745" s="311"/>
      <c r="QKQ745" s="311"/>
      <c r="QKR745" s="311"/>
      <c r="QKS745" s="311"/>
      <c r="QKT745" s="311"/>
      <c r="QKU745" s="311"/>
      <c r="QKV745" s="311"/>
      <c r="QKW745" s="311"/>
      <c r="QKX745" s="311"/>
      <c r="QKY745" s="311"/>
      <c r="QKZ745" s="311"/>
      <c r="QLA745" s="311"/>
      <c r="QLB745" s="311"/>
      <c r="QLC745" s="311"/>
      <c r="QLD745" s="311"/>
      <c r="QLE745" s="311"/>
      <c r="QLF745" s="311"/>
      <c r="QLG745" s="311"/>
      <c r="QLH745" s="311"/>
      <c r="QLI745" s="311"/>
      <c r="QLJ745" s="311"/>
      <c r="QLK745" s="311"/>
      <c r="QLL745" s="311"/>
      <c r="QLM745" s="311"/>
      <c r="QLN745" s="311"/>
      <c r="QLO745" s="311"/>
      <c r="QLP745" s="311"/>
      <c r="QLQ745" s="311"/>
      <c r="QLR745" s="311"/>
      <c r="QLS745" s="311"/>
      <c r="QLT745" s="311"/>
      <c r="QLU745" s="311"/>
      <c r="QLV745" s="311"/>
      <c r="QLW745" s="311"/>
      <c r="QLX745" s="311"/>
      <c r="QLY745" s="311"/>
      <c r="QLZ745" s="311"/>
      <c r="QMA745" s="311"/>
      <c r="QMB745" s="311"/>
      <c r="QMC745" s="311"/>
      <c r="QMD745" s="311"/>
      <c r="QME745" s="311"/>
      <c r="QMF745" s="311"/>
      <c r="QMG745" s="311"/>
      <c r="QMH745" s="311"/>
      <c r="QMI745" s="311"/>
      <c r="QMJ745" s="311"/>
      <c r="QMK745" s="311"/>
      <c r="QML745" s="311"/>
      <c r="QMM745" s="311"/>
      <c r="QMN745" s="311"/>
      <c r="QMO745" s="311"/>
      <c r="QMP745" s="311"/>
      <c r="QMQ745" s="311"/>
      <c r="QMR745" s="311"/>
      <c r="QMS745" s="311"/>
      <c r="QMT745" s="311"/>
      <c r="QMU745" s="311"/>
      <c r="QMV745" s="311"/>
      <c r="QMW745" s="311"/>
      <c r="QMX745" s="311"/>
      <c r="QMY745" s="311"/>
      <c r="QMZ745" s="311"/>
      <c r="QNA745" s="311"/>
      <c r="QNB745" s="311"/>
      <c r="QNC745" s="311"/>
      <c r="QND745" s="311"/>
      <c r="QNE745" s="311"/>
      <c r="QNF745" s="311"/>
      <c r="QNG745" s="311"/>
      <c r="QNH745" s="311"/>
      <c r="QNI745" s="311"/>
      <c r="QNJ745" s="311"/>
      <c r="QNK745" s="311"/>
      <c r="QNL745" s="311"/>
      <c r="QNM745" s="311"/>
      <c r="QNN745" s="311"/>
      <c r="QNO745" s="311"/>
      <c r="QNP745" s="311"/>
      <c r="QNQ745" s="311"/>
      <c r="QNR745" s="311"/>
      <c r="QNS745" s="311"/>
      <c r="QNT745" s="311"/>
      <c r="QNU745" s="311"/>
      <c r="QNV745" s="311"/>
      <c r="QNW745" s="311"/>
      <c r="QNX745" s="311"/>
      <c r="QNY745" s="311"/>
      <c r="QNZ745" s="311"/>
      <c r="QOA745" s="311"/>
      <c r="QOB745" s="311"/>
      <c r="QOC745" s="311"/>
      <c r="QOD745" s="311"/>
      <c r="QOE745" s="311"/>
      <c r="QOF745" s="311"/>
      <c r="QOG745" s="311"/>
      <c r="QOH745" s="311"/>
      <c r="QOI745" s="311"/>
      <c r="QOJ745" s="311"/>
      <c r="QOK745" s="311"/>
      <c r="QOL745" s="311"/>
      <c r="QOM745" s="311"/>
      <c r="QON745" s="311"/>
      <c r="QOO745" s="311"/>
      <c r="QOP745" s="311"/>
      <c r="QOQ745" s="311"/>
      <c r="QOR745" s="311"/>
      <c r="QOS745" s="311"/>
      <c r="QOT745" s="311"/>
      <c r="QOU745" s="311"/>
      <c r="QOV745" s="311"/>
      <c r="QOW745" s="311"/>
      <c r="QOX745" s="311"/>
      <c r="QOY745" s="311"/>
      <c r="QOZ745" s="311"/>
      <c r="QPA745" s="311"/>
      <c r="QPB745" s="311"/>
      <c r="QPC745" s="311"/>
      <c r="QPD745" s="311"/>
      <c r="QPE745" s="311"/>
      <c r="QPF745" s="311"/>
      <c r="QPG745" s="311"/>
      <c r="QPH745" s="311"/>
      <c r="QPI745" s="311"/>
      <c r="QPJ745" s="311"/>
      <c r="QPK745" s="311"/>
      <c r="QPL745" s="311"/>
      <c r="QPM745" s="311"/>
      <c r="QPN745" s="311"/>
      <c r="QPO745" s="311"/>
      <c r="QPP745" s="311"/>
      <c r="QPQ745" s="311"/>
      <c r="QPR745" s="311"/>
      <c r="QPS745" s="311"/>
      <c r="QPT745" s="311"/>
      <c r="QPU745" s="311"/>
      <c r="QPV745" s="311"/>
      <c r="QPW745" s="311"/>
      <c r="QPX745" s="311"/>
      <c r="QPY745" s="311"/>
      <c r="QPZ745" s="311"/>
      <c r="QQA745" s="311"/>
      <c r="QQB745" s="311"/>
      <c r="QQC745" s="311"/>
      <c r="QQD745" s="311"/>
      <c r="QQE745" s="311"/>
      <c r="QQF745" s="311"/>
      <c r="QQG745" s="311"/>
      <c r="QQH745" s="311"/>
      <c r="QQI745" s="311"/>
      <c r="QQJ745" s="311"/>
      <c r="QQK745" s="311"/>
      <c r="QQL745" s="311"/>
      <c r="QQM745" s="311"/>
      <c r="QQN745" s="311"/>
      <c r="QQO745" s="311"/>
      <c r="QQP745" s="311"/>
      <c r="QQQ745" s="311"/>
      <c r="QQR745" s="311"/>
      <c r="QQS745" s="311"/>
      <c r="QQT745" s="311"/>
      <c r="QQU745" s="311"/>
      <c r="QQV745" s="311"/>
      <c r="QQW745" s="311"/>
      <c r="QQX745" s="311"/>
      <c r="QQY745" s="311"/>
      <c r="QQZ745" s="311"/>
      <c r="QRA745" s="311"/>
      <c r="QRB745" s="311"/>
      <c r="QRC745" s="311"/>
      <c r="QRD745" s="311"/>
      <c r="QRE745" s="311"/>
      <c r="QRF745" s="311"/>
      <c r="QRG745" s="311"/>
      <c r="QRH745" s="311"/>
      <c r="QRI745" s="311"/>
      <c r="QRJ745" s="311"/>
      <c r="QRK745" s="311"/>
      <c r="QRL745" s="311"/>
      <c r="QRM745" s="311"/>
      <c r="QRN745" s="311"/>
      <c r="QRO745" s="311"/>
      <c r="QRP745" s="311"/>
      <c r="QRQ745" s="311"/>
      <c r="QRR745" s="311"/>
      <c r="QRS745" s="311"/>
      <c r="QRT745" s="311"/>
      <c r="QRU745" s="311"/>
      <c r="QRV745" s="311"/>
      <c r="QRW745" s="311"/>
      <c r="QRX745" s="311"/>
      <c r="QRY745" s="311"/>
      <c r="QRZ745" s="311"/>
      <c r="QSA745" s="311"/>
      <c r="QSB745" s="311"/>
      <c r="QSC745" s="311"/>
      <c r="QSD745" s="311"/>
      <c r="QSE745" s="311"/>
      <c r="QSF745" s="311"/>
      <c r="QSG745" s="311"/>
      <c r="QSH745" s="311"/>
      <c r="QSI745" s="311"/>
      <c r="QSJ745" s="311"/>
      <c r="QSK745" s="311"/>
      <c r="QSL745" s="311"/>
      <c r="QSM745" s="311"/>
      <c r="QSN745" s="311"/>
      <c r="QSO745" s="311"/>
      <c r="QSP745" s="311"/>
      <c r="QSQ745" s="311"/>
      <c r="QSR745" s="311"/>
      <c r="QSS745" s="311"/>
      <c r="QST745" s="311"/>
      <c r="QSU745" s="311"/>
      <c r="QSV745" s="311"/>
      <c r="QSW745" s="311"/>
      <c r="QSX745" s="311"/>
      <c r="QSY745" s="311"/>
      <c r="QSZ745" s="311"/>
      <c r="QTA745" s="311"/>
      <c r="QTB745" s="311"/>
      <c r="QTC745" s="311"/>
      <c r="QTD745" s="311"/>
      <c r="QTE745" s="311"/>
      <c r="QTF745" s="311"/>
      <c r="QTG745" s="311"/>
      <c r="QTH745" s="311"/>
      <c r="QTI745" s="311"/>
      <c r="QTJ745" s="311"/>
      <c r="QTK745" s="311"/>
      <c r="QTL745" s="311"/>
      <c r="QTM745" s="311"/>
      <c r="QTN745" s="311"/>
      <c r="QTO745" s="311"/>
      <c r="QTP745" s="311"/>
      <c r="QTQ745" s="311"/>
      <c r="QTR745" s="311"/>
      <c r="QTS745" s="311"/>
      <c r="QTT745" s="311"/>
      <c r="QTU745" s="311"/>
      <c r="QTV745" s="311"/>
      <c r="QTW745" s="311"/>
      <c r="QTX745" s="311"/>
      <c r="QTY745" s="311"/>
      <c r="QTZ745" s="311"/>
      <c r="QUA745" s="311"/>
      <c r="QUB745" s="311"/>
      <c r="QUC745" s="311"/>
      <c r="QUD745" s="311"/>
      <c r="QUE745" s="311"/>
      <c r="QUF745" s="311"/>
      <c r="QUG745" s="311"/>
      <c r="QUH745" s="311"/>
      <c r="QUI745" s="311"/>
      <c r="QUJ745" s="311"/>
      <c r="QUK745" s="311"/>
      <c r="QUL745" s="311"/>
      <c r="QUM745" s="311"/>
      <c r="QUN745" s="311"/>
      <c r="QUO745" s="311"/>
      <c r="QUP745" s="311"/>
      <c r="QUQ745" s="311"/>
      <c r="QUR745" s="311"/>
      <c r="QUS745" s="311"/>
      <c r="QUT745" s="311"/>
      <c r="QUU745" s="311"/>
      <c r="QUV745" s="311"/>
      <c r="QUW745" s="311"/>
      <c r="QUX745" s="311"/>
      <c r="QUY745" s="311"/>
      <c r="QUZ745" s="311"/>
      <c r="QVA745" s="311"/>
      <c r="QVB745" s="311"/>
      <c r="QVC745" s="311"/>
      <c r="QVD745" s="311"/>
      <c r="QVE745" s="311"/>
      <c r="QVF745" s="311"/>
      <c r="QVG745" s="311"/>
      <c r="QVH745" s="311"/>
      <c r="QVI745" s="311"/>
      <c r="QVJ745" s="311"/>
      <c r="QVK745" s="311"/>
      <c r="QVL745" s="311"/>
      <c r="QVM745" s="311"/>
      <c r="QVN745" s="311"/>
      <c r="QVO745" s="311"/>
      <c r="QVP745" s="311"/>
      <c r="QVQ745" s="311"/>
      <c r="QVR745" s="311"/>
      <c r="QVS745" s="311"/>
      <c r="QVT745" s="311"/>
      <c r="QVU745" s="311"/>
      <c r="QVV745" s="311"/>
      <c r="QVW745" s="311"/>
      <c r="QVX745" s="311"/>
      <c r="QVY745" s="311"/>
      <c r="QVZ745" s="311"/>
      <c r="QWA745" s="311"/>
      <c r="QWB745" s="311"/>
      <c r="QWC745" s="311"/>
      <c r="QWD745" s="311"/>
      <c r="QWE745" s="311"/>
      <c r="QWF745" s="311"/>
      <c r="QWG745" s="311"/>
      <c r="QWH745" s="311"/>
      <c r="QWI745" s="311"/>
      <c r="QWJ745" s="311"/>
      <c r="QWK745" s="311"/>
      <c r="QWL745" s="311"/>
      <c r="QWM745" s="311"/>
      <c r="QWN745" s="311"/>
      <c r="QWO745" s="311"/>
      <c r="QWP745" s="311"/>
      <c r="QWQ745" s="311"/>
      <c r="QWR745" s="311"/>
      <c r="QWS745" s="311"/>
      <c r="QWT745" s="311"/>
      <c r="QWU745" s="311"/>
      <c r="QWV745" s="311"/>
      <c r="QWW745" s="311"/>
      <c r="QWX745" s="311"/>
      <c r="QWY745" s="311"/>
      <c r="QWZ745" s="311"/>
      <c r="QXA745" s="311"/>
      <c r="QXB745" s="311"/>
      <c r="QXC745" s="311"/>
      <c r="QXD745" s="311"/>
      <c r="QXE745" s="311"/>
      <c r="QXF745" s="311"/>
      <c r="QXG745" s="311"/>
      <c r="QXH745" s="311"/>
      <c r="QXI745" s="311"/>
      <c r="QXJ745" s="311"/>
      <c r="QXK745" s="311"/>
      <c r="QXL745" s="311"/>
      <c r="QXM745" s="311"/>
      <c r="QXN745" s="311"/>
      <c r="QXO745" s="311"/>
      <c r="QXP745" s="311"/>
      <c r="QXQ745" s="311"/>
      <c r="QXR745" s="311"/>
      <c r="QXS745" s="311"/>
      <c r="QXT745" s="311"/>
      <c r="QXU745" s="311"/>
      <c r="QXV745" s="311"/>
      <c r="QXW745" s="311"/>
      <c r="QXX745" s="311"/>
      <c r="QXY745" s="311"/>
      <c r="QXZ745" s="311"/>
      <c r="QYA745" s="311"/>
      <c r="QYB745" s="311"/>
      <c r="QYC745" s="311"/>
      <c r="QYD745" s="311"/>
      <c r="QYE745" s="311"/>
      <c r="QYF745" s="311"/>
      <c r="QYG745" s="311"/>
      <c r="QYH745" s="311"/>
      <c r="QYI745" s="311"/>
      <c r="QYJ745" s="311"/>
      <c r="QYK745" s="311"/>
      <c r="QYL745" s="311"/>
      <c r="QYM745" s="311"/>
      <c r="QYN745" s="311"/>
      <c r="QYO745" s="311"/>
      <c r="QYP745" s="311"/>
      <c r="QYQ745" s="311"/>
      <c r="QYR745" s="311"/>
      <c r="QYS745" s="311"/>
      <c r="QYT745" s="311"/>
      <c r="QYU745" s="311"/>
      <c r="QYV745" s="311"/>
      <c r="QYW745" s="311"/>
      <c r="QYX745" s="311"/>
      <c r="QYY745" s="311"/>
      <c r="QYZ745" s="311"/>
      <c r="QZA745" s="311"/>
      <c r="QZB745" s="311"/>
      <c r="QZC745" s="311"/>
      <c r="QZD745" s="311"/>
      <c r="QZE745" s="311"/>
      <c r="QZF745" s="311"/>
      <c r="QZG745" s="311"/>
      <c r="QZH745" s="311"/>
      <c r="QZI745" s="311"/>
      <c r="QZJ745" s="311"/>
      <c r="QZK745" s="311"/>
      <c r="QZL745" s="311"/>
      <c r="QZM745" s="311"/>
      <c r="QZN745" s="311"/>
      <c r="QZO745" s="311"/>
      <c r="QZP745" s="311"/>
      <c r="QZQ745" s="311"/>
      <c r="QZR745" s="311"/>
      <c r="QZS745" s="311"/>
      <c r="QZT745" s="311"/>
      <c r="QZU745" s="311"/>
      <c r="QZV745" s="311"/>
      <c r="QZW745" s="311"/>
      <c r="QZX745" s="311"/>
      <c r="QZY745" s="311"/>
      <c r="QZZ745" s="311"/>
      <c r="RAA745" s="311"/>
      <c r="RAB745" s="311"/>
      <c r="RAC745" s="311"/>
      <c r="RAD745" s="311"/>
      <c r="RAE745" s="311"/>
      <c r="RAF745" s="311"/>
      <c r="RAG745" s="311"/>
      <c r="RAH745" s="311"/>
      <c r="RAI745" s="311"/>
      <c r="RAJ745" s="311"/>
      <c r="RAK745" s="311"/>
      <c r="RAL745" s="311"/>
      <c r="RAM745" s="311"/>
      <c r="RAN745" s="311"/>
      <c r="RAO745" s="311"/>
      <c r="RAP745" s="311"/>
      <c r="RAQ745" s="311"/>
      <c r="RAR745" s="311"/>
      <c r="RAS745" s="311"/>
      <c r="RAT745" s="311"/>
      <c r="RAU745" s="311"/>
      <c r="RAV745" s="311"/>
      <c r="RAW745" s="311"/>
      <c r="RAX745" s="311"/>
      <c r="RAY745" s="311"/>
      <c r="RAZ745" s="311"/>
      <c r="RBA745" s="311"/>
      <c r="RBB745" s="311"/>
      <c r="RBC745" s="311"/>
      <c r="RBD745" s="311"/>
      <c r="RBE745" s="311"/>
      <c r="RBF745" s="311"/>
      <c r="RBG745" s="311"/>
      <c r="RBH745" s="311"/>
      <c r="RBI745" s="311"/>
      <c r="RBJ745" s="311"/>
      <c r="RBK745" s="311"/>
      <c r="RBL745" s="311"/>
      <c r="RBM745" s="311"/>
      <c r="RBN745" s="311"/>
      <c r="RBO745" s="311"/>
      <c r="RBP745" s="311"/>
      <c r="RBQ745" s="311"/>
      <c r="RBR745" s="311"/>
      <c r="RBS745" s="311"/>
      <c r="RBT745" s="311"/>
      <c r="RBU745" s="311"/>
      <c r="RBV745" s="311"/>
      <c r="RBW745" s="311"/>
      <c r="RBX745" s="311"/>
      <c r="RBY745" s="311"/>
      <c r="RBZ745" s="311"/>
      <c r="RCA745" s="311"/>
      <c r="RCB745" s="311"/>
      <c r="RCC745" s="311"/>
      <c r="RCD745" s="311"/>
      <c r="RCE745" s="311"/>
      <c r="RCF745" s="311"/>
      <c r="RCG745" s="311"/>
      <c r="RCH745" s="311"/>
      <c r="RCI745" s="311"/>
      <c r="RCJ745" s="311"/>
      <c r="RCK745" s="311"/>
      <c r="RCL745" s="311"/>
      <c r="RCM745" s="311"/>
      <c r="RCN745" s="311"/>
      <c r="RCO745" s="311"/>
      <c r="RCP745" s="311"/>
      <c r="RCQ745" s="311"/>
      <c r="RCR745" s="311"/>
      <c r="RCS745" s="311"/>
      <c r="RCT745" s="311"/>
      <c r="RCU745" s="311"/>
      <c r="RCV745" s="311"/>
      <c r="RCW745" s="311"/>
      <c r="RCX745" s="311"/>
      <c r="RCY745" s="311"/>
      <c r="RCZ745" s="311"/>
      <c r="RDA745" s="311"/>
      <c r="RDB745" s="311"/>
      <c r="RDC745" s="311"/>
      <c r="RDD745" s="311"/>
      <c r="RDE745" s="311"/>
      <c r="RDF745" s="311"/>
      <c r="RDG745" s="311"/>
      <c r="RDH745" s="311"/>
      <c r="RDI745" s="311"/>
      <c r="RDJ745" s="311"/>
      <c r="RDK745" s="311"/>
      <c r="RDL745" s="311"/>
      <c r="RDM745" s="311"/>
      <c r="RDN745" s="311"/>
      <c r="RDO745" s="311"/>
      <c r="RDP745" s="311"/>
      <c r="RDQ745" s="311"/>
      <c r="RDR745" s="311"/>
      <c r="RDS745" s="311"/>
      <c r="RDT745" s="311"/>
      <c r="RDU745" s="311"/>
      <c r="RDV745" s="311"/>
      <c r="RDW745" s="311"/>
      <c r="RDX745" s="311"/>
      <c r="RDY745" s="311"/>
      <c r="RDZ745" s="311"/>
      <c r="REA745" s="311"/>
      <c r="REB745" s="311"/>
      <c r="REC745" s="311"/>
      <c r="RED745" s="311"/>
      <c r="REE745" s="311"/>
      <c r="REF745" s="311"/>
      <c r="REG745" s="311"/>
      <c r="REH745" s="311"/>
      <c r="REI745" s="311"/>
      <c r="REJ745" s="311"/>
      <c r="REK745" s="311"/>
      <c r="REL745" s="311"/>
      <c r="REM745" s="311"/>
      <c r="REN745" s="311"/>
      <c r="REO745" s="311"/>
      <c r="REP745" s="311"/>
      <c r="REQ745" s="311"/>
      <c r="RER745" s="311"/>
      <c r="RES745" s="311"/>
      <c r="RET745" s="311"/>
      <c r="REU745" s="311"/>
      <c r="REV745" s="311"/>
      <c r="REW745" s="311"/>
      <c r="REX745" s="311"/>
      <c r="REY745" s="311"/>
      <c r="REZ745" s="311"/>
      <c r="RFA745" s="311"/>
      <c r="RFB745" s="311"/>
      <c r="RFC745" s="311"/>
      <c r="RFD745" s="311"/>
      <c r="RFE745" s="311"/>
      <c r="RFF745" s="311"/>
      <c r="RFG745" s="311"/>
      <c r="RFH745" s="311"/>
      <c r="RFI745" s="311"/>
      <c r="RFJ745" s="311"/>
      <c r="RFK745" s="311"/>
      <c r="RFL745" s="311"/>
      <c r="RFM745" s="311"/>
      <c r="RFN745" s="311"/>
      <c r="RFO745" s="311"/>
      <c r="RFP745" s="311"/>
      <c r="RFQ745" s="311"/>
      <c r="RFR745" s="311"/>
      <c r="RFS745" s="311"/>
      <c r="RFT745" s="311"/>
      <c r="RFU745" s="311"/>
      <c r="RFV745" s="311"/>
      <c r="RFW745" s="311"/>
      <c r="RFX745" s="311"/>
      <c r="RFY745" s="311"/>
      <c r="RFZ745" s="311"/>
      <c r="RGA745" s="311"/>
      <c r="RGB745" s="311"/>
      <c r="RGC745" s="311"/>
      <c r="RGD745" s="311"/>
      <c r="RGE745" s="311"/>
      <c r="RGF745" s="311"/>
      <c r="RGG745" s="311"/>
      <c r="RGH745" s="311"/>
      <c r="RGI745" s="311"/>
      <c r="RGJ745" s="311"/>
      <c r="RGK745" s="311"/>
      <c r="RGL745" s="311"/>
      <c r="RGM745" s="311"/>
      <c r="RGN745" s="311"/>
      <c r="RGO745" s="311"/>
      <c r="RGP745" s="311"/>
      <c r="RGQ745" s="311"/>
      <c r="RGR745" s="311"/>
      <c r="RGS745" s="311"/>
      <c r="RGT745" s="311"/>
      <c r="RGU745" s="311"/>
      <c r="RGV745" s="311"/>
      <c r="RGW745" s="311"/>
      <c r="RGX745" s="311"/>
      <c r="RGY745" s="311"/>
      <c r="RGZ745" s="311"/>
      <c r="RHA745" s="311"/>
      <c r="RHB745" s="311"/>
      <c r="RHC745" s="311"/>
      <c r="RHD745" s="311"/>
      <c r="RHE745" s="311"/>
      <c r="RHF745" s="311"/>
      <c r="RHG745" s="311"/>
      <c r="RHH745" s="311"/>
      <c r="RHI745" s="311"/>
      <c r="RHJ745" s="311"/>
      <c r="RHK745" s="311"/>
      <c r="RHL745" s="311"/>
      <c r="RHM745" s="311"/>
      <c r="RHN745" s="311"/>
      <c r="RHO745" s="311"/>
      <c r="RHP745" s="311"/>
      <c r="RHQ745" s="311"/>
      <c r="RHR745" s="311"/>
      <c r="RHS745" s="311"/>
      <c r="RHT745" s="311"/>
      <c r="RHU745" s="311"/>
      <c r="RHV745" s="311"/>
      <c r="RHW745" s="311"/>
      <c r="RHX745" s="311"/>
      <c r="RHY745" s="311"/>
      <c r="RHZ745" s="311"/>
      <c r="RIA745" s="311"/>
      <c r="RIB745" s="311"/>
      <c r="RIC745" s="311"/>
      <c r="RID745" s="311"/>
      <c r="RIE745" s="311"/>
      <c r="RIF745" s="311"/>
      <c r="RIG745" s="311"/>
      <c r="RIH745" s="311"/>
      <c r="RII745" s="311"/>
      <c r="RIJ745" s="311"/>
      <c r="RIK745" s="311"/>
      <c r="RIL745" s="311"/>
      <c r="RIM745" s="311"/>
      <c r="RIN745" s="311"/>
      <c r="RIO745" s="311"/>
      <c r="RIP745" s="311"/>
      <c r="RIQ745" s="311"/>
      <c r="RIR745" s="311"/>
      <c r="RIS745" s="311"/>
      <c r="RIT745" s="311"/>
      <c r="RIU745" s="311"/>
      <c r="RIV745" s="311"/>
      <c r="RIW745" s="311"/>
      <c r="RIX745" s="311"/>
      <c r="RIY745" s="311"/>
      <c r="RIZ745" s="311"/>
      <c r="RJA745" s="311"/>
      <c r="RJB745" s="311"/>
      <c r="RJC745" s="311"/>
      <c r="RJD745" s="311"/>
      <c r="RJE745" s="311"/>
      <c r="RJF745" s="311"/>
      <c r="RJG745" s="311"/>
      <c r="RJH745" s="311"/>
      <c r="RJI745" s="311"/>
      <c r="RJJ745" s="311"/>
      <c r="RJK745" s="311"/>
      <c r="RJL745" s="311"/>
      <c r="RJM745" s="311"/>
      <c r="RJN745" s="311"/>
      <c r="RJO745" s="311"/>
      <c r="RJP745" s="311"/>
      <c r="RJQ745" s="311"/>
      <c r="RJR745" s="311"/>
      <c r="RJS745" s="311"/>
      <c r="RJT745" s="311"/>
      <c r="RJU745" s="311"/>
      <c r="RJV745" s="311"/>
      <c r="RJW745" s="311"/>
      <c r="RJX745" s="311"/>
      <c r="RJY745" s="311"/>
      <c r="RJZ745" s="311"/>
      <c r="RKA745" s="311"/>
      <c r="RKB745" s="311"/>
      <c r="RKC745" s="311"/>
      <c r="RKD745" s="311"/>
      <c r="RKE745" s="311"/>
      <c r="RKF745" s="311"/>
      <c r="RKG745" s="311"/>
      <c r="RKH745" s="311"/>
      <c r="RKI745" s="311"/>
      <c r="RKJ745" s="311"/>
      <c r="RKK745" s="311"/>
      <c r="RKL745" s="311"/>
      <c r="RKM745" s="311"/>
      <c r="RKN745" s="311"/>
      <c r="RKO745" s="311"/>
      <c r="RKP745" s="311"/>
      <c r="RKQ745" s="311"/>
      <c r="RKR745" s="311"/>
      <c r="RKS745" s="311"/>
      <c r="RKT745" s="311"/>
      <c r="RKU745" s="311"/>
      <c r="RKV745" s="311"/>
      <c r="RKW745" s="311"/>
      <c r="RKX745" s="311"/>
      <c r="RKY745" s="311"/>
      <c r="RKZ745" s="311"/>
      <c r="RLA745" s="311"/>
      <c r="RLB745" s="311"/>
      <c r="RLC745" s="311"/>
      <c r="RLD745" s="311"/>
      <c r="RLE745" s="311"/>
      <c r="RLF745" s="311"/>
      <c r="RLG745" s="311"/>
      <c r="RLH745" s="311"/>
      <c r="RLI745" s="311"/>
      <c r="RLJ745" s="311"/>
      <c r="RLK745" s="311"/>
      <c r="RLL745" s="311"/>
      <c r="RLM745" s="311"/>
      <c r="RLN745" s="311"/>
      <c r="RLO745" s="311"/>
      <c r="RLP745" s="311"/>
      <c r="RLQ745" s="311"/>
      <c r="RLR745" s="311"/>
      <c r="RLS745" s="311"/>
      <c r="RLT745" s="311"/>
      <c r="RLU745" s="311"/>
      <c r="RLV745" s="311"/>
      <c r="RLW745" s="311"/>
      <c r="RLX745" s="311"/>
      <c r="RLY745" s="311"/>
      <c r="RLZ745" s="311"/>
      <c r="RMA745" s="311"/>
      <c r="RMB745" s="311"/>
      <c r="RMC745" s="311"/>
      <c r="RMD745" s="311"/>
      <c r="RME745" s="311"/>
      <c r="RMF745" s="311"/>
      <c r="RMG745" s="311"/>
      <c r="RMH745" s="311"/>
      <c r="RMI745" s="311"/>
      <c r="RMJ745" s="311"/>
      <c r="RMK745" s="311"/>
      <c r="RML745" s="311"/>
      <c r="RMM745" s="311"/>
      <c r="RMN745" s="311"/>
      <c r="RMO745" s="311"/>
      <c r="RMP745" s="311"/>
      <c r="RMQ745" s="311"/>
      <c r="RMR745" s="311"/>
      <c r="RMS745" s="311"/>
      <c r="RMT745" s="311"/>
      <c r="RMU745" s="311"/>
      <c r="RMV745" s="311"/>
      <c r="RMW745" s="311"/>
      <c r="RMX745" s="311"/>
      <c r="RMY745" s="311"/>
      <c r="RMZ745" s="311"/>
      <c r="RNA745" s="311"/>
      <c r="RNB745" s="311"/>
      <c r="RNC745" s="311"/>
      <c r="RND745" s="311"/>
      <c r="RNE745" s="311"/>
      <c r="RNF745" s="311"/>
      <c r="RNG745" s="311"/>
      <c r="RNH745" s="311"/>
      <c r="RNI745" s="311"/>
      <c r="RNJ745" s="311"/>
      <c r="RNK745" s="311"/>
      <c r="RNL745" s="311"/>
      <c r="RNM745" s="311"/>
      <c r="RNN745" s="311"/>
      <c r="RNO745" s="311"/>
      <c r="RNP745" s="311"/>
      <c r="RNQ745" s="311"/>
      <c r="RNR745" s="311"/>
      <c r="RNS745" s="311"/>
      <c r="RNT745" s="311"/>
      <c r="RNU745" s="311"/>
      <c r="RNV745" s="311"/>
      <c r="RNW745" s="311"/>
      <c r="RNX745" s="311"/>
      <c r="RNY745" s="311"/>
      <c r="RNZ745" s="311"/>
      <c r="ROA745" s="311"/>
      <c r="ROB745" s="311"/>
      <c r="ROC745" s="311"/>
      <c r="ROD745" s="311"/>
      <c r="ROE745" s="311"/>
      <c r="ROF745" s="311"/>
      <c r="ROG745" s="311"/>
      <c r="ROH745" s="311"/>
      <c r="ROI745" s="311"/>
      <c r="ROJ745" s="311"/>
      <c r="ROK745" s="311"/>
      <c r="ROL745" s="311"/>
      <c r="ROM745" s="311"/>
      <c r="RON745" s="311"/>
      <c r="ROO745" s="311"/>
      <c r="ROP745" s="311"/>
      <c r="ROQ745" s="311"/>
      <c r="ROR745" s="311"/>
      <c r="ROS745" s="311"/>
      <c r="ROT745" s="311"/>
      <c r="ROU745" s="311"/>
      <c r="ROV745" s="311"/>
      <c r="ROW745" s="311"/>
      <c r="ROX745" s="311"/>
      <c r="ROY745" s="311"/>
      <c r="ROZ745" s="311"/>
      <c r="RPA745" s="311"/>
      <c r="RPB745" s="311"/>
      <c r="RPC745" s="311"/>
      <c r="RPD745" s="311"/>
      <c r="RPE745" s="311"/>
      <c r="RPF745" s="311"/>
      <c r="RPG745" s="311"/>
      <c r="RPH745" s="311"/>
      <c r="RPI745" s="311"/>
      <c r="RPJ745" s="311"/>
      <c r="RPK745" s="311"/>
      <c r="RPL745" s="311"/>
      <c r="RPM745" s="311"/>
      <c r="RPN745" s="311"/>
      <c r="RPO745" s="311"/>
      <c r="RPP745" s="311"/>
      <c r="RPQ745" s="311"/>
      <c r="RPR745" s="311"/>
      <c r="RPS745" s="311"/>
      <c r="RPT745" s="311"/>
      <c r="RPU745" s="311"/>
      <c r="RPV745" s="311"/>
      <c r="RPW745" s="311"/>
      <c r="RPX745" s="311"/>
      <c r="RPY745" s="311"/>
      <c r="RPZ745" s="311"/>
      <c r="RQA745" s="311"/>
      <c r="RQB745" s="311"/>
      <c r="RQC745" s="311"/>
      <c r="RQD745" s="311"/>
      <c r="RQE745" s="311"/>
      <c r="RQF745" s="311"/>
      <c r="RQG745" s="311"/>
      <c r="RQH745" s="311"/>
      <c r="RQI745" s="311"/>
      <c r="RQJ745" s="311"/>
      <c r="RQK745" s="311"/>
      <c r="RQL745" s="311"/>
      <c r="RQM745" s="311"/>
      <c r="RQN745" s="311"/>
      <c r="RQO745" s="311"/>
      <c r="RQP745" s="311"/>
      <c r="RQQ745" s="311"/>
      <c r="RQR745" s="311"/>
      <c r="RQS745" s="311"/>
      <c r="RQT745" s="311"/>
      <c r="RQU745" s="311"/>
      <c r="RQV745" s="311"/>
      <c r="RQW745" s="311"/>
      <c r="RQX745" s="311"/>
      <c r="RQY745" s="311"/>
      <c r="RQZ745" s="311"/>
      <c r="RRA745" s="311"/>
      <c r="RRB745" s="311"/>
      <c r="RRC745" s="311"/>
      <c r="RRD745" s="311"/>
      <c r="RRE745" s="311"/>
      <c r="RRF745" s="311"/>
      <c r="RRG745" s="311"/>
      <c r="RRH745" s="311"/>
      <c r="RRI745" s="311"/>
      <c r="RRJ745" s="311"/>
      <c r="RRK745" s="311"/>
      <c r="RRL745" s="311"/>
      <c r="RRM745" s="311"/>
      <c r="RRN745" s="311"/>
      <c r="RRO745" s="311"/>
      <c r="RRP745" s="311"/>
      <c r="RRQ745" s="311"/>
      <c r="RRR745" s="311"/>
      <c r="RRS745" s="311"/>
      <c r="RRT745" s="311"/>
      <c r="RRU745" s="311"/>
      <c r="RRV745" s="311"/>
      <c r="RRW745" s="311"/>
      <c r="RRX745" s="311"/>
      <c r="RRY745" s="311"/>
      <c r="RRZ745" s="311"/>
      <c r="RSA745" s="311"/>
      <c r="RSB745" s="311"/>
      <c r="RSC745" s="311"/>
      <c r="RSD745" s="311"/>
      <c r="RSE745" s="311"/>
      <c r="RSF745" s="311"/>
      <c r="RSG745" s="311"/>
      <c r="RSH745" s="311"/>
      <c r="RSI745" s="311"/>
      <c r="RSJ745" s="311"/>
      <c r="RSK745" s="311"/>
      <c r="RSL745" s="311"/>
      <c r="RSM745" s="311"/>
      <c r="RSN745" s="311"/>
      <c r="RSO745" s="311"/>
      <c r="RSP745" s="311"/>
      <c r="RSQ745" s="311"/>
      <c r="RSR745" s="311"/>
      <c r="RSS745" s="311"/>
      <c r="RST745" s="311"/>
      <c r="RSU745" s="311"/>
      <c r="RSV745" s="311"/>
      <c r="RSW745" s="311"/>
      <c r="RSX745" s="311"/>
      <c r="RSY745" s="311"/>
      <c r="RSZ745" s="311"/>
      <c r="RTA745" s="311"/>
      <c r="RTB745" s="311"/>
      <c r="RTC745" s="311"/>
      <c r="RTD745" s="311"/>
      <c r="RTE745" s="311"/>
      <c r="RTF745" s="311"/>
      <c r="RTG745" s="311"/>
      <c r="RTH745" s="311"/>
      <c r="RTI745" s="311"/>
      <c r="RTJ745" s="311"/>
      <c r="RTK745" s="311"/>
      <c r="RTL745" s="311"/>
      <c r="RTM745" s="311"/>
      <c r="RTN745" s="311"/>
      <c r="RTO745" s="311"/>
      <c r="RTP745" s="311"/>
      <c r="RTQ745" s="311"/>
      <c r="RTR745" s="311"/>
      <c r="RTS745" s="311"/>
      <c r="RTT745" s="311"/>
      <c r="RTU745" s="311"/>
      <c r="RTV745" s="311"/>
      <c r="RTW745" s="311"/>
      <c r="RTX745" s="311"/>
      <c r="RTY745" s="311"/>
      <c r="RTZ745" s="311"/>
      <c r="RUA745" s="311"/>
      <c r="RUB745" s="311"/>
      <c r="RUC745" s="311"/>
      <c r="RUD745" s="311"/>
      <c r="RUE745" s="311"/>
      <c r="RUF745" s="311"/>
      <c r="RUG745" s="311"/>
      <c r="RUH745" s="311"/>
      <c r="RUI745" s="311"/>
      <c r="RUJ745" s="311"/>
      <c r="RUK745" s="311"/>
      <c r="RUL745" s="311"/>
      <c r="RUM745" s="311"/>
      <c r="RUN745" s="311"/>
      <c r="RUO745" s="311"/>
      <c r="RUP745" s="311"/>
      <c r="RUQ745" s="311"/>
      <c r="RUR745" s="311"/>
      <c r="RUS745" s="311"/>
      <c r="RUT745" s="311"/>
      <c r="RUU745" s="311"/>
      <c r="RUV745" s="311"/>
      <c r="RUW745" s="311"/>
      <c r="RUX745" s="311"/>
      <c r="RUY745" s="311"/>
      <c r="RUZ745" s="311"/>
      <c r="RVA745" s="311"/>
      <c r="RVB745" s="311"/>
      <c r="RVC745" s="311"/>
      <c r="RVD745" s="311"/>
      <c r="RVE745" s="311"/>
      <c r="RVF745" s="311"/>
      <c r="RVG745" s="311"/>
      <c r="RVH745" s="311"/>
      <c r="RVI745" s="311"/>
      <c r="RVJ745" s="311"/>
      <c r="RVK745" s="311"/>
      <c r="RVL745" s="311"/>
      <c r="RVM745" s="311"/>
      <c r="RVN745" s="311"/>
      <c r="RVO745" s="311"/>
      <c r="RVP745" s="311"/>
      <c r="RVQ745" s="311"/>
      <c r="RVR745" s="311"/>
      <c r="RVS745" s="311"/>
      <c r="RVT745" s="311"/>
      <c r="RVU745" s="311"/>
      <c r="RVV745" s="311"/>
      <c r="RVW745" s="311"/>
      <c r="RVX745" s="311"/>
      <c r="RVY745" s="311"/>
      <c r="RVZ745" s="311"/>
      <c r="RWA745" s="311"/>
      <c r="RWB745" s="311"/>
      <c r="RWC745" s="311"/>
      <c r="RWD745" s="311"/>
      <c r="RWE745" s="311"/>
      <c r="RWF745" s="311"/>
      <c r="RWG745" s="311"/>
      <c r="RWH745" s="311"/>
      <c r="RWI745" s="311"/>
      <c r="RWJ745" s="311"/>
      <c r="RWK745" s="311"/>
      <c r="RWL745" s="311"/>
      <c r="RWM745" s="311"/>
      <c r="RWN745" s="311"/>
      <c r="RWO745" s="311"/>
      <c r="RWP745" s="311"/>
      <c r="RWQ745" s="311"/>
      <c r="RWR745" s="311"/>
      <c r="RWS745" s="311"/>
      <c r="RWT745" s="311"/>
      <c r="RWU745" s="311"/>
      <c r="RWV745" s="311"/>
      <c r="RWW745" s="311"/>
      <c r="RWX745" s="311"/>
      <c r="RWY745" s="311"/>
      <c r="RWZ745" s="311"/>
      <c r="RXA745" s="311"/>
      <c r="RXB745" s="311"/>
      <c r="RXC745" s="311"/>
      <c r="RXD745" s="311"/>
      <c r="RXE745" s="311"/>
      <c r="RXF745" s="311"/>
      <c r="RXG745" s="311"/>
      <c r="RXH745" s="311"/>
      <c r="RXI745" s="311"/>
      <c r="RXJ745" s="311"/>
      <c r="RXK745" s="311"/>
      <c r="RXL745" s="311"/>
      <c r="RXM745" s="311"/>
      <c r="RXN745" s="311"/>
      <c r="RXO745" s="311"/>
      <c r="RXP745" s="311"/>
      <c r="RXQ745" s="311"/>
      <c r="RXR745" s="311"/>
      <c r="RXS745" s="311"/>
      <c r="RXT745" s="311"/>
      <c r="RXU745" s="311"/>
      <c r="RXV745" s="311"/>
      <c r="RXW745" s="311"/>
      <c r="RXX745" s="311"/>
      <c r="RXY745" s="311"/>
      <c r="RXZ745" s="311"/>
      <c r="RYA745" s="311"/>
      <c r="RYB745" s="311"/>
      <c r="RYC745" s="311"/>
      <c r="RYD745" s="311"/>
      <c r="RYE745" s="311"/>
      <c r="RYF745" s="311"/>
      <c r="RYG745" s="311"/>
      <c r="RYH745" s="311"/>
      <c r="RYI745" s="311"/>
      <c r="RYJ745" s="311"/>
      <c r="RYK745" s="311"/>
      <c r="RYL745" s="311"/>
      <c r="RYM745" s="311"/>
      <c r="RYN745" s="311"/>
      <c r="RYO745" s="311"/>
      <c r="RYP745" s="311"/>
      <c r="RYQ745" s="311"/>
      <c r="RYR745" s="311"/>
      <c r="RYS745" s="311"/>
      <c r="RYT745" s="311"/>
      <c r="RYU745" s="311"/>
      <c r="RYV745" s="311"/>
      <c r="RYW745" s="311"/>
      <c r="RYX745" s="311"/>
      <c r="RYY745" s="311"/>
      <c r="RYZ745" s="311"/>
      <c r="RZA745" s="311"/>
      <c r="RZB745" s="311"/>
      <c r="RZC745" s="311"/>
      <c r="RZD745" s="311"/>
      <c r="RZE745" s="311"/>
      <c r="RZF745" s="311"/>
      <c r="RZG745" s="311"/>
      <c r="RZH745" s="311"/>
      <c r="RZI745" s="311"/>
      <c r="RZJ745" s="311"/>
      <c r="RZK745" s="311"/>
      <c r="RZL745" s="311"/>
      <c r="RZM745" s="311"/>
      <c r="RZN745" s="311"/>
      <c r="RZO745" s="311"/>
      <c r="RZP745" s="311"/>
      <c r="RZQ745" s="311"/>
      <c r="RZR745" s="311"/>
      <c r="RZS745" s="311"/>
      <c r="RZT745" s="311"/>
      <c r="RZU745" s="311"/>
      <c r="RZV745" s="311"/>
      <c r="RZW745" s="311"/>
      <c r="RZX745" s="311"/>
      <c r="RZY745" s="311"/>
      <c r="RZZ745" s="311"/>
      <c r="SAA745" s="311"/>
      <c r="SAB745" s="311"/>
      <c r="SAC745" s="311"/>
      <c r="SAD745" s="311"/>
      <c r="SAE745" s="311"/>
      <c r="SAF745" s="311"/>
      <c r="SAG745" s="311"/>
      <c r="SAH745" s="311"/>
      <c r="SAI745" s="311"/>
      <c r="SAJ745" s="311"/>
      <c r="SAK745" s="311"/>
      <c r="SAL745" s="311"/>
      <c r="SAM745" s="311"/>
      <c r="SAN745" s="311"/>
      <c r="SAO745" s="311"/>
      <c r="SAP745" s="311"/>
      <c r="SAQ745" s="311"/>
      <c r="SAR745" s="311"/>
      <c r="SAS745" s="311"/>
      <c r="SAT745" s="311"/>
      <c r="SAU745" s="311"/>
      <c r="SAV745" s="311"/>
      <c r="SAW745" s="311"/>
      <c r="SAX745" s="311"/>
      <c r="SAY745" s="311"/>
      <c r="SAZ745" s="311"/>
      <c r="SBA745" s="311"/>
      <c r="SBB745" s="311"/>
      <c r="SBC745" s="311"/>
      <c r="SBD745" s="311"/>
      <c r="SBE745" s="311"/>
      <c r="SBF745" s="311"/>
      <c r="SBG745" s="311"/>
      <c r="SBH745" s="311"/>
      <c r="SBI745" s="311"/>
      <c r="SBJ745" s="311"/>
      <c r="SBK745" s="311"/>
      <c r="SBL745" s="311"/>
      <c r="SBM745" s="311"/>
      <c r="SBN745" s="311"/>
      <c r="SBO745" s="311"/>
      <c r="SBP745" s="311"/>
      <c r="SBQ745" s="311"/>
      <c r="SBR745" s="311"/>
      <c r="SBS745" s="311"/>
      <c r="SBT745" s="311"/>
      <c r="SBU745" s="311"/>
      <c r="SBV745" s="311"/>
      <c r="SBW745" s="311"/>
      <c r="SBX745" s="311"/>
      <c r="SBY745" s="311"/>
      <c r="SBZ745" s="311"/>
      <c r="SCA745" s="311"/>
      <c r="SCB745" s="311"/>
      <c r="SCC745" s="311"/>
      <c r="SCD745" s="311"/>
      <c r="SCE745" s="311"/>
      <c r="SCF745" s="311"/>
      <c r="SCG745" s="311"/>
      <c r="SCH745" s="311"/>
      <c r="SCI745" s="311"/>
      <c r="SCJ745" s="311"/>
      <c r="SCK745" s="311"/>
      <c r="SCL745" s="311"/>
      <c r="SCM745" s="311"/>
      <c r="SCN745" s="311"/>
      <c r="SCO745" s="311"/>
      <c r="SCP745" s="311"/>
      <c r="SCQ745" s="311"/>
      <c r="SCR745" s="311"/>
      <c r="SCS745" s="311"/>
      <c r="SCT745" s="311"/>
      <c r="SCU745" s="311"/>
      <c r="SCV745" s="311"/>
      <c r="SCW745" s="311"/>
      <c r="SCX745" s="311"/>
      <c r="SCY745" s="311"/>
      <c r="SCZ745" s="311"/>
      <c r="SDA745" s="311"/>
      <c r="SDB745" s="311"/>
      <c r="SDC745" s="311"/>
      <c r="SDD745" s="311"/>
      <c r="SDE745" s="311"/>
      <c r="SDF745" s="311"/>
      <c r="SDG745" s="311"/>
      <c r="SDH745" s="311"/>
      <c r="SDI745" s="311"/>
      <c r="SDJ745" s="311"/>
      <c r="SDK745" s="311"/>
      <c r="SDL745" s="311"/>
      <c r="SDM745" s="311"/>
      <c r="SDN745" s="311"/>
      <c r="SDO745" s="311"/>
      <c r="SDP745" s="311"/>
      <c r="SDQ745" s="311"/>
      <c r="SDR745" s="311"/>
      <c r="SDS745" s="311"/>
      <c r="SDT745" s="311"/>
      <c r="SDU745" s="311"/>
      <c r="SDV745" s="311"/>
      <c r="SDW745" s="311"/>
      <c r="SDX745" s="311"/>
      <c r="SDY745" s="311"/>
      <c r="SDZ745" s="311"/>
      <c r="SEA745" s="311"/>
      <c r="SEB745" s="311"/>
      <c r="SEC745" s="311"/>
      <c r="SED745" s="311"/>
      <c r="SEE745" s="311"/>
      <c r="SEF745" s="311"/>
      <c r="SEG745" s="311"/>
      <c r="SEH745" s="311"/>
      <c r="SEI745" s="311"/>
      <c r="SEJ745" s="311"/>
      <c r="SEK745" s="311"/>
      <c r="SEL745" s="311"/>
      <c r="SEM745" s="311"/>
      <c r="SEN745" s="311"/>
      <c r="SEO745" s="311"/>
      <c r="SEP745" s="311"/>
      <c r="SEQ745" s="311"/>
      <c r="SER745" s="311"/>
      <c r="SES745" s="311"/>
      <c r="SET745" s="311"/>
      <c r="SEU745" s="311"/>
      <c r="SEV745" s="311"/>
      <c r="SEW745" s="311"/>
      <c r="SEX745" s="311"/>
      <c r="SEY745" s="311"/>
      <c r="SEZ745" s="311"/>
      <c r="SFA745" s="311"/>
      <c r="SFB745" s="311"/>
      <c r="SFC745" s="311"/>
      <c r="SFD745" s="311"/>
      <c r="SFE745" s="311"/>
      <c r="SFF745" s="311"/>
      <c r="SFG745" s="311"/>
      <c r="SFH745" s="311"/>
      <c r="SFI745" s="311"/>
      <c r="SFJ745" s="311"/>
      <c r="SFK745" s="311"/>
      <c r="SFL745" s="311"/>
      <c r="SFM745" s="311"/>
      <c r="SFN745" s="311"/>
      <c r="SFO745" s="311"/>
      <c r="SFP745" s="311"/>
      <c r="SFQ745" s="311"/>
      <c r="SFR745" s="311"/>
      <c r="SFS745" s="311"/>
      <c r="SFT745" s="311"/>
      <c r="SFU745" s="311"/>
      <c r="SFV745" s="311"/>
      <c r="SFW745" s="311"/>
      <c r="SFX745" s="311"/>
      <c r="SFY745" s="311"/>
      <c r="SFZ745" s="311"/>
      <c r="SGA745" s="311"/>
      <c r="SGB745" s="311"/>
      <c r="SGC745" s="311"/>
      <c r="SGD745" s="311"/>
      <c r="SGE745" s="311"/>
      <c r="SGF745" s="311"/>
      <c r="SGG745" s="311"/>
      <c r="SGH745" s="311"/>
      <c r="SGI745" s="311"/>
      <c r="SGJ745" s="311"/>
      <c r="SGK745" s="311"/>
      <c r="SGL745" s="311"/>
      <c r="SGM745" s="311"/>
      <c r="SGN745" s="311"/>
      <c r="SGO745" s="311"/>
      <c r="SGP745" s="311"/>
      <c r="SGQ745" s="311"/>
      <c r="SGR745" s="311"/>
      <c r="SGS745" s="311"/>
      <c r="SGT745" s="311"/>
      <c r="SGU745" s="311"/>
      <c r="SGV745" s="311"/>
      <c r="SGW745" s="311"/>
      <c r="SGX745" s="311"/>
      <c r="SGY745" s="311"/>
      <c r="SGZ745" s="311"/>
      <c r="SHA745" s="311"/>
      <c r="SHB745" s="311"/>
      <c r="SHC745" s="311"/>
      <c r="SHD745" s="311"/>
      <c r="SHE745" s="311"/>
      <c r="SHF745" s="311"/>
      <c r="SHG745" s="311"/>
      <c r="SHH745" s="311"/>
      <c r="SHI745" s="311"/>
      <c r="SHJ745" s="311"/>
      <c r="SHK745" s="311"/>
      <c r="SHL745" s="311"/>
      <c r="SHM745" s="311"/>
      <c r="SHN745" s="311"/>
      <c r="SHO745" s="311"/>
      <c r="SHP745" s="311"/>
      <c r="SHQ745" s="311"/>
      <c r="SHR745" s="311"/>
      <c r="SHS745" s="311"/>
      <c r="SHT745" s="311"/>
      <c r="SHU745" s="311"/>
      <c r="SHV745" s="311"/>
      <c r="SHW745" s="311"/>
      <c r="SHX745" s="311"/>
      <c r="SHY745" s="311"/>
      <c r="SHZ745" s="311"/>
      <c r="SIA745" s="311"/>
      <c r="SIB745" s="311"/>
      <c r="SIC745" s="311"/>
      <c r="SID745" s="311"/>
      <c r="SIE745" s="311"/>
      <c r="SIF745" s="311"/>
      <c r="SIG745" s="311"/>
      <c r="SIH745" s="311"/>
      <c r="SII745" s="311"/>
      <c r="SIJ745" s="311"/>
      <c r="SIK745" s="311"/>
      <c r="SIL745" s="311"/>
      <c r="SIM745" s="311"/>
      <c r="SIN745" s="311"/>
      <c r="SIO745" s="311"/>
      <c r="SIP745" s="311"/>
      <c r="SIQ745" s="311"/>
      <c r="SIR745" s="311"/>
      <c r="SIS745" s="311"/>
      <c r="SIT745" s="311"/>
      <c r="SIU745" s="311"/>
      <c r="SIV745" s="311"/>
      <c r="SIW745" s="311"/>
      <c r="SIX745" s="311"/>
      <c r="SIY745" s="311"/>
      <c r="SIZ745" s="311"/>
      <c r="SJA745" s="311"/>
      <c r="SJB745" s="311"/>
      <c r="SJC745" s="311"/>
      <c r="SJD745" s="311"/>
      <c r="SJE745" s="311"/>
      <c r="SJF745" s="311"/>
      <c r="SJG745" s="311"/>
      <c r="SJH745" s="311"/>
      <c r="SJI745" s="311"/>
      <c r="SJJ745" s="311"/>
      <c r="SJK745" s="311"/>
      <c r="SJL745" s="311"/>
      <c r="SJM745" s="311"/>
      <c r="SJN745" s="311"/>
      <c r="SJO745" s="311"/>
      <c r="SJP745" s="311"/>
      <c r="SJQ745" s="311"/>
      <c r="SJR745" s="311"/>
      <c r="SJS745" s="311"/>
      <c r="SJT745" s="311"/>
      <c r="SJU745" s="311"/>
      <c r="SJV745" s="311"/>
      <c r="SJW745" s="311"/>
      <c r="SJX745" s="311"/>
      <c r="SJY745" s="311"/>
      <c r="SJZ745" s="311"/>
      <c r="SKA745" s="311"/>
      <c r="SKB745" s="311"/>
      <c r="SKC745" s="311"/>
      <c r="SKD745" s="311"/>
      <c r="SKE745" s="311"/>
      <c r="SKF745" s="311"/>
      <c r="SKG745" s="311"/>
      <c r="SKH745" s="311"/>
      <c r="SKI745" s="311"/>
      <c r="SKJ745" s="311"/>
      <c r="SKK745" s="311"/>
      <c r="SKL745" s="311"/>
      <c r="SKM745" s="311"/>
      <c r="SKN745" s="311"/>
      <c r="SKO745" s="311"/>
      <c r="SKP745" s="311"/>
      <c r="SKQ745" s="311"/>
      <c r="SKR745" s="311"/>
      <c r="SKS745" s="311"/>
      <c r="SKT745" s="311"/>
      <c r="SKU745" s="311"/>
      <c r="SKV745" s="311"/>
      <c r="SKW745" s="311"/>
      <c r="SKX745" s="311"/>
      <c r="SKY745" s="311"/>
      <c r="SKZ745" s="311"/>
      <c r="SLA745" s="311"/>
      <c r="SLB745" s="311"/>
      <c r="SLC745" s="311"/>
      <c r="SLD745" s="311"/>
      <c r="SLE745" s="311"/>
      <c r="SLF745" s="311"/>
      <c r="SLG745" s="311"/>
      <c r="SLH745" s="311"/>
      <c r="SLI745" s="311"/>
      <c r="SLJ745" s="311"/>
      <c r="SLK745" s="311"/>
      <c r="SLL745" s="311"/>
      <c r="SLM745" s="311"/>
      <c r="SLN745" s="311"/>
      <c r="SLO745" s="311"/>
      <c r="SLP745" s="311"/>
      <c r="SLQ745" s="311"/>
      <c r="SLR745" s="311"/>
      <c r="SLS745" s="311"/>
      <c r="SLT745" s="311"/>
      <c r="SLU745" s="311"/>
      <c r="SLV745" s="311"/>
      <c r="SLW745" s="311"/>
      <c r="SLX745" s="311"/>
      <c r="SLY745" s="311"/>
      <c r="SLZ745" s="311"/>
      <c r="SMA745" s="311"/>
      <c r="SMB745" s="311"/>
      <c r="SMC745" s="311"/>
      <c r="SMD745" s="311"/>
      <c r="SME745" s="311"/>
      <c r="SMF745" s="311"/>
      <c r="SMG745" s="311"/>
      <c r="SMH745" s="311"/>
      <c r="SMI745" s="311"/>
      <c r="SMJ745" s="311"/>
      <c r="SMK745" s="311"/>
      <c r="SML745" s="311"/>
      <c r="SMM745" s="311"/>
      <c r="SMN745" s="311"/>
      <c r="SMO745" s="311"/>
      <c r="SMP745" s="311"/>
      <c r="SMQ745" s="311"/>
      <c r="SMR745" s="311"/>
      <c r="SMS745" s="311"/>
      <c r="SMT745" s="311"/>
      <c r="SMU745" s="311"/>
      <c r="SMV745" s="311"/>
      <c r="SMW745" s="311"/>
      <c r="SMX745" s="311"/>
      <c r="SMY745" s="311"/>
      <c r="SMZ745" s="311"/>
      <c r="SNA745" s="311"/>
      <c r="SNB745" s="311"/>
      <c r="SNC745" s="311"/>
      <c r="SND745" s="311"/>
      <c r="SNE745" s="311"/>
      <c r="SNF745" s="311"/>
      <c r="SNG745" s="311"/>
      <c r="SNH745" s="311"/>
      <c r="SNI745" s="311"/>
      <c r="SNJ745" s="311"/>
      <c r="SNK745" s="311"/>
      <c r="SNL745" s="311"/>
      <c r="SNM745" s="311"/>
      <c r="SNN745" s="311"/>
      <c r="SNO745" s="311"/>
      <c r="SNP745" s="311"/>
      <c r="SNQ745" s="311"/>
      <c r="SNR745" s="311"/>
      <c r="SNS745" s="311"/>
      <c r="SNT745" s="311"/>
      <c r="SNU745" s="311"/>
      <c r="SNV745" s="311"/>
      <c r="SNW745" s="311"/>
      <c r="SNX745" s="311"/>
      <c r="SNY745" s="311"/>
      <c r="SNZ745" s="311"/>
      <c r="SOA745" s="311"/>
      <c r="SOB745" s="311"/>
      <c r="SOC745" s="311"/>
      <c r="SOD745" s="311"/>
      <c r="SOE745" s="311"/>
      <c r="SOF745" s="311"/>
      <c r="SOG745" s="311"/>
      <c r="SOH745" s="311"/>
      <c r="SOI745" s="311"/>
      <c r="SOJ745" s="311"/>
      <c r="SOK745" s="311"/>
      <c r="SOL745" s="311"/>
      <c r="SOM745" s="311"/>
      <c r="SON745" s="311"/>
      <c r="SOO745" s="311"/>
      <c r="SOP745" s="311"/>
      <c r="SOQ745" s="311"/>
      <c r="SOR745" s="311"/>
      <c r="SOS745" s="311"/>
      <c r="SOT745" s="311"/>
      <c r="SOU745" s="311"/>
      <c r="SOV745" s="311"/>
      <c r="SOW745" s="311"/>
      <c r="SOX745" s="311"/>
      <c r="SOY745" s="311"/>
      <c r="SOZ745" s="311"/>
      <c r="SPA745" s="311"/>
      <c r="SPB745" s="311"/>
      <c r="SPC745" s="311"/>
      <c r="SPD745" s="311"/>
      <c r="SPE745" s="311"/>
      <c r="SPF745" s="311"/>
      <c r="SPG745" s="311"/>
      <c r="SPH745" s="311"/>
      <c r="SPI745" s="311"/>
      <c r="SPJ745" s="311"/>
      <c r="SPK745" s="311"/>
      <c r="SPL745" s="311"/>
      <c r="SPM745" s="311"/>
      <c r="SPN745" s="311"/>
      <c r="SPO745" s="311"/>
      <c r="SPP745" s="311"/>
      <c r="SPQ745" s="311"/>
      <c r="SPR745" s="311"/>
      <c r="SPS745" s="311"/>
      <c r="SPT745" s="311"/>
      <c r="SPU745" s="311"/>
      <c r="SPV745" s="311"/>
      <c r="SPW745" s="311"/>
      <c r="SPX745" s="311"/>
      <c r="SPY745" s="311"/>
      <c r="SPZ745" s="311"/>
      <c r="SQA745" s="311"/>
      <c r="SQB745" s="311"/>
      <c r="SQC745" s="311"/>
      <c r="SQD745" s="311"/>
      <c r="SQE745" s="311"/>
      <c r="SQF745" s="311"/>
      <c r="SQG745" s="311"/>
      <c r="SQH745" s="311"/>
      <c r="SQI745" s="311"/>
      <c r="SQJ745" s="311"/>
      <c r="SQK745" s="311"/>
      <c r="SQL745" s="311"/>
      <c r="SQM745" s="311"/>
      <c r="SQN745" s="311"/>
      <c r="SQO745" s="311"/>
      <c r="SQP745" s="311"/>
      <c r="SQQ745" s="311"/>
      <c r="SQR745" s="311"/>
      <c r="SQS745" s="311"/>
      <c r="SQT745" s="311"/>
      <c r="SQU745" s="311"/>
      <c r="SQV745" s="311"/>
      <c r="SQW745" s="311"/>
      <c r="SQX745" s="311"/>
      <c r="SQY745" s="311"/>
      <c r="SQZ745" s="311"/>
      <c r="SRA745" s="311"/>
      <c r="SRB745" s="311"/>
      <c r="SRC745" s="311"/>
      <c r="SRD745" s="311"/>
      <c r="SRE745" s="311"/>
      <c r="SRF745" s="311"/>
      <c r="SRG745" s="311"/>
      <c r="SRH745" s="311"/>
      <c r="SRI745" s="311"/>
      <c r="SRJ745" s="311"/>
      <c r="SRK745" s="311"/>
      <c r="SRL745" s="311"/>
      <c r="SRM745" s="311"/>
      <c r="SRN745" s="311"/>
      <c r="SRO745" s="311"/>
      <c r="SRP745" s="311"/>
      <c r="SRQ745" s="311"/>
      <c r="SRR745" s="311"/>
      <c r="SRS745" s="311"/>
      <c r="SRT745" s="311"/>
      <c r="SRU745" s="311"/>
      <c r="SRV745" s="311"/>
      <c r="SRW745" s="311"/>
      <c r="SRX745" s="311"/>
      <c r="SRY745" s="311"/>
      <c r="SRZ745" s="311"/>
      <c r="SSA745" s="311"/>
      <c r="SSB745" s="311"/>
      <c r="SSC745" s="311"/>
      <c r="SSD745" s="311"/>
      <c r="SSE745" s="311"/>
      <c r="SSF745" s="311"/>
      <c r="SSG745" s="311"/>
      <c r="SSH745" s="311"/>
      <c r="SSI745" s="311"/>
      <c r="SSJ745" s="311"/>
      <c r="SSK745" s="311"/>
      <c r="SSL745" s="311"/>
      <c r="SSM745" s="311"/>
      <c r="SSN745" s="311"/>
      <c r="SSO745" s="311"/>
      <c r="SSP745" s="311"/>
      <c r="SSQ745" s="311"/>
      <c r="SSR745" s="311"/>
      <c r="SSS745" s="311"/>
      <c r="SST745" s="311"/>
      <c r="SSU745" s="311"/>
      <c r="SSV745" s="311"/>
      <c r="SSW745" s="311"/>
      <c r="SSX745" s="311"/>
      <c r="SSY745" s="311"/>
      <c r="SSZ745" s="311"/>
      <c r="STA745" s="311"/>
      <c r="STB745" s="311"/>
      <c r="STC745" s="311"/>
      <c r="STD745" s="311"/>
      <c r="STE745" s="311"/>
      <c r="STF745" s="311"/>
      <c r="STG745" s="311"/>
      <c r="STH745" s="311"/>
      <c r="STI745" s="311"/>
      <c r="STJ745" s="311"/>
      <c r="STK745" s="311"/>
      <c r="STL745" s="311"/>
      <c r="STM745" s="311"/>
      <c r="STN745" s="311"/>
      <c r="STO745" s="311"/>
      <c r="STP745" s="311"/>
      <c r="STQ745" s="311"/>
      <c r="STR745" s="311"/>
      <c r="STS745" s="311"/>
      <c r="STT745" s="311"/>
      <c r="STU745" s="311"/>
      <c r="STV745" s="311"/>
      <c r="STW745" s="311"/>
      <c r="STX745" s="311"/>
      <c r="STY745" s="311"/>
      <c r="STZ745" s="311"/>
      <c r="SUA745" s="311"/>
      <c r="SUB745" s="311"/>
      <c r="SUC745" s="311"/>
      <c r="SUD745" s="311"/>
      <c r="SUE745" s="311"/>
      <c r="SUF745" s="311"/>
      <c r="SUG745" s="311"/>
      <c r="SUH745" s="311"/>
      <c r="SUI745" s="311"/>
      <c r="SUJ745" s="311"/>
      <c r="SUK745" s="311"/>
      <c r="SUL745" s="311"/>
      <c r="SUM745" s="311"/>
      <c r="SUN745" s="311"/>
      <c r="SUO745" s="311"/>
      <c r="SUP745" s="311"/>
      <c r="SUQ745" s="311"/>
      <c r="SUR745" s="311"/>
      <c r="SUS745" s="311"/>
      <c r="SUT745" s="311"/>
      <c r="SUU745" s="311"/>
      <c r="SUV745" s="311"/>
      <c r="SUW745" s="311"/>
      <c r="SUX745" s="311"/>
      <c r="SUY745" s="311"/>
      <c r="SUZ745" s="311"/>
      <c r="SVA745" s="311"/>
      <c r="SVB745" s="311"/>
      <c r="SVC745" s="311"/>
      <c r="SVD745" s="311"/>
      <c r="SVE745" s="311"/>
      <c r="SVF745" s="311"/>
      <c r="SVG745" s="311"/>
      <c r="SVH745" s="311"/>
      <c r="SVI745" s="311"/>
      <c r="SVJ745" s="311"/>
      <c r="SVK745" s="311"/>
      <c r="SVL745" s="311"/>
      <c r="SVM745" s="311"/>
      <c r="SVN745" s="311"/>
      <c r="SVO745" s="311"/>
      <c r="SVP745" s="311"/>
      <c r="SVQ745" s="311"/>
      <c r="SVR745" s="311"/>
      <c r="SVS745" s="311"/>
      <c r="SVT745" s="311"/>
      <c r="SVU745" s="311"/>
      <c r="SVV745" s="311"/>
      <c r="SVW745" s="311"/>
      <c r="SVX745" s="311"/>
      <c r="SVY745" s="311"/>
      <c r="SVZ745" s="311"/>
      <c r="SWA745" s="311"/>
      <c r="SWB745" s="311"/>
      <c r="SWC745" s="311"/>
      <c r="SWD745" s="311"/>
      <c r="SWE745" s="311"/>
      <c r="SWF745" s="311"/>
      <c r="SWG745" s="311"/>
      <c r="SWH745" s="311"/>
      <c r="SWI745" s="311"/>
      <c r="SWJ745" s="311"/>
      <c r="SWK745" s="311"/>
      <c r="SWL745" s="311"/>
      <c r="SWM745" s="311"/>
      <c r="SWN745" s="311"/>
      <c r="SWO745" s="311"/>
      <c r="SWP745" s="311"/>
      <c r="SWQ745" s="311"/>
      <c r="SWR745" s="311"/>
      <c r="SWS745" s="311"/>
      <c r="SWT745" s="311"/>
      <c r="SWU745" s="311"/>
      <c r="SWV745" s="311"/>
      <c r="SWW745" s="311"/>
      <c r="SWX745" s="311"/>
      <c r="SWY745" s="311"/>
      <c r="SWZ745" s="311"/>
      <c r="SXA745" s="311"/>
      <c r="SXB745" s="311"/>
      <c r="SXC745" s="311"/>
      <c r="SXD745" s="311"/>
      <c r="SXE745" s="311"/>
      <c r="SXF745" s="311"/>
      <c r="SXG745" s="311"/>
      <c r="SXH745" s="311"/>
      <c r="SXI745" s="311"/>
      <c r="SXJ745" s="311"/>
      <c r="SXK745" s="311"/>
      <c r="SXL745" s="311"/>
      <c r="SXM745" s="311"/>
      <c r="SXN745" s="311"/>
      <c r="SXO745" s="311"/>
      <c r="SXP745" s="311"/>
      <c r="SXQ745" s="311"/>
      <c r="SXR745" s="311"/>
      <c r="SXS745" s="311"/>
      <c r="SXT745" s="311"/>
      <c r="SXU745" s="311"/>
      <c r="SXV745" s="311"/>
      <c r="SXW745" s="311"/>
      <c r="SXX745" s="311"/>
      <c r="SXY745" s="311"/>
      <c r="SXZ745" s="311"/>
      <c r="SYA745" s="311"/>
      <c r="SYB745" s="311"/>
      <c r="SYC745" s="311"/>
      <c r="SYD745" s="311"/>
      <c r="SYE745" s="311"/>
      <c r="SYF745" s="311"/>
      <c r="SYG745" s="311"/>
      <c r="SYH745" s="311"/>
      <c r="SYI745" s="311"/>
      <c r="SYJ745" s="311"/>
      <c r="SYK745" s="311"/>
      <c r="SYL745" s="311"/>
      <c r="SYM745" s="311"/>
      <c r="SYN745" s="311"/>
      <c r="SYO745" s="311"/>
      <c r="SYP745" s="311"/>
      <c r="SYQ745" s="311"/>
      <c r="SYR745" s="311"/>
      <c r="SYS745" s="311"/>
      <c r="SYT745" s="311"/>
      <c r="SYU745" s="311"/>
      <c r="SYV745" s="311"/>
      <c r="SYW745" s="311"/>
      <c r="SYX745" s="311"/>
      <c r="SYY745" s="311"/>
      <c r="SYZ745" s="311"/>
      <c r="SZA745" s="311"/>
      <c r="SZB745" s="311"/>
      <c r="SZC745" s="311"/>
      <c r="SZD745" s="311"/>
      <c r="SZE745" s="311"/>
      <c r="SZF745" s="311"/>
      <c r="SZG745" s="311"/>
      <c r="SZH745" s="311"/>
      <c r="SZI745" s="311"/>
      <c r="SZJ745" s="311"/>
      <c r="SZK745" s="311"/>
      <c r="SZL745" s="311"/>
      <c r="SZM745" s="311"/>
      <c r="SZN745" s="311"/>
      <c r="SZO745" s="311"/>
      <c r="SZP745" s="311"/>
      <c r="SZQ745" s="311"/>
      <c r="SZR745" s="311"/>
      <c r="SZS745" s="311"/>
      <c r="SZT745" s="311"/>
      <c r="SZU745" s="311"/>
      <c r="SZV745" s="311"/>
      <c r="SZW745" s="311"/>
      <c r="SZX745" s="311"/>
      <c r="SZY745" s="311"/>
      <c r="SZZ745" s="311"/>
      <c r="TAA745" s="311"/>
      <c r="TAB745" s="311"/>
      <c r="TAC745" s="311"/>
      <c r="TAD745" s="311"/>
      <c r="TAE745" s="311"/>
      <c r="TAF745" s="311"/>
      <c r="TAG745" s="311"/>
      <c r="TAH745" s="311"/>
      <c r="TAI745" s="311"/>
      <c r="TAJ745" s="311"/>
      <c r="TAK745" s="311"/>
      <c r="TAL745" s="311"/>
      <c r="TAM745" s="311"/>
      <c r="TAN745" s="311"/>
      <c r="TAO745" s="311"/>
      <c r="TAP745" s="311"/>
      <c r="TAQ745" s="311"/>
      <c r="TAR745" s="311"/>
      <c r="TAS745" s="311"/>
      <c r="TAT745" s="311"/>
      <c r="TAU745" s="311"/>
      <c r="TAV745" s="311"/>
      <c r="TAW745" s="311"/>
      <c r="TAX745" s="311"/>
      <c r="TAY745" s="311"/>
      <c r="TAZ745" s="311"/>
      <c r="TBA745" s="311"/>
      <c r="TBB745" s="311"/>
      <c r="TBC745" s="311"/>
      <c r="TBD745" s="311"/>
      <c r="TBE745" s="311"/>
      <c r="TBF745" s="311"/>
      <c r="TBG745" s="311"/>
      <c r="TBH745" s="311"/>
      <c r="TBI745" s="311"/>
      <c r="TBJ745" s="311"/>
      <c r="TBK745" s="311"/>
      <c r="TBL745" s="311"/>
      <c r="TBM745" s="311"/>
      <c r="TBN745" s="311"/>
      <c r="TBO745" s="311"/>
      <c r="TBP745" s="311"/>
      <c r="TBQ745" s="311"/>
      <c r="TBR745" s="311"/>
      <c r="TBS745" s="311"/>
      <c r="TBT745" s="311"/>
      <c r="TBU745" s="311"/>
      <c r="TBV745" s="311"/>
      <c r="TBW745" s="311"/>
      <c r="TBX745" s="311"/>
      <c r="TBY745" s="311"/>
      <c r="TBZ745" s="311"/>
      <c r="TCA745" s="311"/>
      <c r="TCB745" s="311"/>
      <c r="TCC745" s="311"/>
      <c r="TCD745" s="311"/>
      <c r="TCE745" s="311"/>
      <c r="TCF745" s="311"/>
      <c r="TCG745" s="311"/>
      <c r="TCH745" s="311"/>
      <c r="TCI745" s="311"/>
      <c r="TCJ745" s="311"/>
      <c r="TCK745" s="311"/>
      <c r="TCL745" s="311"/>
      <c r="TCM745" s="311"/>
      <c r="TCN745" s="311"/>
      <c r="TCO745" s="311"/>
      <c r="TCP745" s="311"/>
      <c r="TCQ745" s="311"/>
      <c r="TCR745" s="311"/>
      <c r="TCS745" s="311"/>
      <c r="TCT745" s="311"/>
      <c r="TCU745" s="311"/>
      <c r="TCV745" s="311"/>
      <c r="TCW745" s="311"/>
      <c r="TCX745" s="311"/>
      <c r="TCY745" s="311"/>
      <c r="TCZ745" s="311"/>
      <c r="TDA745" s="311"/>
      <c r="TDB745" s="311"/>
      <c r="TDC745" s="311"/>
      <c r="TDD745" s="311"/>
      <c r="TDE745" s="311"/>
      <c r="TDF745" s="311"/>
      <c r="TDG745" s="311"/>
      <c r="TDH745" s="311"/>
      <c r="TDI745" s="311"/>
      <c r="TDJ745" s="311"/>
      <c r="TDK745" s="311"/>
      <c r="TDL745" s="311"/>
      <c r="TDM745" s="311"/>
      <c r="TDN745" s="311"/>
      <c r="TDO745" s="311"/>
      <c r="TDP745" s="311"/>
      <c r="TDQ745" s="311"/>
      <c r="TDR745" s="311"/>
      <c r="TDS745" s="311"/>
      <c r="TDT745" s="311"/>
      <c r="TDU745" s="311"/>
      <c r="TDV745" s="311"/>
      <c r="TDW745" s="311"/>
      <c r="TDX745" s="311"/>
      <c r="TDY745" s="311"/>
      <c r="TDZ745" s="311"/>
      <c r="TEA745" s="311"/>
      <c r="TEB745" s="311"/>
      <c r="TEC745" s="311"/>
      <c r="TED745" s="311"/>
      <c r="TEE745" s="311"/>
      <c r="TEF745" s="311"/>
      <c r="TEG745" s="311"/>
      <c r="TEH745" s="311"/>
      <c r="TEI745" s="311"/>
      <c r="TEJ745" s="311"/>
      <c r="TEK745" s="311"/>
      <c r="TEL745" s="311"/>
      <c r="TEM745" s="311"/>
      <c r="TEN745" s="311"/>
      <c r="TEO745" s="311"/>
      <c r="TEP745" s="311"/>
      <c r="TEQ745" s="311"/>
      <c r="TER745" s="311"/>
      <c r="TES745" s="311"/>
      <c r="TET745" s="311"/>
      <c r="TEU745" s="311"/>
      <c r="TEV745" s="311"/>
      <c r="TEW745" s="311"/>
      <c r="TEX745" s="311"/>
      <c r="TEY745" s="311"/>
      <c r="TEZ745" s="311"/>
      <c r="TFA745" s="311"/>
      <c r="TFB745" s="311"/>
      <c r="TFC745" s="311"/>
      <c r="TFD745" s="311"/>
      <c r="TFE745" s="311"/>
      <c r="TFF745" s="311"/>
      <c r="TFG745" s="311"/>
      <c r="TFH745" s="311"/>
      <c r="TFI745" s="311"/>
      <c r="TFJ745" s="311"/>
      <c r="TFK745" s="311"/>
      <c r="TFL745" s="311"/>
      <c r="TFM745" s="311"/>
      <c r="TFN745" s="311"/>
      <c r="TFO745" s="311"/>
      <c r="TFP745" s="311"/>
      <c r="TFQ745" s="311"/>
      <c r="TFR745" s="311"/>
      <c r="TFS745" s="311"/>
      <c r="TFT745" s="311"/>
      <c r="TFU745" s="311"/>
      <c r="TFV745" s="311"/>
      <c r="TFW745" s="311"/>
      <c r="TFX745" s="311"/>
      <c r="TFY745" s="311"/>
      <c r="TFZ745" s="311"/>
      <c r="TGA745" s="311"/>
      <c r="TGB745" s="311"/>
      <c r="TGC745" s="311"/>
      <c r="TGD745" s="311"/>
      <c r="TGE745" s="311"/>
      <c r="TGF745" s="311"/>
      <c r="TGG745" s="311"/>
      <c r="TGH745" s="311"/>
      <c r="TGI745" s="311"/>
      <c r="TGJ745" s="311"/>
      <c r="TGK745" s="311"/>
      <c r="TGL745" s="311"/>
      <c r="TGM745" s="311"/>
      <c r="TGN745" s="311"/>
      <c r="TGO745" s="311"/>
      <c r="TGP745" s="311"/>
      <c r="TGQ745" s="311"/>
      <c r="TGR745" s="311"/>
      <c r="TGS745" s="311"/>
      <c r="TGT745" s="311"/>
      <c r="TGU745" s="311"/>
      <c r="TGV745" s="311"/>
      <c r="TGW745" s="311"/>
      <c r="TGX745" s="311"/>
      <c r="TGY745" s="311"/>
      <c r="TGZ745" s="311"/>
      <c r="THA745" s="311"/>
      <c r="THB745" s="311"/>
      <c r="THC745" s="311"/>
      <c r="THD745" s="311"/>
      <c r="THE745" s="311"/>
      <c r="THF745" s="311"/>
      <c r="THG745" s="311"/>
      <c r="THH745" s="311"/>
      <c r="THI745" s="311"/>
      <c r="THJ745" s="311"/>
      <c r="THK745" s="311"/>
      <c r="THL745" s="311"/>
      <c r="THM745" s="311"/>
      <c r="THN745" s="311"/>
      <c r="THO745" s="311"/>
      <c r="THP745" s="311"/>
      <c r="THQ745" s="311"/>
      <c r="THR745" s="311"/>
      <c r="THS745" s="311"/>
      <c r="THT745" s="311"/>
      <c r="THU745" s="311"/>
      <c r="THV745" s="311"/>
      <c r="THW745" s="311"/>
      <c r="THX745" s="311"/>
      <c r="THY745" s="311"/>
      <c r="THZ745" s="311"/>
      <c r="TIA745" s="311"/>
      <c r="TIB745" s="311"/>
      <c r="TIC745" s="311"/>
      <c r="TID745" s="311"/>
      <c r="TIE745" s="311"/>
      <c r="TIF745" s="311"/>
      <c r="TIG745" s="311"/>
      <c r="TIH745" s="311"/>
      <c r="TII745" s="311"/>
      <c r="TIJ745" s="311"/>
      <c r="TIK745" s="311"/>
      <c r="TIL745" s="311"/>
      <c r="TIM745" s="311"/>
      <c r="TIN745" s="311"/>
      <c r="TIO745" s="311"/>
      <c r="TIP745" s="311"/>
      <c r="TIQ745" s="311"/>
      <c r="TIR745" s="311"/>
      <c r="TIS745" s="311"/>
      <c r="TIT745" s="311"/>
      <c r="TIU745" s="311"/>
      <c r="TIV745" s="311"/>
      <c r="TIW745" s="311"/>
      <c r="TIX745" s="311"/>
      <c r="TIY745" s="311"/>
      <c r="TIZ745" s="311"/>
      <c r="TJA745" s="311"/>
      <c r="TJB745" s="311"/>
      <c r="TJC745" s="311"/>
      <c r="TJD745" s="311"/>
      <c r="TJE745" s="311"/>
      <c r="TJF745" s="311"/>
      <c r="TJG745" s="311"/>
      <c r="TJH745" s="311"/>
      <c r="TJI745" s="311"/>
      <c r="TJJ745" s="311"/>
      <c r="TJK745" s="311"/>
      <c r="TJL745" s="311"/>
      <c r="TJM745" s="311"/>
      <c r="TJN745" s="311"/>
      <c r="TJO745" s="311"/>
      <c r="TJP745" s="311"/>
      <c r="TJQ745" s="311"/>
      <c r="TJR745" s="311"/>
      <c r="TJS745" s="311"/>
      <c r="TJT745" s="311"/>
      <c r="TJU745" s="311"/>
      <c r="TJV745" s="311"/>
      <c r="TJW745" s="311"/>
      <c r="TJX745" s="311"/>
      <c r="TJY745" s="311"/>
      <c r="TJZ745" s="311"/>
      <c r="TKA745" s="311"/>
      <c r="TKB745" s="311"/>
      <c r="TKC745" s="311"/>
      <c r="TKD745" s="311"/>
      <c r="TKE745" s="311"/>
      <c r="TKF745" s="311"/>
      <c r="TKG745" s="311"/>
      <c r="TKH745" s="311"/>
      <c r="TKI745" s="311"/>
      <c r="TKJ745" s="311"/>
      <c r="TKK745" s="311"/>
      <c r="TKL745" s="311"/>
      <c r="TKM745" s="311"/>
      <c r="TKN745" s="311"/>
      <c r="TKO745" s="311"/>
      <c r="TKP745" s="311"/>
      <c r="TKQ745" s="311"/>
      <c r="TKR745" s="311"/>
      <c r="TKS745" s="311"/>
      <c r="TKT745" s="311"/>
      <c r="TKU745" s="311"/>
      <c r="TKV745" s="311"/>
      <c r="TKW745" s="311"/>
      <c r="TKX745" s="311"/>
      <c r="TKY745" s="311"/>
      <c r="TKZ745" s="311"/>
      <c r="TLA745" s="311"/>
      <c r="TLB745" s="311"/>
      <c r="TLC745" s="311"/>
      <c r="TLD745" s="311"/>
      <c r="TLE745" s="311"/>
      <c r="TLF745" s="311"/>
      <c r="TLG745" s="311"/>
      <c r="TLH745" s="311"/>
      <c r="TLI745" s="311"/>
      <c r="TLJ745" s="311"/>
      <c r="TLK745" s="311"/>
      <c r="TLL745" s="311"/>
      <c r="TLM745" s="311"/>
      <c r="TLN745" s="311"/>
      <c r="TLO745" s="311"/>
      <c r="TLP745" s="311"/>
      <c r="TLQ745" s="311"/>
      <c r="TLR745" s="311"/>
      <c r="TLS745" s="311"/>
      <c r="TLT745" s="311"/>
      <c r="TLU745" s="311"/>
      <c r="TLV745" s="311"/>
      <c r="TLW745" s="311"/>
      <c r="TLX745" s="311"/>
      <c r="TLY745" s="311"/>
      <c r="TLZ745" s="311"/>
      <c r="TMA745" s="311"/>
      <c r="TMB745" s="311"/>
      <c r="TMC745" s="311"/>
      <c r="TMD745" s="311"/>
      <c r="TME745" s="311"/>
      <c r="TMF745" s="311"/>
      <c r="TMG745" s="311"/>
      <c r="TMH745" s="311"/>
      <c r="TMI745" s="311"/>
      <c r="TMJ745" s="311"/>
      <c r="TMK745" s="311"/>
      <c r="TML745" s="311"/>
      <c r="TMM745" s="311"/>
      <c r="TMN745" s="311"/>
      <c r="TMO745" s="311"/>
      <c r="TMP745" s="311"/>
      <c r="TMQ745" s="311"/>
      <c r="TMR745" s="311"/>
      <c r="TMS745" s="311"/>
      <c r="TMT745" s="311"/>
      <c r="TMU745" s="311"/>
      <c r="TMV745" s="311"/>
      <c r="TMW745" s="311"/>
      <c r="TMX745" s="311"/>
      <c r="TMY745" s="311"/>
      <c r="TMZ745" s="311"/>
      <c r="TNA745" s="311"/>
      <c r="TNB745" s="311"/>
      <c r="TNC745" s="311"/>
      <c r="TND745" s="311"/>
      <c r="TNE745" s="311"/>
      <c r="TNF745" s="311"/>
      <c r="TNG745" s="311"/>
      <c r="TNH745" s="311"/>
      <c r="TNI745" s="311"/>
      <c r="TNJ745" s="311"/>
      <c r="TNK745" s="311"/>
      <c r="TNL745" s="311"/>
      <c r="TNM745" s="311"/>
      <c r="TNN745" s="311"/>
      <c r="TNO745" s="311"/>
      <c r="TNP745" s="311"/>
      <c r="TNQ745" s="311"/>
      <c r="TNR745" s="311"/>
      <c r="TNS745" s="311"/>
      <c r="TNT745" s="311"/>
      <c r="TNU745" s="311"/>
      <c r="TNV745" s="311"/>
      <c r="TNW745" s="311"/>
      <c r="TNX745" s="311"/>
      <c r="TNY745" s="311"/>
      <c r="TNZ745" s="311"/>
      <c r="TOA745" s="311"/>
      <c r="TOB745" s="311"/>
      <c r="TOC745" s="311"/>
      <c r="TOD745" s="311"/>
      <c r="TOE745" s="311"/>
      <c r="TOF745" s="311"/>
      <c r="TOG745" s="311"/>
      <c r="TOH745" s="311"/>
      <c r="TOI745" s="311"/>
      <c r="TOJ745" s="311"/>
      <c r="TOK745" s="311"/>
      <c r="TOL745" s="311"/>
      <c r="TOM745" s="311"/>
      <c r="TON745" s="311"/>
      <c r="TOO745" s="311"/>
      <c r="TOP745" s="311"/>
      <c r="TOQ745" s="311"/>
      <c r="TOR745" s="311"/>
      <c r="TOS745" s="311"/>
      <c r="TOT745" s="311"/>
      <c r="TOU745" s="311"/>
      <c r="TOV745" s="311"/>
      <c r="TOW745" s="311"/>
      <c r="TOX745" s="311"/>
      <c r="TOY745" s="311"/>
      <c r="TOZ745" s="311"/>
      <c r="TPA745" s="311"/>
      <c r="TPB745" s="311"/>
      <c r="TPC745" s="311"/>
      <c r="TPD745" s="311"/>
      <c r="TPE745" s="311"/>
      <c r="TPF745" s="311"/>
      <c r="TPG745" s="311"/>
      <c r="TPH745" s="311"/>
      <c r="TPI745" s="311"/>
      <c r="TPJ745" s="311"/>
      <c r="TPK745" s="311"/>
      <c r="TPL745" s="311"/>
      <c r="TPM745" s="311"/>
      <c r="TPN745" s="311"/>
      <c r="TPO745" s="311"/>
      <c r="TPP745" s="311"/>
      <c r="TPQ745" s="311"/>
      <c r="TPR745" s="311"/>
      <c r="TPS745" s="311"/>
      <c r="TPT745" s="311"/>
      <c r="TPU745" s="311"/>
      <c r="TPV745" s="311"/>
      <c r="TPW745" s="311"/>
      <c r="TPX745" s="311"/>
      <c r="TPY745" s="311"/>
      <c r="TPZ745" s="311"/>
      <c r="TQA745" s="311"/>
      <c r="TQB745" s="311"/>
      <c r="TQC745" s="311"/>
      <c r="TQD745" s="311"/>
      <c r="TQE745" s="311"/>
      <c r="TQF745" s="311"/>
      <c r="TQG745" s="311"/>
      <c r="TQH745" s="311"/>
      <c r="TQI745" s="311"/>
      <c r="TQJ745" s="311"/>
      <c r="TQK745" s="311"/>
      <c r="TQL745" s="311"/>
      <c r="TQM745" s="311"/>
      <c r="TQN745" s="311"/>
      <c r="TQO745" s="311"/>
      <c r="TQP745" s="311"/>
      <c r="TQQ745" s="311"/>
      <c r="TQR745" s="311"/>
      <c r="TQS745" s="311"/>
      <c r="TQT745" s="311"/>
      <c r="TQU745" s="311"/>
      <c r="TQV745" s="311"/>
      <c r="TQW745" s="311"/>
      <c r="TQX745" s="311"/>
      <c r="TQY745" s="311"/>
      <c r="TQZ745" s="311"/>
      <c r="TRA745" s="311"/>
      <c r="TRB745" s="311"/>
      <c r="TRC745" s="311"/>
      <c r="TRD745" s="311"/>
      <c r="TRE745" s="311"/>
      <c r="TRF745" s="311"/>
      <c r="TRG745" s="311"/>
      <c r="TRH745" s="311"/>
      <c r="TRI745" s="311"/>
      <c r="TRJ745" s="311"/>
      <c r="TRK745" s="311"/>
      <c r="TRL745" s="311"/>
      <c r="TRM745" s="311"/>
      <c r="TRN745" s="311"/>
      <c r="TRO745" s="311"/>
      <c r="TRP745" s="311"/>
      <c r="TRQ745" s="311"/>
      <c r="TRR745" s="311"/>
      <c r="TRS745" s="311"/>
      <c r="TRT745" s="311"/>
      <c r="TRU745" s="311"/>
      <c r="TRV745" s="311"/>
      <c r="TRW745" s="311"/>
      <c r="TRX745" s="311"/>
      <c r="TRY745" s="311"/>
      <c r="TRZ745" s="311"/>
      <c r="TSA745" s="311"/>
      <c r="TSB745" s="311"/>
      <c r="TSC745" s="311"/>
      <c r="TSD745" s="311"/>
      <c r="TSE745" s="311"/>
      <c r="TSF745" s="311"/>
      <c r="TSG745" s="311"/>
      <c r="TSH745" s="311"/>
      <c r="TSI745" s="311"/>
      <c r="TSJ745" s="311"/>
      <c r="TSK745" s="311"/>
      <c r="TSL745" s="311"/>
      <c r="TSM745" s="311"/>
      <c r="TSN745" s="311"/>
      <c r="TSO745" s="311"/>
      <c r="TSP745" s="311"/>
      <c r="TSQ745" s="311"/>
      <c r="TSR745" s="311"/>
      <c r="TSS745" s="311"/>
      <c r="TST745" s="311"/>
      <c r="TSU745" s="311"/>
      <c r="TSV745" s="311"/>
      <c r="TSW745" s="311"/>
      <c r="TSX745" s="311"/>
      <c r="TSY745" s="311"/>
      <c r="TSZ745" s="311"/>
      <c r="TTA745" s="311"/>
      <c r="TTB745" s="311"/>
      <c r="TTC745" s="311"/>
      <c r="TTD745" s="311"/>
      <c r="TTE745" s="311"/>
      <c r="TTF745" s="311"/>
      <c r="TTG745" s="311"/>
      <c r="TTH745" s="311"/>
      <c r="TTI745" s="311"/>
      <c r="TTJ745" s="311"/>
      <c r="TTK745" s="311"/>
      <c r="TTL745" s="311"/>
      <c r="TTM745" s="311"/>
      <c r="TTN745" s="311"/>
      <c r="TTO745" s="311"/>
      <c r="TTP745" s="311"/>
      <c r="TTQ745" s="311"/>
      <c r="TTR745" s="311"/>
      <c r="TTS745" s="311"/>
      <c r="TTT745" s="311"/>
      <c r="TTU745" s="311"/>
      <c r="TTV745" s="311"/>
      <c r="TTW745" s="311"/>
      <c r="TTX745" s="311"/>
      <c r="TTY745" s="311"/>
      <c r="TTZ745" s="311"/>
      <c r="TUA745" s="311"/>
      <c r="TUB745" s="311"/>
      <c r="TUC745" s="311"/>
      <c r="TUD745" s="311"/>
      <c r="TUE745" s="311"/>
      <c r="TUF745" s="311"/>
      <c r="TUG745" s="311"/>
      <c r="TUH745" s="311"/>
      <c r="TUI745" s="311"/>
      <c r="TUJ745" s="311"/>
      <c r="TUK745" s="311"/>
      <c r="TUL745" s="311"/>
      <c r="TUM745" s="311"/>
      <c r="TUN745" s="311"/>
      <c r="TUO745" s="311"/>
      <c r="TUP745" s="311"/>
      <c r="TUQ745" s="311"/>
      <c r="TUR745" s="311"/>
      <c r="TUS745" s="311"/>
      <c r="TUT745" s="311"/>
      <c r="TUU745" s="311"/>
      <c r="TUV745" s="311"/>
      <c r="TUW745" s="311"/>
      <c r="TUX745" s="311"/>
      <c r="TUY745" s="311"/>
      <c r="TUZ745" s="311"/>
      <c r="TVA745" s="311"/>
      <c r="TVB745" s="311"/>
      <c r="TVC745" s="311"/>
      <c r="TVD745" s="311"/>
      <c r="TVE745" s="311"/>
      <c r="TVF745" s="311"/>
      <c r="TVG745" s="311"/>
      <c r="TVH745" s="311"/>
      <c r="TVI745" s="311"/>
      <c r="TVJ745" s="311"/>
      <c r="TVK745" s="311"/>
      <c r="TVL745" s="311"/>
      <c r="TVM745" s="311"/>
      <c r="TVN745" s="311"/>
      <c r="TVO745" s="311"/>
      <c r="TVP745" s="311"/>
      <c r="TVQ745" s="311"/>
      <c r="TVR745" s="311"/>
      <c r="TVS745" s="311"/>
      <c r="TVT745" s="311"/>
      <c r="TVU745" s="311"/>
      <c r="TVV745" s="311"/>
      <c r="TVW745" s="311"/>
      <c r="TVX745" s="311"/>
      <c r="TVY745" s="311"/>
      <c r="TVZ745" s="311"/>
      <c r="TWA745" s="311"/>
      <c r="TWB745" s="311"/>
      <c r="TWC745" s="311"/>
      <c r="TWD745" s="311"/>
      <c r="TWE745" s="311"/>
      <c r="TWF745" s="311"/>
      <c r="TWG745" s="311"/>
      <c r="TWH745" s="311"/>
      <c r="TWI745" s="311"/>
      <c r="TWJ745" s="311"/>
      <c r="TWK745" s="311"/>
      <c r="TWL745" s="311"/>
      <c r="TWM745" s="311"/>
      <c r="TWN745" s="311"/>
      <c r="TWO745" s="311"/>
      <c r="TWP745" s="311"/>
      <c r="TWQ745" s="311"/>
      <c r="TWR745" s="311"/>
      <c r="TWS745" s="311"/>
      <c r="TWT745" s="311"/>
      <c r="TWU745" s="311"/>
      <c r="TWV745" s="311"/>
      <c r="TWW745" s="311"/>
      <c r="TWX745" s="311"/>
      <c r="TWY745" s="311"/>
      <c r="TWZ745" s="311"/>
      <c r="TXA745" s="311"/>
      <c r="TXB745" s="311"/>
      <c r="TXC745" s="311"/>
      <c r="TXD745" s="311"/>
      <c r="TXE745" s="311"/>
      <c r="TXF745" s="311"/>
      <c r="TXG745" s="311"/>
      <c r="TXH745" s="311"/>
      <c r="TXI745" s="311"/>
      <c r="TXJ745" s="311"/>
      <c r="TXK745" s="311"/>
      <c r="TXL745" s="311"/>
      <c r="TXM745" s="311"/>
      <c r="TXN745" s="311"/>
      <c r="TXO745" s="311"/>
      <c r="TXP745" s="311"/>
      <c r="TXQ745" s="311"/>
      <c r="TXR745" s="311"/>
      <c r="TXS745" s="311"/>
      <c r="TXT745" s="311"/>
      <c r="TXU745" s="311"/>
      <c r="TXV745" s="311"/>
      <c r="TXW745" s="311"/>
      <c r="TXX745" s="311"/>
      <c r="TXY745" s="311"/>
      <c r="TXZ745" s="311"/>
      <c r="TYA745" s="311"/>
      <c r="TYB745" s="311"/>
      <c r="TYC745" s="311"/>
      <c r="TYD745" s="311"/>
      <c r="TYE745" s="311"/>
      <c r="TYF745" s="311"/>
      <c r="TYG745" s="311"/>
      <c r="TYH745" s="311"/>
      <c r="TYI745" s="311"/>
      <c r="TYJ745" s="311"/>
      <c r="TYK745" s="311"/>
      <c r="TYL745" s="311"/>
      <c r="TYM745" s="311"/>
      <c r="TYN745" s="311"/>
      <c r="TYO745" s="311"/>
      <c r="TYP745" s="311"/>
      <c r="TYQ745" s="311"/>
      <c r="TYR745" s="311"/>
      <c r="TYS745" s="311"/>
      <c r="TYT745" s="311"/>
      <c r="TYU745" s="311"/>
      <c r="TYV745" s="311"/>
      <c r="TYW745" s="311"/>
      <c r="TYX745" s="311"/>
      <c r="TYY745" s="311"/>
      <c r="TYZ745" s="311"/>
      <c r="TZA745" s="311"/>
      <c r="TZB745" s="311"/>
      <c r="TZC745" s="311"/>
      <c r="TZD745" s="311"/>
      <c r="TZE745" s="311"/>
      <c r="TZF745" s="311"/>
      <c r="TZG745" s="311"/>
      <c r="TZH745" s="311"/>
      <c r="TZI745" s="311"/>
      <c r="TZJ745" s="311"/>
      <c r="TZK745" s="311"/>
      <c r="TZL745" s="311"/>
      <c r="TZM745" s="311"/>
      <c r="TZN745" s="311"/>
      <c r="TZO745" s="311"/>
      <c r="TZP745" s="311"/>
      <c r="TZQ745" s="311"/>
      <c r="TZR745" s="311"/>
      <c r="TZS745" s="311"/>
      <c r="TZT745" s="311"/>
      <c r="TZU745" s="311"/>
      <c r="TZV745" s="311"/>
      <c r="TZW745" s="311"/>
      <c r="TZX745" s="311"/>
      <c r="TZY745" s="311"/>
      <c r="TZZ745" s="311"/>
      <c r="UAA745" s="311"/>
      <c r="UAB745" s="311"/>
      <c r="UAC745" s="311"/>
      <c r="UAD745" s="311"/>
      <c r="UAE745" s="311"/>
      <c r="UAF745" s="311"/>
      <c r="UAG745" s="311"/>
      <c r="UAH745" s="311"/>
      <c r="UAI745" s="311"/>
      <c r="UAJ745" s="311"/>
      <c r="UAK745" s="311"/>
      <c r="UAL745" s="311"/>
      <c r="UAM745" s="311"/>
      <c r="UAN745" s="311"/>
      <c r="UAO745" s="311"/>
      <c r="UAP745" s="311"/>
      <c r="UAQ745" s="311"/>
      <c r="UAR745" s="311"/>
      <c r="UAS745" s="311"/>
      <c r="UAT745" s="311"/>
      <c r="UAU745" s="311"/>
      <c r="UAV745" s="311"/>
      <c r="UAW745" s="311"/>
      <c r="UAX745" s="311"/>
      <c r="UAY745" s="311"/>
      <c r="UAZ745" s="311"/>
      <c r="UBA745" s="311"/>
      <c r="UBB745" s="311"/>
      <c r="UBC745" s="311"/>
      <c r="UBD745" s="311"/>
      <c r="UBE745" s="311"/>
      <c r="UBF745" s="311"/>
      <c r="UBG745" s="311"/>
      <c r="UBH745" s="311"/>
      <c r="UBI745" s="311"/>
      <c r="UBJ745" s="311"/>
      <c r="UBK745" s="311"/>
      <c r="UBL745" s="311"/>
      <c r="UBM745" s="311"/>
      <c r="UBN745" s="311"/>
      <c r="UBO745" s="311"/>
      <c r="UBP745" s="311"/>
      <c r="UBQ745" s="311"/>
      <c r="UBR745" s="311"/>
      <c r="UBS745" s="311"/>
      <c r="UBT745" s="311"/>
      <c r="UBU745" s="311"/>
      <c r="UBV745" s="311"/>
      <c r="UBW745" s="311"/>
      <c r="UBX745" s="311"/>
      <c r="UBY745" s="311"/>
      <c r="UBZ745" s="311"/>
      <c r="UCA745" s="311"/>
      <c r="UCB745" s="311"/>
      <c r="UCC745" s="311"/>
      <c r="UCD745" s="311"/>
      <c r="UCE745" s="311"/>
      <c r="UCF745" s="311"/>
      <c r="UCG745" s="311"/>
      <c r="UCH745" s="311"/>
      <c r="UCI745" s="311"/>
      <c r="UCJ745" s="311"/>
      <c r="UCK745" s="311"/>
      <c r="UCL745" s="311"/>
      <c r="UCM745" s="311"/>
      <c r="UCN745" s="311"/>
      <c r="UCO745" s="311"/>
      <c r="UCP745" s="311"/>
      <c r="UCQ745" s="311"/>
      <c r="UCR745" s="311"/>
      <c r="UCS745" s="311"/>
      <c r="UCT745" s="311"/>
      <c r="UCU745" s="311"/>
      <c r="UCV745" s="311"/>
      <c r="UCW745" s="311"/>
      <c r="UCX745" s="311"/>
      <c r="UCY745" s="311"/>
      <c r="UCZ745" s="311"/>
      <c r="UDA745" s="311"/>
      <c r="UDB745" s="311"/>
      <c r="UDC745" s="311"/>
      <c r="UDD745" s="311"/>
      <c r="UDE745" s="311"/>
      <c r="UDF745" s="311"/>
      <c r="UDG745" s="311"/>
      <c r="UDH745" s="311"/>
      <c r="UDI745" s="311"/>
      <c r="UDJ745" s="311"/>
      <c r="UDK745" s="311"/>
      <c r="UDL745" s="311"/>
      <c r="UDM745" s="311"/>
      <c r="UDN745" s="311"/>
      <c r="UDO745" s="311"/>
      <c r="UDP745" s="311"/>
      <c r="UDQ745" s="311"/>
      <c r="UDR745" s="311"/>
      <c r="UDS745" s="311"/>
      <c r="UDT745" s="311"/>
      <c r="UDU745" s="311"/>
      <c r="UDV745" s="311"/>
      <c r="UDW745" s="311"/>
      <c r="UDX745" s="311"/>
      <c r="UDY745" s="311"/>
      <c r="UDZ745" s="311"/>
      <c r="UEA745" s="311"/>
      <c r="UEB745" s="311"/>
      <c r="UEC745" s="311"/>
      <c r="UED745" s="311"/>
      <c r="UEE745" s="311"/>
      <c r="UEF745" s="311"/>
      <c r="UEG745" s="311"/>
      <c r="UEH745" s="311"/>
      <c r="UEI745" s="311"/>
      <c r="UEJ745" s="311"/>
      <c r="UEK745" s="311"/>
      <c r="UEL745" s="311"/>
      <c r="UEM745" s="311"/>
      <c r="UEN745" s="311"/>
      <c r="UEO745" s="311"/>
      <c r="UEP745" s="311"/>
      <c r="UEQ745" s="311"/>
      <c r="UER745" s="311"/>
      <c r="UES745" s="311"/>
      <c r="UET745" s="311"/>
      <c r="UEU745" s="311"/>
      <c r="UEV745" s="311"/>
      <c r="UEW745" s="311"/>
      <c r="UEX745" s="311"/>
      <c r="UEY745" s="311"/>
      <c r="UEZ745" s="311"/>
      <c r="UFA745" s="311"/>
      <c r="UFB745" s="311"/>
      <c r="UFC745" s="311"/>
      <c r="UFD745" s="311"/>
      <c r="UFE745" s="311"/>
      <c r="UFF745" s="311"/>
      <c r="UFG745" s="311"/>
      <c r="UFH745" s="311"/>
      <c r="UFI745" s="311"/>
      <c r="UFJ745" s="311"/>
      <c r="UFK745" s="311"/>
      <c r="UFL745" s="311"/>
      <c r="UFM745" s="311"/>
      <c r="UFN745" s="311"/>
      <c r="UFO745" s="311"/>
      <c r="UFP745" s="311"/>
      <c r="UFQ745" s="311"/>
      <c r="UFR745" s="311"/>
      <c r="UFS745" s="311"/>
      <c r="UFT745" s="311"/>
      <c r="UFU745" s="311"/>
      <c r="UFV745" s="311"/>
      <c r="UFW745" s="311"/>
      <c r="UFX745" s="311"/>
      <c r="UFY745" s="311"/>
      <c r="UFZ745" s="311"/>
      <c r="UGA745" s="311"/>
      <c r="UGB745" s="311"/>
      <c r="UGC745" s="311"/>
      <c r="UGD745" s="311"/>
      <c r="UGE745" s="311"/>
      <c r="UGF745" s="311"/>
      <c r="UGG745" s="311"/>
      <c r="UGH745" s="311"/>
      <c r="UGI745" s="311"/>
      <c r="UGJ745" s="311"/>
      <c r="UGK745" s="311"/>
      <c r="UGL745" s="311"/>
      <c r="UGM745" s="311"/>
      <c r="UGN745" s="311"/>
      <c r="UGO745" s="311"/>
      <c r="UGP745" s="311"/>
      <c r="UGQ745" s="311"/>
      <c r="UGR745" s="311"/>
      <c r="UGS745" s="311"/>
      <c r="UGT745" s="311"/>
      <c r="UGU745" s="311"/>
      <c r="UGV745" s="311"/>
      <c r="UGW745" s="311"/>
      <c r="UGX745" s="311"/>
      <c r="UGY745" s="311"/>
      <c r="UGZ745" s="311"/>
      <c r="UHA745" s="311"/>
      <c r="UHB745" s="311"/>
      <c r="UHC745" s="311"/>
      <c r="UHD745" s="311"/>
      <c r="UHE745" s="311"/>
      <c r="UHF745" s="311"/>
      <c r="UHG745" s="311"/>
      <c r="UHH745" s="311"/>
      <c r="UHI745" s="311"/>
      <c r="UHJ745" s="311"/>
      <c r="UHK745" s="311"/>
      <c r="UHL745" s="311"/>
      <c r="UHM745" s="311"/>
      <c r="UHN745" s="311"/>
      <c r="UHO745" s="311"/>
      <c r="UHP745" s="311"/>
      <c r="UHQ745" s="311"/>
      <c r="UHR745" s="311"/>
      <c r="UHS745" s="311"/>
      <c r="UHT745" s="311"/>
      <c r="UHU745" s="311"/>
      <c r="UHV745" s="311"/>
      <c r="UHW745" s="311"/>
      <c r="UHX745" s="311"/>
      <c r="UHY745" s="311"/>
      <c r="UHZ745" s="311"/>
      <c r="UIA745" s="311"/>
      <c r="UIB745" s="311"/>
      <c r="UIC745" s="311"/>
      <c r="UID745" s="311"/>
      <c r="UIE745" s="311"/>
      <c r="UIF745" s="311"/>
      <c r="UIG745" s="311"/>
      <c r="UIH745" s="311"/>
      <c r="UII745" s="311"/>
      <c r="UIJ745" s="311"/>
      <c r="UIK745" s="311"/>
      <c r="UIL745" s="311"/>
      <c r="UIM745" s="311"/>
      <c r="UIN745" s="311"/>
      <c r="UIO745" s="311"/>
      <c r="UIP745" s="311"/>
      <c r="UIQ745" s="311"/>
      <c r="UIR745" s="311"/>
      <c r="UIS745" s="311"/>
      <c r="UIT745" s="311"/>
      <c r="UIU745" s="311"/>
      <c r="UIV745" s="311"/>
      <c r="UIW745" s="311"/>
      <c r="UIX745" s="311"/>
      <c r="UIY745" s="311"/>
      <c r="UIZ745" s="311"/>
      <c r="UJA745" s="311"/>
      <c r="UJB745" s="311"/>
      <c r="UJC745" s="311"/>
      <c r="UJD745" s="311"/>
      <c r="UJE745" s="311"/>
      <c r="UJF745" s="311"/>
      <c r="UJG745" s="311"/>
      <c r="UJH745" s="311"/>
      <c r="UJI745" s="311"/>
      <c r="UJJ745" s="311"/>
      <c r="UJK745" s="311"/>
      <c r="UJL745" s="311"/>
      <c r="UJM745" s="311"/>
      <c r="UJN745" s="311"/>
      <c r="UJO745" s="311"/>
      <c r="UJP745" s="311"/>
      <c r="UJQ745" s="311"/>
      <c r="UJR745" s="311"/>
      <c r="UJS745" s="311"/>
      <c r="UJT745" s="311"/>
      <c r="UJU745" s="311"/>
      <c r="UJV745" s="311"/>
      <c r="UJW745" s="311"/>
      <c r="UJX745" s="311"/>
      <c r="UJY745" s="311"/>
      <c r="UJZ745" s="311"/>
      <c r="UKA745" s="311"/>
      <c r="UKB745" s="311"/>
      <c r="UKC745" s="311"/>
      <c r="UKD745" s="311"/>
      <c r="UKE745" s="311"/>
      <c r="UKF745" s="311"/>
      <c r="UKG745" s="311"/>
      <c r="UKH745" s="311"/>
      <c r="UKI745" s="311"/>
      <c r="UKJ745" s="311"/>
      <c r="UKK745" s="311"/>
      <c r="UKL745" s="311"/>
      <c r="UKM745" s="311"/>
      <c r="UKN745" s="311"/>
      <c r="UKO745" s="311"/>
      <c r="UKP745" s="311"/>
      <c r="UKQ745" s="311"/>
      <c r="UKR745" s="311"/>
      <c r="UKS745" s="311"/>
      <c r="UKT745" s="311"/>
      <c r="UKU745" s="311"/>
      <c r="UKV745" s="311"/>
      <c r="UKW745" s="311"/>
      <c r="UKX745" s="311"/>
      <c r="UKY745" s="311"/>
      <c r="UKZ745" s="311"/>
      <c r="ULA745" s="311"/>
      <c r="ULB745" s="311"/>
      <c r="ULC745" s="311"/>
      <c r="ULD745" s="311"/>
      <c r="ULE745" s="311"/>
      <c r="ULF745" s="311"/>
      <c r="ULG745" s="311"/>
      <c r="ULH745" s="311"/>
      <c r="ULI745" s="311"/>
      <c r="ULJ745" s="311"/>
      <c r="ULK745" s="311"/>
      <c r="ULL745" s="311"/>
      <c r="ULM745" s="311"/>
      <c r="ULN745" s="311"/>
      <c r="ULO745" s="311"/>
      <c r="ULP745" s="311"/>
      <c r="ULQ745" s="311"/>
      <c r="ULR745" s="311"/>
      <c r="ULS745" s="311"/>
      <c r="ULT745" s="311"/>
      <c r="ULU745" s="311"/>
      <c r="ULV745" s="311"/>
      <c r="ULW745" s="311"/>
      <c r="ULX745" s="311"/>
      <c r="ULY745" s="311"/>
      <c r="ULZ745" s="311"/>
      <c r="UMA745" s="311"/>
      <c r="UMB745" s="311"/>
      <c r="UMC745" s="311"/>
      <c r="UMD745" s="311"/>
      <c r="UME745" s="311"/>
      <c r="UMF745" s="311"/>
      <c r="UMG745" s="311"/>
      <c r="UMH745" s="311"/>
      <c r="UMI745" s="311"/>
      <c r="UMJ745" s="311"/>
      <c r="UMK745" s="311"/>
      <c r="UML745" s="311"/>
      <c r="UMM745" s="311"/>
      <c r="UMN745" s="311"/>
      <c r="UMO745" s="311"/>
      <c r="UMP745" s="311"/>
      <c r="UMQ745" s="311"/>
      <c r="UMR745" s="311"/>
      <c r="UMS745" s="311"/>
      <c r="UMT745" s="311"/>
      <c r="UMU745" s="311"/>
      <c r="UMV745" s="311"/>
      <c r="UMW745" s="311"/>
      <c r="UMX745" s="311"/>
      <c r="UMY745" s="311"/>
      <c r="UMZ745" s="311"/>
      <c r="UNA745" s="311"/>
      <c r="UNB745" s="311"/>
      <c r="UNC745" s="311"/>
      <c r="UND745" s="311"/>
      <c r="UNE745" s="311"/>
      <c r="UNF745" s="311"/>
      <c r="UNG745" s="311"/>
      <c r="UNH745" s="311"/>
      <c r="UNI745" s="311"/>
      <c r="UNJ745" s="311"/>
      <c r="UNK745" s="311"/>
      <c r="UNL745" s="311"/>
      <c r="UNM745" s="311"/>
      <c r="UNN745" s="311"/>
      <c r="UNO745" s="311"/>
      <c r="UNP745" s="311"/>
      <c r="UNQ745" s="311"/>
      <c r="UNR745" s="311"/>
      <c r="UNS745" s="311"/>
      <c r="UNT745" s="311"/>
      <c r="UNU745" s="311"/>
      <c r="UNV745" s="311"/>
      <c r="UNW745" s="311"/>
      <c r="UNX745" s="311"/>
      <c r="UNY745" s="311"/>
      <c r="UNZ745" s="311"/>
      <c r="UOA745" s="311"/>
      <c r="UOB745" s="311"/>
      <c r="UOC745" s="311"/>
      <c r="UOD745" s="311"/>
      <c r="UOE745" s="311"/>
      <c r="UOF745" s="311"/>
      <c r="UOG745" s="311"/>
      <c r="UOH745" s="311"/>
      <c r="UOI745" s="311"/>
      <c r="UOJ745" s="311"/>
      <c r="UOK745" s="311"/>
      <c r="UOL745" s="311"/>
      <c r="UOM745" s="311"/>
      <c r="UON745" s="311"/>
      <c r="UOO745" s="311"/>
      <c r="UOP745" s="311"/>
      <c r="UOQ745" s="311"/>
      <c r="UOR745" s="311"/>
      <c r="UOS745" s="311"/>
      <c r="UOT745" s="311"/>
      <c r="UOU745" s="311"/>
      <c r="UOV745" s="311"/>
      <c r="UOW745" s="311"/>
      <c r="UOX745" s="311"/>
      <c r="UOY745" s="311"/>
      <c r="UOZ745" s="311"/>
      <c r="UPA745" s="311"/>
      <c r="UPB745" s="311"/>
      <c r="UPC745" s="311"/>
      <c r="UPD745" s="311"/>
      <c r="UPE745" s="311"/>
      <c r="UPF745" s="311"/>
      <c r="UPG745" s="311"/>
      <c r="UPH745" s="311"/>
      <c r="UPI745" s="311"/>
      <c r="UPJ745" s="311"/>
      <c r="UPK745" s="311"/>
      <c r="UPL745" s="311"/>
      <c r="UPM745" s="311"/>
      <c r="UPN745" s="311"/>
      <c r="UPO745" s="311"/>
      <c r="UPP745" s="311"/>
      <c r="UPQ745" s="311"/>
      <c r="UPR745" s="311"/>
      <c r="UPS745" s="311"/>
      <c r="UPT745" s="311"/>
      <c r="UPU745" s="311"/>
      <c r="UPV745" s="311"/>
      <c r="UPW745" s="311"/>
      <c r="UPX745" s="311"/>
      <c r="UPY745" s="311"/>
      <c r="UPZ745" s="311"/>
      <c r="UQA745" s="311"/>
      <c r="UQB745" s="311"/>
      <c r="UQC745" s="311"/>
      <c r="UQD745" s="311"/>
      <c r="UQE745" s="311"/>
      <c r="UQF745" s="311"/>
      <c r="UQG745" s="311"/>
      <c r="UQH745" s="311"/>
      <c r="UQI745" s="311"/>
      <c r="UQJ745" s="311"/>
      <c r="UQK745" s="311"/>
      <c r="UQL745" s="311"/>
      <c r="UQM745" s="311"/>
      <c r="UQN745" s="311"/>
      <c r="UQO745" s="311"/>
      <c r="UQP745" s="311"/>
      <c r="UQQ745" s="311"/>
      <c r="UQR745" s="311"/>
      <c r="UQS745" s="311"/>
      <c r="UQT745" s="311"/>
      <c r="UQU745" s="311"/>
      <c r="UQV745" s="311"/>
      <c r="UQW745" s="311"/>
      <c r="UQX745" s="311"/>
      <c r="UQY745" s="311"/>
      <c r="UQZ745" s="311"/>
      <c r="URA745" s="311"/>
      <c r="URB745" s="311"/>
      <c r="URC745" s="311"/>
      <c r="URD745" s="311"/>
      <c r="URE745" s="311"/>
      <c r="URF745" s="311"/>
      <c r="URG745" s="311"/>
      <c r="URH745" s="311"/>
      <c r="URI745" s="311"/>
      <c r="URJ745" s="311"/>
      <c r="URK745" s="311"/>
      <c r="URL745" s="311"/>
      <c r="URM745" s="311"/>
      <c r="URN745" s="311"/>
      <c r="URO745" s="311"/>
      <c r="URP745" s="311"/>
      <c r="URQ745" s="311"/>
      <c r="URR745" s="311"/>
      <c r="URS745" s="311"/>
      <c r="URT745" s="311"/>
      <c r="URU745" s="311"/>
      <c r="URV745" s="311"/>
      <c r="URW745" s="311"/>
      <c r="URX745" s="311"/>
      <c r="URY745" s="311"/>
      <c r="URZ745" s="311"/>
      <c r="USA745" s="311"/>
      <c r="USB745" s="311"/>
      <c r="USC745" s="311"/>
      <c r="USD745" s="311"/>
      <c r="USE745" s="311"/>
      <c r="USF745" s="311"/>
      <c r="USG745" s="311"/>
      <c r="USH745" s="311"/>
      <c r="USI745" s="311"/>
      <c r="USJ745" s="311"/>
      <c r="USK745" s="311"/>
      <c r="USL745" s="311"/>
      <c r="USM745" s="311"/>
      <c r="USN745" s="311"/>
      <c r="USO745" s="311"/>
      <c r="USP745" s="311"/>
      <c r="USQ745" s="311"/>
      <c r="USR745" s="311"/>
      <c r="USS745" s="311"/>
      <c r="UST745" s="311"/>
      <c r="USU745" s="311"/>
      <c r="USV745" s="311"/>
      <c r="USW745" s="311"/>
      <c r="USX745" s="311"/>
      <c r="USY745" s="311"/>
      <c r="USZ745" s="311"/>
      <c r="UTA745" s="311"/>
      <c r="UTB745" s="311"/>
      <c r="UTC745" s="311"/>
      <c r="UTD745" s="311"/>
      <c r="UTE745" s="311"/>
      <c r="UTF745" s="311"/>
      <c r="UTG745" s="311"/>
      <c r="UTH745" s="311"/>
      <c r="UTI745" s="311"/>
      <c r="UTJ745" s="311"/>
      <c r="UTK745" s="311"/>
      <c r="UTL745" s="311"/>
      <c r="UTM745" s="311"/>
      <c r="UTN745" s="311"/>
      <c r="UTO745" s="311"/>
      <c r="UTP745" s="311"/>
      <c r="UTQ745" s="311"/>
      <c r="UTR745" s="311"/>
      <c r="UTS745" s="311"/>
      <c r="UTT745" s="311"/>
      <c r="UTU745" s="311"/>
      <c r="UTV745" s="311"/>
      <c r="UTW745" s="311"/>
      <c r="UTX745" s="311"/>
      <c r="UTY745" s="311"/>
      <c r="UTZ745" s="311"/>
      <c r="UUA745" s="311"/>
      <c r="UUB745" s="311"/>
      <c r="UUC745" s="311"/>
      <c r="UUD745" s="311"/>
      <c r="UUE745" s="311"/>
      <c r="UUF745" s="311"/>
      <c r="UUG745" s="311"/>
      <c r="UUH745" s="311"/>
      <c r="UUI745" s="311"/>
      <c r="UUJ745" s="311"/>
      <c r="UUK745" s="311"/>
      <c r="UUL745" s="311"/>
      <c r="UUM745" s="311"/>
      <c r="UUN745" s="311"/>
      <c r="UUO745" s="311"/>
      <c r="UUP745" s="311"/>
      <c r="UUQ745" s="311"/>
      <c r="UUR745" s="311"/>
      <c r="UUS745" s="311"/>
      <c r="UUT745" s="311"/>
      <c r="UUU745" s="311"/>
      <c r="UUV745" s="311"/>
      <c r="UUW745" s="311"/>
      <c r="UUX745" s="311"/>
      <c r="UUY745" s="311"/>
      <c r="UUZ745" s="311"/>
      <c r="UVA745" s="311"/>
      <c r="UVB745" s="311"/>
      <c r="UVC745" s="311"/>
      <c r="UVD745" s="311"/>
      <c r="UVE745" s="311"/>
      <c r="UVF745" s="311"/>
      <c r="UVG745" s="311"/>
      <c r="UVH745" s="311"/>
      <c r="UVI745" s="311"/>
      <c r="UVJ745" s="311"/>
      <c r="UVK745" s="311"/>
      <c r="UVL745" s="311"/>
      <c r="UVM745" s="311"/>
      <c r="UVN745" s="311"/>
      <c r="UVO745" s="311"/>
      <c r="UVP745" s="311"/>
      <c r="UVQ745" s="311"/>
      <c r="UVR745" s="311"/>
      <c r="UVS745" s="311"/>
      <c r="UVT745" s="311"/>
      <c r="UVU745" s="311"/>
      <c r="UVV745" s="311"/>
      <c r="UVW745" s="311"/>
      <c r="UVX745" s="311"/>
      <c r="UVY745" s="311"/>
      <c r="UVZ745" s="311"/>
      <c r="UWA745" s="311"/>
      <c r="UWB745" s="311"/>
      <c r="UWC745" s="311"/>
      <c r="UWD745" s="311"/>
      <c r="UWE745" s="311"/>
      <c r="UWF745" s="311"/>
      <c r="UWG745" s="311"/>
      <c r="UWH745" s="311"/>
      <c r="UWI745" s="311"/>
      <c r="UWJ745" s="311"/>
      <c r="UWK745" s="311"/>
      <c r="UWL745" s="311"/>
      <c r="UWM745" s="311"/>
      <c r="UWN745" s="311"/>
      <c r="UWO745" s="311"/>
      <c r="UWP745" s="311"/>
      <c r="UWQ745" s="311"/>
      <c r="UWR745" s="311"/>
      <c r="UWS745" s="311"/>
      <c r="UWT745" s="311"/>
      <c r="UWU745" s="311"/>
      <c r="UWV745" s="311"/>
      <c r="UWW745" s="311"/>
      <c r="UWX745" s="311"/>
      <c r="UWY745" s="311"/>
      <c r="UWZ745" s="311"/>
      <c r="UXA745" s="311"/>
      <c r="UXB745" s="311"/>
      <c r="UXC745" s="311"/>
      <c r="UXD745" s="311"/>
      <c r="UXE745" s="311"/>
      <c r="UXF745" s="311"/>
      <c r="UXG745" s="311"/>
      <c r="UXH745" s="311"/>
      <c r="UXI745" s="311"/>
      <c r="UXJ745" s="311"/>
      <c r="UXK745" s="311"/>
      <c r="UXL745" s="311"/>
      <c r="UXM745" s="311"/>
      <c r="UXN745" s="311"/>
      <c r="UXO745" s="311"/>
      <c r="UXP745" s="311"/>
      <c r="UXQ745" s="311"/>
      <c r="UXR745" s="311"/>
      <c r="UXS745" s="311"/>
      <c r="UXT745" s="311"/>
      <c r="UXU745" s="311"/>
      <c r="UXV745" s="311"/>
      <c r="UXW745" s="311"/>
      <c r="UXX745" s="311"/>
      <c r="UXY745" s="311"/>
      <c r="UXZ745" s="311"/>
      <c r="UYA745" s="311"/>
      <c r="UYB745" s="311"/>
      <c r="UYC745" s="311"/>
      <c r="UYD745" s="311"/>
      <c r="UYE745" s="311"/>
      <c r="UYF745" s="311"/>
      <c r="UYG745" s="311"/>
      <c r="UYH745" s="311"/>
      <c r="UYI745" s="311"/>
      <c r="UYJ745" s="311"/>
      <c r="UYK745" s="311"/>
      <c r="UYL745" s="311"/>
      <c r="UYM745" s="311"/>
      <c r="UYN745" s="311"/>
      <c r="UYO745" s="311"/>
      <c r="UYP745" s="311"/>
      <c r="UYQ745" s="311"/>
      <c r="UYR745" s="311"/>
      <c r="UYS745" s="311"/>
      <c r="UYT745" s="311"/>
      <c r="UYU745" s="311"/>
      <c r="UYV745" s="311"/>
      <c r="UYW745" s="311"/>
      <c r="UYX745" s="311"/>
      <c r="UYY745" s="311"/>
      <c r="UYZ745" s="311"/>
      <c r="UZA745" s="311"/>
      <c r="UZB745" s="311"/>
      <c r="UZC745" s="311"/>
      <c r="UZD745" s="311"/>
      <c r="UZE745" s="311"/>
      <c r="UZF745" s="311"/>
      <c r="UZG745" s="311"/>
      <c r="UZH745" s="311"/>
      <c r="UZI745" s="311"/>
      <c r="UZJ745" s="311"/>
      <c r="UZK745" s="311"/>
      <c r="UZL745" s="311"/>
      <c r="UZM745" s="311"/>
      <c r="UZN745" s="311"/>
      <c r="UZO745" s="311"/>
      <c r="UZP745" s="311"/>
      <c r="UZQ745" s="311"/>
      <c r="UZR745" s="311"/>
      <c r="UZS745" s="311"/>
      <c r="UZT745" s="311"/>
      <c r="UZU745" s="311"/>
      <c r="UZV745" s="311"/>
      <c r="UZW745" s="311"/>
      <c r="UZX745" s="311"/>
      <c r="UZY745" s="311"/>
      <c r="UZZ745" s="311"/>
      <c r="VAA745" s="311"/>
      <c r="VAB745" s="311"/>
      <c r="VAC745" s="311"/>
      <c r="VAD745" s="311"/>
      <c r="VAE745" s="311"/>
      <c r="VAF745" s="311"/>
      <c r="VAG745" s="311"/>
      <c r="VAH745" s="311"/>
      <c r="VAI745" s="311"/>
      <c r="VAJ745" s="311"/>
      <c r="VAK745" s="311"/>
      <c r="VAL745" s="311"/>
      <c r="VAM745" s="311"/>
      <c r="VAN745" s="311"/>
      <c r="VAO745" s="311"/>
      <c r="VAP745" s="311"/>
      <c r="VAQ745" s="311"/>
      <c r="VAR745" s="311"/>
      <c r="VAS745" s="311"/>
      <c r="VAT745" s="311"/>
      <c r="VAU745" s="311"/>
      <c r="VAV745" s="311"/>
      <c r="VAW745" s="311"/>
      <c r="VAX745" s="311"/>
      <c r="VAY745" s="311"/>
      <c r="VAZ745" s="311"/>
      <c r="VBA745" s="311"/>
      <c r="VBB745" s="311"/>
      <c r="VBC745" s="311"/>
      <c r="VBD745" s="311"/>
      <c r="VBE745" s="311"/>
      <c r="VBF745" s="311"/>
      <c r="VBG745" s="311"/>
      <c r="VBH745" s="311"/>
      <c r="VBI745" s="311"/>
      <c r="VBJ745" s="311"/>
      <c r="VBK745" s="311"/>
      <c r="VBL745" s="311"/>
      <c r="VBM745" s="311"/>
      <c r="VBN745" s="311"/>
      <c r="VBO745" s="311"/>
      <c r="VBP745" s="311"/>
      <c r="VBQ745" s="311"/>
      <c r="VBR745" s="311"/>
      <c r="VBS745" s="311"/>
      <c r="VBT745" s="311"/>
      <c r="VBU745" s="311"/>
      <c r="VBV745" s="311"/>
      <c r="VBW745" s="311"/>
      <c r="VBX745" s="311"/>
      <c r="VBY745" s="311"/>
      <c r="VBZ745" s="311"/>
      <c r="VCA745" s="311"/>
      <c r="VCB745" s="311"/>
      <c r="VCC745" s="311"/>
      <c r="VCD745" s="311"/>
      <c r="VCE745" s="311"/>
      <c r="VCF745" s="311"/>
      <c r="VCG745" s="311"/>
      <c r="VCH745" s="311"/>
      <c r="VCI745" s="311"/>
      <c r="VCJ745" s="311"/>
      <c r="VCK745" s="311"/>
      <c r="VCL745" s="311"/>
      <c r="VCM745" s="311"/>
      <c r="VCN745" s="311"/>
      <c r="VCO745" s="311"/>
      <c r="VCP745" s="311"/>
      <c r="VCQ745" s="311"/>
      <c r="VCR745" s="311"/>
      <c r="VCS745" s="311"/>
      <c r="VCT745" s="311"/>
      <c r="VCU745" s="311"/>
      <c r="VCV745" s="311"/>
      <c r="VCW745" s="311"/>
      <c r="VCX745" s="311"/>
      <c r="VCY745" s="311"/>
      <c r="VCZ745" s="311"/>
      <c r="VDA745" s="311"/>
      <c r="VDB745" s="311"/>
      <c r="VDC745" s="311"/>
      <c r="VDD745" s="311"/>
      <c r="VDE745" s="311"/>
      <c r="VDF745" s="311"/>
      <c r="VDG745" s="311"/>
      <c r="VDH745" s="311"/>
      <c r="VDI745" s="311"/>
      <c r="VDJ745" s="311"/>
      <c r="VDK745" s="311"/>
      <c r="VDL745" s="311"/>
      <c r="VDM745" s="311"/>
      <c r="VDN745" s="311"/>
      <c r="VDO745" s="311"/>
      <c r="VDP745" s="311"/>
      <c r="VDQ745" s="311"/>
      <c r="VDR745" s="311"/>
      <c r="VDS745" s="311"/>
      <c r="VDT745" s="311"/>
      <c r="VDU745" s="311"/>
      <c r="VDV745" s="311"/>
      <c r="VDW745" s="311"/>
      <c r="VDX745" s="311"/>
      <c r="VDY745" s="311"/>
      <c r="VDZ745" s="311"/>
      <c r="VEA745" s="311"/>
      <c r="VEB745" s="311"/>
      <c r="VEC745" s="311"/>
      <c r="VED745" s="311"/>
      <c r="VEE745" s="311"/>
      <c r="VEF745" s="311"/>
      <c r="VEG745" s="311"/>
      <c r="VEH745" s="311"/>
      <c r="VEI745" s="311"/>
      <c r="VEJ745" s="311"/>
      <c r="VEK745" s="311"/>
      <c r="VEL745" s="311"/>
      <c r="VEM745" s="311"/>
      <c r="VEN745" s="311"/>
      <c r="VEO745" s="311"/>
      <c r="VEP745" s="311"/>
      <c r="VEQ745" s="311"/>
      <c r="VER745" s="311"/>
      <c r="VES745" s="311"/>
      <c r="VET745" s="311"/>
      <c r="VEU745" s="311"/>
      <c r="VEV745" s="311"/>
      <c r="VEW745" s="311"/>
      <c r="VEX745" s="311"/>
      <c r="VEY745" s="311"/>
      <c r="VEZ745" s="311"/>
      <c r="VFA745" s="311"/>
      <c r="VFB745" s="311"/>
      <c r="VFC745" s="311"/>
      <c r="VFD745" s="311"/>
      <c r="VFE745" s="311"/>
      <c r="VFF745" s="311"/>
      <c r="VFG745" s="311"/>
      <c r="VFH745" s="311"/>
      <c r="VFI745" s="311"/>
      <c r="VFJ745" s="311"/>
      <c r="VFK745" s="311"/>
      <c r="VFL745" s="311"/>
      <c r="VFM745" s="311"/>
      <c r="VFN745" s="311"/>
      <c r="VFO745" s="311"/>
      <c r="VFP745" s="311"/>
      <c r="VFQ745" s="311"/>
      <c r="VFR745" s="311"/>
      <c r="VFS745" s="311"/>
      <c r="VFT745" s="311"/>
      <c r="VFU745" s="311"/>
      <c r="VFV745" s="311"/>
      <c r="VFW745" s="311"/>
      <c r="VFX745" s="311"/>
      <c r="VFY745" s="311"/>
      <c r="VFZ745" s="311"/>
      <c r="VGA745" s="311"/>
      <c r="VGB745" s="311"/>
      <c r="VGC745" s="311"/>
      <c r="VGD745" s="311"/>
      <c r="VGE745" s="311"/>
      <c r="VGF745" s="311"/>
      <c r="VGG745" s="311"/>
      <c r="VGH745" s="311"/>
      <c r="VGI745" s="311"/>
      <c r="VGJ745" s="311"/>
      <c r="VGK745" s="311"/>
      <c r="VGL745" s="311"/>
      <c r="VGM745" s="311"/>
      <c r="VGN745" s="311"/>
      <c r="VGO745" s="311"/>
      <c r="VGP745" s="311"/>
      <c r="VGQ745" s="311"/>
      <c r="VGR745" s="311"/>
      <c r="VGS745" s="311"/>
      <c r="VGT745" s="311"/>
      <c r="VGU745" s="311"/>
      <c r="VGV745" s="311"/>
      <c r="VGW745" s="311"/>
      <c r="VGX745" s="311"/>
      <c r="VGY745" s="311"/>
      <c r="VGZ745" s="311"/>
      <c r="VHA745" s="311"/>
      <c r="VHB745" s="311"/>
      <c r="VHC745" s="311"/>
      <c r="VHD745" s="311"/>
      <c r="VHE745" s="311"/>
      <c r="VHF745" s="311"/>
      <c r="VHG745" s="311"/>
      <c r="VHH745" s="311"/>
      <c r="VHI745" s="311"/>
      <c r="VHJ745" s="311"/>
      <c r="VHK745" s="311"/>
      <c r="VHL745" s="311"/>
      <c r="VHM745" s="311"/>
      <c r="VHN745" s="311"/>
      <c r="VHO745" s="311"/>
      <c r="VHP745" s="311"/>
      <c r="VHQ745" s="311"/>
      <c r="VHR745" s="311"/>
      <c r="VHS745" s="311"/>
      <c r="VHT745" s="311"/>
      <c r="VHU745" s="311"/>
      <c r="VHV745" s="311"/>
      <c r="VHW745" s="311"/>
      <c r="VHX745" s="311"/>
      <c r="VHY745" s="311"/>
      <c r="VHZ745" s="311"/>
      <c r="VIA745" s="311"/>
      <c r="VIB745" s="311"/>
      <c r="VIC745" s="311"/>
      <c r="VID745" s="311"/>
      <c r="VIE745" s="311"/>
      <c r="VIF745" s="311"/>
      <c r="VIG745" s="311"/>
      <c r="VIH745" s="311"/>
      <c r="VII745" s="311"/>
      <c r="VIJ745" s="311"/>
      <c r="VIK745" s="311"/>
      <c r="VIL745" s="311"/>
      <c r="VIM745" s="311"/>
      <c r="VIN745" s="311"/>
      <c r="VIO745" s="311"/>
      <c r="VIP745" s="311"/>
      <c r="VIQ745" s="311"/>
      <c r="VIR745" s="311"/>
      <c r="VIS745" s="311"/>
      <c r="VIT745" s="311"/>
      <c r="VIU745" s="311"/>
      <c r="VIV745" s="311"/>
      <c r="VIW745" s="311"/>
      <c r="VIX745" s="311"/>
      <c r="VIY745" s="311"/>
      <c r="VIZ745" s="311"/>
      <c r="VJA745" s="311"/>
      <c r="VJB745" s="311"/>
      <c r="VJC745" s="311"/>
      <c r="VJD745" s="311"/>
      <c r="VJE745" s="311"/>
      <c r="VJF745" s="311"/>
      <c r="VJG745" s="311"/>
      <c r="VJH745" s="311"/>
      <c r="VJI745" s="311"/>
      <c r="VJJ745" s="311"/>
      <c r="VJK745" s="311"/>
      <c r="VJL745" s="311"/>
      <c r="VJM745" s="311"/>
      <c r="VJN745" s="311"/>
      <c r="VJO745" s="311"/>
      <c r="VJP745" s="311"/>
      <c r="VJQ745" s="311"/>
      <c r="VJR745" s="311"/>
      <c r="VJS745" s="311"/>
      <c r="VJT745" s="311"/>
      <c r="VJU745" s="311"/>
      <c r="VJV745" s="311"/>
      <c r="VJW745" s="311"/>
      <c r="VJX745" s="311"/>
      <c r="VJY745" s="311"/>
      <c r="VJZ745" s="311"/>
      <c r="VKA745" s="311"/>
      <c r="VKB745" s="311"/>
      <c r="VKC745" s="311"/>
      <c r="VKD745" s="311"/>
      <c r="VKE745" s="311"/>
      <c r="VKF745" s="311"/>
      <c r="VKG745" s="311"/>
      <c r="VKH745" s="311"/>
      <c r="VKI745" s="311"/>
      <c r="VKJ745" s="311"/>
      <c r="VKK745" s="311"/>
      <c r="VKL745" s="311"/>
      <c r="VKM745" s="311"/>
      <c r="VKN745" s="311"/>
      <c r="VKO745" s="311"/>
      <c r="VKP745" s="311"/>
      <c r="VKQ745" s="311"/>
      <c r="VKR745" s="311"/>
      <c r="VKS745" s="311"/>
      <c r="VKT745" s="311"/>
      <c r="VKU745" s="311"/>
      <c r="VKV745" s="311"/>
      <c r="VKW745" s="311"/>
      <c r="VKX745" s="311"/>
      <c r="VKY745" s="311"/>
      <c r="VKZ745" s="311"/>
      <c r="VLA745" s="311"/>
      <c r="VLB745" s="311"/>
      <c r="VLC745" s="311"/>
      <c r="VLD745" s="311"/>
      <c r="VLE745" s="311"/>
      <c r="VLF745" s="311"/>
      <c r="VLG745" s="311"/>
      <c r="VLH745" s="311"/>
      <c r="VLI745" s="311"/>
      <c r="VLJ745" s="311"/>
      <c r="VLK745" s="311"/>
      <c r="VLL745" s="311"/>
      <c r="VLM745" s="311"/>
      <c r="VLN745" s="311"/>
      <c r="VLO745" s="311"/>
      <c r="VLP745" s="311"/>
      <c r="VLQ745" s="311"/>
      <c r="VLR745" s="311"/>
      <c r="VLS745" s="311"/>
      <c r="VLT745" s="311"/>
      <c r="VLU745" s="311"/>
      <c r="VLV745" s="311"/>
      <c r="VLW745" s="311"/>
      <c r="VLX745" s="311"/>
      <c r="VLY745" s="311"/>
      <c r="VLZ745" s="311"/>
      <c r="VMA745" s="311"/>
      <c r="VMB745" s="311"/>
      <c r="VMC745" s="311"/>
      <c r="VMD745" s="311"/>
      <c r="VME745" s="311"/>
      <c r="VMF745" s="311"/>
      <c r="VMG745" s="311"/>
      <c r="VMH745" s="311"/>
      <c r="VMI745" s="311"/>
      <c r="VMJ745" s="311"/>
      <c r="VMK745" s="311"/>
      <c r="VML745" s="311"/>
      <c r="VMM745" s="311"/>
      <c r="VMN745" s="311"/>
      <c r="VMO745" s="311"/>
      <c r="VMP745" s="311"/>
      <c r="VMQ745" s="311"/>
      <c r="VMR745" s="311"/>
      <c r="VMS745" s="311"/>
      <c r="VMT745" s="311"/>
      <c r="VMU745" s="311"/>
      <c r="VMV745" s="311"/>
      <c r="VMW745" s="311"/>
      <c r="VMX745" s="311"/>
      <c r="VMY745" s="311"/>
      <c r="VMZ745" s="311"/>
      <c r="VNA745" s="311"/>
      <c r="VNB745" s="311"/>
      <c r="VNC745" s="311"/>
      <c r="VND745" s="311"/>
      <c r="VNE745" s="311"/>
      <c r="VNF745" s="311"/>
      <c r="VNG745" s="311"/>
      <c r="VNH745" s="311"/>
      <c r="VNI745" s="311"/>
      <c r="VNJ745" s="311"/>
      <c r="VNK745" s="311"/>
      <c r="VNL745" s="311"/>
      <c r="VNM745" s="311"/>
      <c r="VNN745" s="311"/>
      <c r="VNO745" s="311"/>
      <c r="VNP745" s="311"/>
      <c r="VNQ745" s="311"/>
      <c r="VNR745" s="311"/>
      <c r="VNS745" s="311"/>
      <c r="VNT745" s="311"/>
      <c r="VNU745" s="311"/>
      <c r="VNV745" s="311"/>
      <c r="VNW745" s="311"/>
      <c r="VNX745" s="311"/>
      <c r="VNY745" s="311"/>
      <c r="VNZ745" s="311"/>
      <c r="VOA745" s="311"/>
      <c r="VOB745" s="311"/>
      <c r="VOC745" s="311"/>
      <c r="VOD745" s="311"/>
      <c r="VOE745" s="311"/>
      <c r="VOF745" s="311"/>
      <c r="VOG745" s="311"/>
      <c r="VOH745" s="311"/>
      <c r="VOI745" s="311"/>
      <c r="VOJ745" s="311"/>
      <c r="VOK745" s="311"/>
      <c r="VOL745" s="311"/>
      <c r="VOM745" s="311"/>
      <c r="VON745" s="311"/>
      <c r="VOO745" s="311"/>
      <c r="VOP745" s="311"/>
      <c r="VOQ745" s="311"/>
      <c r="VOR745" s="311"/>
      <c r="VOS745" s="311"/>
      <c r="VOT745" s="311"/>
      <c r="VOU745" s="311"/>
      <c r="VOV745" s="311"/>
      <c r="VOW745" s="311"/>
      <c r="VOX745" s="311"/>
      <c r="VOY745" s="311"/>
      <c r="VOZ745" s="311"/>
      <c r="VPA745" s="311"/>
      <c r="VPB745" s="311"/>
      <c r="VPC745" s="311"/>
      <c r="VPD745" s="311"/>
      <c r="VPE745" s="311"/>
      <c r="VPF745" s="311"/>
      <c r="VPG745" s="311"/>
      <c r="VPH745" s="311"/>
      <c r="VPI745" s="311"/>
      <c r="VPJ745" s="311"/>
      <c r="VPK745" s="311"/>
      <c r="VPL745" s="311"/>
      <c r="VPM745" s="311"/>
      <c r="VPN745" s="311"/>
      <c r="VPO745" s="311"/>
      <c r="VPP745" s="311"/>
      <c r="VPQ745" s="311"/>
      <c r="VPR745" s="311"/>
      <c r="VPS745" s="311"/>
      <c r="VPT745" s="311"/>
      <c r="VPU745" s="311"/>
      <c r="VPV745" s="311"/>
      <c r="VPW745" s="311"/>
      <c r="VPX745" s="311"/>
      <c r="VPY745" s="311"/>
      <c r="VPZ745" s="311"/>
      <c r="VQA745" s="311"/>
      <c r="VQB745" s="311"/>
      <c r="VQC745" s="311"/>
      <c r="VQD745" s="311"/>
      <c r="VQE745" s="311"/>
      <c r="VQF745" s="311"/>
      <c r="VQG745" s="311"/>
      <c r="VQH745" s="311"/>
      <c r="VQI745" s="311"/>
      <c r="VQJ745" s="311"/>
      <c r="VQK745" s="311"/>
      <c r="VQL745" s="311"/>
      <c r="VQM745" s="311"/>
      <c r="VQN745" s="311"/>
      <c r="VQO745" s="311"/>
      <c r="VQP745" s="311"/>
      <c r="VQQ745" s="311"/>
      <c r="VQR745" s="311"/>
      <c r="VQS745" s="311"/>
      <c r="VQT745" s="311"/>
      <c r="VQU745" s="311"/>
      <c r="VQV745" s="311"/>
      <c r="VQW745" s="311"/>
      <c r="VQX745" s="311"/>
      <c r="VQY745" s="311"/>
      <c r="VQZ745" s="311"/>
      <c r="VRA745" s="311"/>
      <c r="VRB745" s="311"/>
      <c r="VRC745" s="311"/>
      <c r="VRD745" s="311"/>
      <c r="VRE745" s="311"/>
      <c r="VRF745" s="311"/>
      <c r="VRG745" s="311"/>
      <c r="VRH745" s="311"/>
      <c r="VRI745" s="311"/>
      <c r="VRJ745" s="311"/>
      <c r="VRK745" s="311"/>
      <c r="VRL745" s="311"/>
      <c r="VRM745" s="311"/>
      <c r="VRN745" s="311"/>
      <c r="VRO745" s="311"/>
      <c r="VRP745" s="311"/>
      <c r="VRQ745" s="311"/>
      <c r="VRR745" s="311"/>
      <c r="VRS745" s="311"/>
      <c r="VRT745" s="311"/>
      <c r="VRU745" s="311"/>
      <c r="VRV745" s="311"/>
      <c r="VRW745" s="311"/>
      <c r="VRX745" s="311"/>
      <c r="VRY745" s="311"/>
      <c r="VRZ745" s="311"/>
      <c r="VSA745" s="311"/>
      <c r="VSB745" s="311"/>
      <c r="VSC745" s="311"/>
      <c r="VSD745" s="311"/>
      <c r="VSE745" s="311"/>
      <c r="VSF745" s="311"/>
      <c r="VSG745" s="311"/>
      <c r="VSH745" s="311"/>
      <c r="VSI745" s="311"/>
      <c r="VSJ745" s="311"/>
      <c r="VSK745" s="311"/>
      <c r="VSL745" s="311"/>
      <c r="VSM745" s="311"/>
      <c r="VSN745" s="311"/>
      <c r="VSO745" s="311"/>
      <c r="VSP745" s="311"/>
      <c r="VSQ745" s="311"/>
      <c r="VSR745" s="311"/>
      <c r="VSS745" s="311"/>
      <c r="VST745" s="311"/>
      <c r="VSU745" s="311"/>
      <c r="VSV745" s="311"/>
      <c r="VSW745" s="311"/>
      <c r="VSX745" s="311"/>
      <c r="VSY745" s="311"/>
      <c r="VSZ745" s="311"/>
      <c r="VTA745" s="311"/>
      <c r="VTB745" s="311"/>
      <c r="VTC745" s="311"/>
      <c r="VTD745" s="311"/>
      <c r="VTE745" s="311"/>
      <c r="VTF745" s="311"/>
      <c r="VTG745" s="311"/>
      <c r="VTH745" s="311"/>
      <c r="VTI745" s="311"/>
      <c r="VTJ745" s="311"/>
      <c r="VTK745" s="311"/>
      <c r="VTL745" s="311"/>
      <c r="VTM745" s="311"/>
      <c r="VTN745" s="311"/>
      <c r="VTO745" s="311"/>
      <c r="VTP745" s="311"/>
      <c r="VTQ745" s="311"/>
      <c r="VTR745" s="311"/>
      <c r="VTS745" s="311"/>
      <c r="VTT745" s="311"/>
      <c r="VTU745" s="311"/>
      <c r="VTV745" s="311"/>
      <c r="VTW745" s="311"/>
      <c r="VTX745" s="311"/>
      <c r="VTY745" s="311"/>
      <c r="VTZ745" s="311"/>
      <c r="VUA745" s="311"/>
      <c r="VUB745" s="311"/>
      <c r="VUC745" s="311"/>
      <c r="VUD745" s="311"/>
      <c r="VUE745" s="311"/>
      <c r="VUF745" s="311"/>
      <c r="VUG745" s="311"/>
      <c r="VUH745" s="311"/>
      <c r="VUI745" s="311"/>
      <c r="VUJ745" s="311"/>
      <c r="VUK745" s="311"/>
      <c r="VUL745" s="311"/>
      <c r="VUM745" s="311"/>
      <c r="VUN745" s="311"/>
      <c r="VUO745" s="311"/>
      <c r="VUP745" s="311"/>
      <c r="VUQ745" s="311"/>
      <c r="VUR745" s="311"/>
      <c r="VUS745" s="311"/>
      <c r="VUT745" s="311"/>
      <c r="VUU745" s="311"/>
      <c r="VUV745" s="311"/>
      <c r="VUW745" s="311"/>
      <c r="VUX745" s="311"/>
      <c r="VUY745" s="311"/>
      <c r="VUZ745" s="311"/>
      <c r="VVA745" s="311"/>
      <c r="VVB745" s="311"/>
      <c r="VVC745" s="311"/>
      <c r="VVD745" s="311"/>
      <c r="VVE745" s="311"/>
      <c r="VVF745" s="311"/>
      <c r="VVG745" s="311"/>
      <c r="VVH745" s="311"/>
      <c r="VVI745" s="311"/>
      <c r="VVJ745" s="311"/>
      <c r="VVK745" s="311"/>
      <c r="VVL745" s="311"/>
      <c r="VVM745" s="311"/>
      <c r="VVN745" s="311"/>
      <c r="VVO745" s="311"/>
      <c r="VVP745" s="311"/>
      <c r="VVQ745" s="311"/>
      <c r="VVR745" s="311"/>
      <c r="VVS745" s="311"/>
      <c r="VVT745" s="311"/>
      <c r="VVU745" s="311"/>
      <c r="VVV745" s="311"/>
      <c r="VVW745" s="311"/>
      <c r="VVX745" s="311"/>
      <c r="VVY745" s="311"/>
      <c r="VVZ745" s="311"/>
      <c r="VWA745" s="311"/>
      <c r="VWB745" s="311"/>
      <c r="VWC745" s="311"/>
      <c r="VWD745" s="311"/>
      <c r="VWE745" s="311"/>
      <c r="VWF745" s="311"/>
      <c r="VWG745" s="311"/>
      <c r="VWH745" s="311"/>
      <c r="VWI745" s="311"/>
      <c r="VWJ745" s="311"/>
      <c r="VWK745" s="311"/>
      <c r="VWL745" s="311"/>
      <c r="VWM745" s="311"/>
      <c r="VWN745" s="311"/>
      <c r="VWO745" s="311"/>
      <c r="VWP745" s="311"/>
      <c r="VWQ745" s="311"/>
      <c r="VWR745" s="311"/>
      <c r="VWS745" s="311"/>
      <c r="VWT745" s="311"/>
      <c r="VWU745" s="311"/>
      <c r="VWV745" s="311"/>
      <c r="VWW745" s="311"/>
      <c r="VWX745" s="311"/>
      <c r="VWY745" s="311"/>
      <c r="VWZ745" s="311"/>
      <c r="VXA745" s="311"/>
      <c r="VXB745" s="311"/>
      <c r="VXC745" s="311"/>
      <c r="VXD745" s="311"/>
      <c r="VXE745" s="311"/>
      <c r="VXF745" s="311"/>
      <c r="VXG745" s="311"/>
      <c r="VXH745" s="311"/>
      <c r="VXI745" s="311"/>
      <c r="VXJ745" s="311"/>
      <c r="VXK745" s="311"/>
      <c r="VXL745" s="311"/>
      <c r="VXM745" s="311"/>
      <c r="VXN745" s="311"/>
      <c r="VXO745" s="311"/>
      <c r="VXP745" s="311"/>
      <c r="VXQ745" s="311"/>
      <c r="VXR745" s="311"/>
      <c r="VXS745" s="311"/>
      <c r="VXT745" s="311"/>
      <c r="VXU745" s="311"/>
      <c r="VXV745" s="311"/>
      <c r="VXW745" s="311"/>
      <c r="VXX745" s="311"/>
      <c r="VXY745" s="311"/>
      <c r="VXZ745" s="311"/>
      <c r="VYA745" s="311"/>
      <c r="VYB745" s="311"/>
      <c r="VYC745" s="311"/>
      <c r="VYD745" s="311"/>
      <c r="VYE745" s="311"/>
      <c r="VYF745" s="311"/>
      <c r="VYG745" s="311"/>
      <c r="VYH745" s="311"/>
      <c r="VYI745" s="311"/>
      <c r="VYJ745" s="311"/>
      <c r="VYK745" s="311"/>
      <c r="VYL745" s="311"/>
      <c r="VYM745" s="311"/>
      <c r="VYN745" s="311"/>
      <c r="VYO745" s="311"/>
      <c r="VYP745" s="311"/>
      <c r="VYQ745" s="311"/>
      <c r="VYR745" s="311"/>
      <c r="VYS745" s="311"/>
      <c r="VYT745" s="311"/>
      <c r="VYU745" s="311"/>
      <c r="VYV745" s="311"/>
      <c r="VYW745" s="311"/>
      <c r="VYX745" s="311"/>
      <c r="VYY745" s="311"/>
      <c r="VYZ745" s="311"/>
      <c r="VZA745" s="311"/>
      <c r="VZB745" s="311"/>
      <c r="VZC745" s="311"/>
      <c r="VZD745" s="311"/>
      <c r="VZE745" s="311"/>
      <c r="VZF745" s="311"/>
      <c r="VZG745" s="311"/>
      <c r="VZH745" s="311"/>
      <c r="VZI745" s="311"/>
      <c r="VZJ745" s="311"/>
      <c r="VZK745" s="311"/>
      <c r="VZL745" s="311"/>
      <c r="VZM745" s="311"/>
      <c r="VZN745" s="311"/>
      <c r="VZO745" s="311"/>
      <c r="VZP745" s="311"/>
      <c r="VZQ745" s="311"/>
      <c r="VZR745" s="311"/>
      <c r="VZS745" s="311"/>
      <c r="VZT745" s="311"/>
      <c r="VZU745" s="311"/>
      <c r="VZV745" s="311"/>
      <c r="VZW745" s="311"/>
      <c r="VZX745" s="311"/>
      <c r="VZY745" s="311"/>
      <c r="VZZ745" s="311"/>
      <c r="WAA745" s="311"/>
      <c r="WAB745" s="311"/>
      <c r="WAC745" s="311"/>
      <c r="WAD745" s="311"/>
      <c r="WAE745" s="311"/>
      <c r="WAF745" s="311"/>
      <c r="WAG745" s="311"/>
      <c r="WAH745" s="311"/>
      <c r="WAI745" s="311"/>
      <c r="WAJ745" s="311"/>
      <c r="WAK745" s="311"/>
      <c r="WAL745" s="311"/>
      <c r="WAM745" s="311"/>
      <c r="WAN745" s="311"/>
      <c r="WAO745" s="311"/>
      <c r="WAP745" s="311"/>
      <c r="WAQ745" s="311"/>
      <c r="WAR745" s="311"/>
      <c r="WAS745" s="311"/>
      <c r="WAT745" s="311"/>
      <c r="WAU745" s="311"/>
      <c r="WAV745" s="311"/>
      <c r="WAW745" s="311"/>
      <c r="WAX745" s="311"/>
      <c r="WAY745" s="311"/>
      <c r="WAZ745" s="311"/>
      <c r="WBA745" s="311"/>
      <c r="WBB745" s="311"/>
      <c r="WBC745" s="311"/>
      <c r="WBD745" s="311"/>
      <c r="WBE745" s="311"/>
      <c r="WBF745" s="311"/>
      <c r="WBG745" s="311"/>
      <c r="WBH745" s="311"/>
      <c r="WBI745" s="311"/>
      <c r="WBJ745" s="311"/>
      <c r="WBK745" s="311"/>
      <c r="WBL745" s="311"/>
      <c r="WBM745" s="311"/>
      <c r="WBN745" s="311"/>
      <c r="WBO745" s="311"/>
      <c r="WBP745" s="311"/>
      <c r="WBQ745" s="311"/>
      <c r="WBR745" s="311"/>
      <c r="WBS745" s="311"/>
      <c r="WBT745" s="311"/>
      <c r="WBU745" s="311"/>
      <c r="WBV745" s="311"/>
      <c r="WBW745" s="311"/>
      <c r="WBX745" s="311"/>
      <c r="WBY745" s="311"/>
      <c r="WBZ745" s="311"/>
      <c r="WCA745" s="311"/>
      <c r="WCB745" s="311"/>
      <c r="WCC745" s="311"/>
      <c r="WCD745" s="311"/>
      <c r="WCE745" s="311"/>
      <c r="WCF745" s="311"/>
      <c r="WCG745" s="311"/>
      <c r="WCH745" s="311"/>
      <c r="WCI745" s="311"/>
      <c r="WCJ745" s="311"/>
      <c r="WCK745" s="311"/>
      <c r="WCL745" s="311"/>
      <c r="WCM745" s="311"/>
      <c r="WCN745" s="311"/>
      <c r="WCO745" s="311"/>
      <c r="WCP745" s="311"/>
      <c r="WCQ745" s="311"/>
      <c r="WCR745" s="311"/>
      <c r="WCS745" s="311"/>
      <c r="WCT745" s="311"/>
      <c r="WCU745" s="311"/>
      <c r="WCV745" s="311"/>
      <c r="WCW745" s="311"/>
      <c r="WCX745" s="311"/>
      <c r="WCY745" s="311"/>
      <c r="WCZ745" s="311"/>
      <c r="WDA745" s="311"/>
      <c r="WDB745" s="311"/>
      <c r="WDC745" s="311"/>
      <c r="WDD745" s="311"/>
      <c r="WDE745" s="311"/>
      <c r="WDF745" s="311"/>
      <c r="WDG745" s="311"/>
      <c r="WDH745" s="311"/>
      <c r="WDI745" s="311"/>
      <c r="WDJ745" s="311"/>
      <c r="WDK745" s="311"/>
      <c r="WDL745" s="311"/>
      <c r="WDM745" s="311"/>
      <c r="WDN745" s="311"/>
      <c r="WDO745" s="311"/>
      <c r="WDP745" s="311"/>
      <c r="WDQ745" s="311"/>
      <c r="WDR745" s="311"/>
      <c r="WDS745" s="311"/>
      <c r="WDT745" s="311"/>
      <c r="WDU745" s="311"/>
      <c r="WDV745" s="311"/>
      <c r="WDW745" s="311"/>
      <c r="WDX745" s="311"/>
      <c r="WDY745" s="311"/>
      <c r="WDZ745" s="311"/>
      <c r="WEA745" s="311"/>
      <c r="WEB745" s="311"/>
      <c r="WEC745" s="311"/>
      <c r="WED745" s="311"/>
      <c r="WEE745" s="311"/>
      <c r="WEF745" s="311"/>
      <c r="WEG745" s="311"/>
      <c r="WEH745" s="311"/>
      <c r="WEI745" s="311"/>
      <c r="WEJ745" s="311"/>
      <c r="WEK745" s="311"/>
      <c r="WEL745" s="311"/>
      <c r="WEM745" s="311"/>
      <c r="WEN745" s="311"/>
      <c r="WEO745" s="311"/>
      <c r="WEP745" s="311"/>
      <c r="WEQ745" s="311"/>
      <c r="WER745" s="311"/>
      <c r="WES745" s="311"/>
      <c r="WET745" s="311"/>
      <c r="WEU745" s="311"/>
      <c r="WEV745" s="311"/>
      <c r="WEW745" s="311"/>
      <c r="WEX745" s="311"/>
      <c r="WEY745" s="311"/>
      <c r="WEZ745" s="311"/>
      <c r="WFA745" s="311"/>
      <c r="WFB745" s="311"/>
      <c r="WFC745" s="311"/>
      <c r="WFD745" s="311"/>
      <c r="WFE745" s="311"/>
      <c r="WFF745" s="311"/>
      <c r="WFG745" s="311"/>
      <c r="WFH745" s="311"/>
      <c r="WFI745" s="311"/>
      <c r="WFJ745" s="311"/>
      <c r="WFK745" s="311"/>
      <c r="WFL745" s="311"/>
      <c r="WFM745" s="311"/>
      <c r="WFN745" s="311"/>
      <c r="WFO745" s="311"/>
      <c r="WFP745" s="311"/>
      <c r="WFQ745" s="311"/>
      <c r="WFR745" s="311"/>
      <c r="WFS745" s="311"/>
      <c r="WFT745" s="311"/>
      <c r="WFU745" s="311"/>
      <c r="WFV745" s="311"/>
      <c r="WFW745" s="311"/>
      <c r="WFX745" s="311"/>
      <c r="WFY745" s="311"/>
      <c r="WFZ745" s="311"/>
      <c r="WGA745" s="311"/>
      <c r="WGB745" s="311"/>
      <c r="WGC745" s="311"/>
      <c r="WGD745" s="311"/>
      <c r="WGE745" s="311"/>
      <c r="WGF745" s="311"/>
      <c r="WGG745" s="311"/>
      <c r="WGH745" s="311"/>
      <c r="WGI745" s="311"/>
      <c r="WGJ745" s="311"/>
      <c r="WGK745" s="311"/>
      <c r="WGL745" s="311"/>
      <c r="WGM745" s="311"/>
      <c r="WGN745" s="311"/>
      <c r="WGO745" s="311"/>
      <c r="WGP745" s="311"/>
      <c r="WGQ745" s="311"/>
      <c r="WGR745" s="311"/>
      <c r="WGS745" s="311"/>
      <c r="WGT745" s="311"/>
      <c r="WGU745" s="311"/>
      <c r="WGV745" s="311"/>
      <c r="WGW745" s="311"/>
      <c r="WGX745" s="311"/>
      <c r="WGY745" s="311"/>
      <c r="WGZ745" s="311"/>
      <c r="WHA745" s="311"/>
      <c r="WHB745" s="311"/>
      <c r="WHC745" s="311"/>
      <c r="WHD745" s="311"/>
      <c r="WHE745" s="311"/>
      <c r="WHF745" s="311"/>
      <c r="WHG745" s="311"/>
      <c r="WHH745" s="311"/>
      <c r="WHI745" s="311"/>
      <c r="WHJ745" s="311"/>
      <c r="WHK745" s="311"/>
      <c r="WHL745" s="311"/>
      <c r="WHM745" s="311"/>
      <c r="WHN745" s="311"/>
      <c r="WHO745" s="311"/>
      <c r="WHP745" s="311"/>
      <c r="WHQ745" s="311"/>
      <c r="WHR745" s="311"/>
      <c r="WHS745" s="311"/>
      <c r="WHT745" s="311"/>
      <c r="WHU745" s="311"/>
      <c r="WHV745" s="311"/>
      <c r="WHW745" s="311"/>
      <c r="WHX745" s="311"/>
      <c r="WHY745" s="311"/>
      <c r="WHZ745" s="311"/>
      <c r="WIA745" s="311"/>
      <c r="WIB745" s="311"/>
      <c r="WIC745" s="311"/>
      <c r="WID745" s="311"/>
      <c r="WIE745" s="311"/>
      <c r="WIF745" s="311"/>
      <c r="WIG745" s="311"/>
      <c r="WIH745" s="311"/>
      <c r="WII745" s="311"/>
      <c r="WIJ745" s="311"/>
      <c r="WIK745" s="311"/>
      <c r="WIL745" s="311"/>
      <c r="WIM745" s="311"/>
      <c r="WIN745" s="311"/>
      <c r="WIO745" s="311"/>
      <c r="WIP745" s="311"/>
      <c r="WIQ745" s="311"/>
      <c r="WIR745" s="311"/>
      <c r="WIS745" s="311"/>
      <c r="WIT745" s="311"/>
      <c r="WIU745" s="311"/>
      <c r="WIV745" s="311"/>
      <c r="WIW745" s="311"/>
      <c r="WIX745" s="311"/>
      <c r="WIY745" s="311"/>
      <c r="WIZ745" s="311"/>
      <c r="WJA745" s="311"/>
      <c r="WJB745" s="311"/>
      <c r="WJC745" s="311"/>
      <c r="WJD745" s="311"/>
      <c r="WJE745" s="311"/>
      <c r="WJF745" s="311"/>
      <c r="WJG745" s="311"/>
      <c r="WJH745" s="311"/>
      <c r="WJI745" s="311"/>
      <c r="WJJ745" s="311"/>
      <c r="WJK745" s="311"/>
      <c r="WJL745" s="311"/>
      <c r="WJM745" s="311"/>
      <c r="WJN745" s="311"/>
      <c r="WJO745" s="311"/>
      <c r="WJP745" s="311"/>
      <c r="WJQ745" s="311"/>
      <c r="WJR745" s="311"/>
      <c r="WJS745" s="311"/>
      <c r="WJT745" s="311"/>
      <c r="WJU745" s="311"/>
      <c r="WJV745" s="311"/>
      <c r="WJW745" s="311"/>
      <c r="WJX745" s="311"/>
      <c r="WJY745" s="311"/>
      <c r="WJZ745" s="311"/>
      <c r="WKA745" s="311"/>
      <c r="WKB745" s="311"/>
      <c r="WKC745" s="311"/>
      <c r="WKD745" s="311"/>
      <c r="WKE745" s="311"/>
      <c r="WKF745" s="311"/>
      <c r="WKG745" s="311"/>
      <c r="WKH745" s="311"/>
      <c r="WKI745" s="311"/>
      <c r="WKJ745" s="311"/>
      <c r="WKK745" s="311"/>
      <c r="WKL745" s="311"/>
      <c r="WKM745" s="311"/>
      <c r="WKN745" s="311"/>
      <c r="WKO745" s="311"/>
      <c r="WKP745" s="311"/>
      <c r="WKQ745" s="311"/>
      <c r="WKR745" s="311"/>
      <c r="WKS745" s="311"/>
      <c r="WKT745" s="311"/>
      <c r="WKU745" s="311"/>
      <c r="WKV745" s="311"/>
      <c r="WKW745" s="311"/>
      <c r="WKX745" s="311"/>
      <c r="WKY745" s="311"/>
      <c r="WKZ745" s="311"/>
      <c r="WLA745" s="311"/>
      <c r="WLB745" s="311"/>
      <c r="WLC745" s="311"/>
      <c r="WLD745" s="311"/>
      <c r="WLE745" s="311"/>
      <c r="WLF745" s="311"/>
      <c r="WLG745" s="311"/>
      <c r="WLH745" s="311"/>
      <c r="WLI745" s="311"/>
      <c r="WLJ745" s="311"/>
      <c r="WLK745" s="311"/>
      <c r="WLL745" s="311"/>
      <c r="WLM745" s="311"/>
      <c r="WLN745" s="311"/>
      <c r="WLO745" s="311"/>
      <c r="WLP745" s="311"/>
      <c r="WLQ745" s="311"/>
      <c r="WLR745" s="311"/>
      <c r="WLS745" s="311"/>
      <c r="WLT745" s="311"/>
      <c r="WLU745" s="311"/>
      <c r="WLV745" s="311"/>
      <c r="WLW745" s="311"/>
      <c r="WLX745" s="311"/>
      <c r="WLY745" s="311"/>
      <c r="WLZ745" s="311"/>
      <c r="WMA745" s="311"/>
      <c r="WMB745" s="311"/>
      <c r="WMC745" s="311"/>
      <c r="WMD745" s="311"/>
      <c r="WME745" s="311"/>
      <c r="WMF745" s="311"/>
      <c r="WMG745" s="311"/>
      <c r="WMH745" s="311"/>
      <c r="WMI745" s="311"/>
      <c r="WMJ745" s="311"/>
      <c r="WMK745" s="311"/>
      <c r="WML745" s="311"/>
      <c r="WMM745" s="311"/>
      <c r="WMN745" s="311"/>
      <c r="WMO745" s="311"/>
      <c r="WMP745" s="311"/>
      <c r="WMQ745" s="311"/>
      <c r="WMR745" s="311"/>
      <c r="WMS745" s="311"/>
      <c r="WMT745" s="311"/>
      <c r="WMU745" s="311"/>
      <c r="WMV745" s="311"/>
      <c r="WMW745" s="311"/>
      <c r="WMX745" s="311"/>
      <c r="WMY745" s="311"/>
      <c r="WMZ745" s="311"/>
      <c r="WNA745" s="311"/>
      <c r="WNB745" s="311"/>
      <c r="WNC745" s="311"/>
      <c r="WND745" s="311"/>
      <c r="WNE745" s="311"/>
      <c r="WNF745" s="311"/>
      <c r="WNG745" s="311"/>
      <c r="WNH745" s="311"/>
      <c r="WNI745" s="311"/>
      <c r="WNJ745" s="311"/>
      <c r="WNK745" s="311"/>
      <c r="WNL745" s="311"/>
      <c r="WNM745" s="311"/>
      <c r="WNN745" s="311"/>
      <c r="WNO745" s="311"/>
      <c r="WNP745" s="311"/>
      <c r="WNQ745" s="311"/>
      <c r="WNR745" s="311"/>
      <c r="WNS745" s="311"/>
      <c r="WNT745" s="311"/>
      <c r="WNU745" s="311"/>
      <c r="WNV745" s="311"/>
      <c r="WNW745" s="311"/>
      <c r="WNX745" s="311"/>
      <c r="WNY745" s="311"/>
      <c r="WNZ745" s="311"/>
      <c r="WOA745" s="311"/>
      <c r="WOB745" s="311"/>
      <c r="WOC745" s="311"/>
      <c r="WOD745" s="311"/>
      <c r="WOE745" s="311"/>
      <c r="WOF745" s="311"/>
      <c r="WOG745" s="311"/>
      <c r="WOH745" s="311"/>
      <c r="WOI745" s="311"/>
      <c r="WOJ745" s="311"/>
      <c r="WOK745" s="311"/>
      <c r="WOL745" s="311"/>
      <c r="WOM745" s="311"/>
      <c r="WON745" s="311"/>
      <c r="WOO745" s="311"/>
      <c r="WOP745" s="311"/>
      <c r="WOQ745" s="311"/>
      <c r="WOR745" s="311"/>
      <c r="WOS745" s="311"/>
      <c r="WOT745" s="311"/>
      <c r="WOU745" s="311"/>
      <c r="WOV745" s="311"/>
      <c r="WOW745" s="311"/>
      <c r="WOX745" s="311"/>
      <c r="WOY745" s="311"/>
      <c r="WOZ745" s="311"/>
      <c r="WPA745" s="311"/>
      <c r="WPB745" s="311"/>
      <c r="WPC745" s="311"/>
      <c r="WPD745" s="311"/>
      <c r="WPE745" s="311"/>
      <c r="WPF745" s="311"/>
      <c r="WPG745" s="311"/>
      <c r="WPH745" s="311"/>
      <c r="WPI745" s="311"/>
      <c r="WPJ745" s="311"/>
      <c r="WPK745" s="311"/>
      <c r="WPL745" s="311"/>
      <c r="WPM745" s="311"/>
      <c r="WPN745" s="311"/>
      <c r="WPO745" s="311"/>
      <c r="WPP745" s="311"/>
      <c r="WPQ745" s="311"/>
      <c r="WPR745" s="311"/>
      <c r="WPS745" s="311"/>
      <c r="WPT745" s="311"/>
      <c r="WPU745" s="311"/>
      <c r="WPV745" s="311"/>
      <c r="WPW745" s="311"/>
      <c r="WPX745" s="311"/>
      <c r="WPY745" s="311"/>
      <c r="WPZ745" s="311"/>
      <c r="WQA745" s="311"/>
      <c r="WQB745" s="311"/>
      <c r="WQC745" s="311"/>
      <c r="WQD745" s="311"/>
      <c r="WQE745" s="311"/>
      <c r="WQF745" s="311"/>
      <c r="WQG745" s="311"/>
      <c r="WQH745" s="311"/>
      <c r="WQI745" s="311"/>
      <c r="WQJ745" s="311"/>
      <c r="WQK745" s="311"/>
      <c r="WQL745" s="311"/>
      <c r="WQM745" s="311"/>
      <c r="WQN745" s="311"/>
      <c r="WQO745" s="311"/>
      <c r="WQP745" s="311"/>
      <c r="WQQ745" s="311"/>
      <c r="WQR745" s="311"/>
      <c r="WQS745" s="311"/>
      <c r="WQT745" s="311"/>
      <c r="WQU745" s="311"/>
      <c r="WQV745" s="311"/>
      <c r="WQW745" s="311"/>
      <c r="WQX745" s="311"/>
      <c r="WQY745" s="311"/>
      <c r="WQZ745" s="311"/>
      <c r="WRA745" s="311"/>
      <c r="WRB745" s="311"/>
      <c r="WRC745" s="311"/>
      <c r="WRD745" s="311"/>
      <c r="WRE745" s="311"/>
      <c r="WRF745" s="311"/>
      <c r="WRG745" s="311"/>
      <c r="WRH745" s="311"/>
      <c r="WRI745" s="311"/>
      <c r="WRJ745" s="311"/>
      <c r="WRK745" s="311"/>
      <c r="WRL745" s="311"/>
      <c r="WRM745" s="311"/>
      <c r="WRN745" s="311"/>
      <c r="WRO745" s="311"/>
      <c r="WRP745" s="311"/>
      <c r="WRQ745" s="311"/>
      <c r="WRR745" s="311"/>
      <c r="WRS745" s="311"/>
      <c r="WRT745" s="311"/>
      <c r="WRU745" s="311"/>
      <c r="WRV745" s="311"/>
      <c r="WRW745" s="311"/>
      <c r="WRX745" s="311"/>
      <c r="WRY745" s="311"/>
      <c r="WRZ745" s="311"/>
      <c r="WSA745" s="311"/>
      <c r="WSB745" s="311"/>
      <c r="WSC745" s="311"/>
      <c r="WSD745" s="311"/>
      <c r="WSE745" s="311"/>
      <c r="WSF745" s="311"/>
      <c r="WSG745" s="311"/>
      <c r="WSH745" s="311"/>
      <c r="WSI745" s="311"/>
      <c r="WSJ745" s="311"/>
      <c r="WSK745" s="311"/>
      <c r="WSL745" s="311"/>
      <c r="WSM745" s="311"/>
      <c r="WSN745" s="311"/>
      <c r="WSO745" s="311"/>
      <c r="WSP745" s="311"/>
      <c r="WSQ745" s="311"/>
      <c r="WSR745" s="311"/>
      <c r="WSS745" s="311"/>
      <c r="WST745" s="311"/>
      <c r="WSU745" s="311"/>
      <c r="WSV745" s="311"/>
      <c r="WSW745" s="311"/>
      <c r="WSX745" s="311"/>
      <c r="WSY745" s="311"/>
      <c r="WSZ745" s="311"/>
      <c r="WTA745" s="311"/>
      <c r="WTB745" s="311"/>
      <c r="WTC745" s="311"/>
      <c r="WTD745" s="311"/>
      <c r="WTE745" s="311"/>
      <c r="WTF745" s="311"/>
      <c r="WTG745" s="311"/>
      <c r="WTH745" s="311"/>
      <c r="WTI745" s="311"/>
      <c r="WTJ745" s="311"/>
      <c r="WTK745" s="311"/>
      <c r="WTL745" s="311"/>
      <c r="WTM745" s="311"/>
      <c r="WTN745" s="311"/>
      <c r="WTO745" s="311"/>
      <c r="WTP745" s="311"/>
      <c r="WTQ745" s="311"/>
      <c r="WTR745" s="311"/>
      <c r="WTS745" s="311"/>
      <c r="WTT745" s="311"/>
      <c r="WTU745" s="311"/>
      <c r="WTV745" s="311"/>
      <c r="WTW745" s="311"/>
      <c r="WTX745" s="311"/>
      <c r="WTY745" s="311"/>
      <c r="WTZ745" s="311"/>
      <c r="WUA745" s="311"/>
      <c r="WUB745" s="311"/>
      <c r="WUC745" s="311"/>
      <c r="WUD745" s="311"/>
      <c r="WUE745" s="311"/>
      <c r="WUF745" s="311"/>
      <c r="WUG745" s="311"/>
      <c r="WUH745" s="311"/>
      <c r="WUI745" s="311"/>
      <c r="WUJ745" s="311"/>
      <c r="WUK745" s="311"/>
      <c r="WUL745" s="311"/>
      <c r="WUM745" s="311"/>
      <c r="WUN745" s="311"/>
      <c r="WUO745" s="311"/>
      <c r="WUP745" s="311"/>
      <c r="WUQ745" s="311"/>
      <c r="WUR745" s="311"/>
      <c r="WUS745" s="311"/>
      <c r="WUT745" s="311"/>
      <c r="WUU745" s="311"/>
      <c r="WUV745" s="311"/>
      <c r="WUW745" s="311"/>
      <c r="WUX745" s="311"/>
      <c r="WUY745" s="311"/>
      <c r="WUZ745" s="311"/>
      <c r="WVA745" s="311"/>
      <c r="WVB745" s="311"/>
      <c r="WVC745" s="311"/>
      <c r="WVD745" s="311"/>
      <c r="WVE745" s="311"/>
      <c r="WVF745" s="311"/>
      <c r="WVG745" s="311"/>
      <c r="WVH745" s="311"/>
      <c r="WVI745" s="311"/>
      <c r="WVJ745" s="311"/>
      <c r="WVK745" s="311"/>
      <c r="WVL745" s="311"/>
      <c r="WVM745" s="311"/>
      <c r="WVN745" s="311"/>
      <c r="WVO745" s="311"/>
      <c r="WVP745" s="311"/>
      <c r="WVQ745" s="311"/>
      <c r="WVR745" s="311"/>
      <c r="WVS745" s="311"/>
      <c r="WVT745" s="311"/>
      <c r="WVU745" s="311"/>
      <c r="WVV745" s="311"/>
      <c r="WVW745" s="311"/>
      <c r="WVX745" s="311"/>
      <c r="WVY745" s="311"/>
      <c r="WVZ745" s="311"/>
      <c r="WWA745" s="311"/>
      <c r="WWB745" s="311"/>
      <c r="WWC745" s="311"/>
      <c r="WWD745" s="311"/>
      <c r="WWE745" s="311"/>
      <c r="WWF745" s="311"/>
      <c r="WWG745" s="311"/>
      <c r="WWH745" s="311"/>
      <c r="WWI745" s="311"/>
      <c r="WWJ745" s="311"/>
      <c r="WWK745" s="311"/>
      <c r="WWL745" s="311"/>
      <c r="WWM745" s="311"/>
      <c r="WWN745" s="311"/>
      <c r="WWO745" s="311"/>
      <c r="WWP745" s="311"/>
      <c r="WWQ745" s="311"/>
      <c r="WWR745" s="311"/>
      <c r="WWS745" s="311"/>
      <c r="WWT745" s="311"/>
      <c r="WWU745" s="311"/>
      <c r="WWV745" s="311"/>
      <c r="WWW745" s="311"/>
      <c r="WWX745" s="311"/>
      <c r="WWY745" s="311"/>
      <c r="WWZ745" s="311"/>
      <c r="WXA745" s="311"/>
      <c r="WXB745" s="311"/>
      <c r="WXC745" s="311"/>
      <c r="WXD745" s="311"/>
      <c r="WXE745" s="311"/>
      <c r="WXF745" s="311"/>
      <c r="WXG745" s="311"/>
      <c r="WXH745" s="311"/>
      <c r="WXI745" s="311"/>
      <c r="WXJ745" s="311"/>
      <c r="WXK745" s="311"/>
      <c r="WXL745" s="311"/>
      <c r="WXM745" s="311"/>
      <c r="WXN745" s="311"/>
      <c r="WXO745" s="311"/>
      <c r="WXP745" s="311"/>
      <c r="WXQ745" s="311"/>
      <c r="WXR745" s="311"/>
      <c r="WXS745" s="311"/>
      <c r="WXT745" s="311"/>
      <c r="WXU745" s="311"/>
      <c r="WXV745" s="311"/>
      <c r="WXW745" s="311"/>
      <c r="WXX745" s="311"/>
      <c r="WXY745" s="311"/>
      <c r="WXZ745" s="311"/>
      <c r="WYA745" s="311"/>
      <c r="WYB745" s="311"/>
      <c r="WYC745" s="311"/>
      <c r="WYD745" s="311"/>
      <c r="WYE745" s="311"/>
      <c r="WYF745" s="311"/>
      <c r="WYG745" s="311"/>
      <c r="WYH745" s="311"/>
      <c r="WYI745" s="311"/>
      <c r="WYJ745" s="311"/>
      <c r="WYK745" s="311"/>
      <c r="WYL745" s="311"/>
      <c r="WYM745" s="311"/>
      <c r="WYN745" s="311"/>
      <c r="WYO745" s="311"/>
      <c r="WYP745" s="311"/>
      <c r="WYQ745" s="311"/>
      <c r="WYR745" s="311"/>
      <c r="WYS745" s="311"/>
      <c r="WYT745" s="311"/>
      <c r="WYU745" s="311"/>
      <c r="WYV745" s="311"/>
      <c r="WYW745" s="311"/>
      <c r="WYX745" s="311"/>
      <c r="WYY745" s="311"/>
      <c r="WYZ745" s="311"/>
      <c r="WZA745" s="311"/>
      <c r="WZB745" s="311"/>
      <c r="WZC745" s="311"/>
      <c r="WZD745" s="311"/>
      <c r="WZE745" s="311"/>
      <c r="WZF745" s="311"/>
      <c r="WZG745" s="311"/>
      <c r="WZH745" s="311"/>
      <c r="WZI745" s="311"/>
      <c r="WZJ745" s="311"/>
      <c r="WZK745" s="311"/>
      <c r="WZL745" s="311"/>
      <c r="WZM745" s="311"/>
      <c r="WZN745" s="311"/>
      <c r="WZO745" s="311"/>
      <c r="WZP745" s="311"/>
      <c r="WZQ745" s="311"/>
      <c r="WZR745" s="311"/>
      <c r="WZS745" s="311"/>
      <c r="WZT745" s="311"/>
      <c r="WZU745" s="311"/>
      <c r="WZV745" s="311"/>
      <c r="WZW745" s="311"/>
      <c r="WZX745" s="311"/>
      <c r="WZY745" s="311"/>
      <c r="WZZ745" s="311"/>
      <c r="XAA745" s="311"/>
      <c r="XAB745" s="311"/>
      <c r="XAC745" s="311"/>
      <c r="XAD745" s="311"/>
      <c r="XAE745" s="311"/>
      <c r="XAF745" s="311"/>
      <c r="XAG745" s="311"/>
      <c r="XAH745" s="311"/>
      <c r="XAI745" s="311"/>
      <c r="XAJ745" s="311"/>
      <c r="XAK745" s="311"/>
      <c r="XAL745" s="311"/>
      <c r="XAM745" s="311"/>
      <c r="XAN745" s="311"/>
      <c r="XAO745" s="311"/>
      <c r="XAP745" s="311"/>
      <c r="XAQ745" s="311"/>
      <c r="XAR745" s="311"/>
      <c r="XAS745" s="311"/>
      <c r="XAT745" s="311"/>
      <c r="XAU745" s="311"/>
      <c r="XAV745" s="311"/>
      <c r="XAW745" s="311"/>
      <c r="XAX745" s="311"/>
      <c r="XAY745" s="311"/>
      <c r="XAZ745" s="311"/>
      <c r="XBA745" s="311"/>
      <c r="XBB745" s="311"/>
      <c r="XBC745" s="311"/>
      <c r="XBD745" s="311"/>
      <c r="XBE745" s="311"/>
      <c r="XBF745" s="311"/>
      <c r="XBG745" s="311"/>
      <c r="XBH745" s="311"/>
      <c r="XBI745" s="311"/>
      <c r="XBJ745" s="311"/>
      <c r="XBK745" s="311"/>
      <c r="XBL745" s="311"/>
      <c r="XBM745" s="311"/>
      <c r="XBN745" s="311"/>
      <c r="XBO745" s="311"/>
      <c r="XBP745" s="311"/>
      <c r="XBQ745" s="311"/>
      <c r="XBR745" s="311"/>
      <c r="XBS745" s="311"/>
      <c r="XBT745" s="311"/>
      <c r="XBU745" s="311"/>
      <c r="XBV745" s="311"/>
      <c r="XBW745" s="311"/>
      <c r="XBX745" s="311"/>
      <c r="XBY745" s="311"/>
      <c r="XBZ745" s="311"/>
      <c r="XCA745" s="311"/>
      <c r="XCB745" s="311"/>
      <c r="XCC745" s="311"/>
      <c r="XCD745" s="311"/>
      <c r="XCE745" s="311"/>
      <c r="XCF745" s="311"/>
      <c r="XCG745" s="311"/>
      <c r="XCH745" s="311"/>
      <c r="XCI745" s="311"/>
      <c r="XCJ745" s="311"/>
      <c r="XCK745" s="311"/>
      <c r="XCL745" s="311"/>
      <c r="XCM745" s="311"/>
      <c r="XCN745" s="311"/>
      <c r="XCO745" s="311"/>
      <c r="XCP745" s="311"/>
      <c r="XCQ745" s="311"/>
      <c r="XCR745" s="311"/>
      <c r="XCS745" s="311"/>
      <c r="XCT745" s="311"/>
      <c r="XCU745" s="311"/>
      <c r="XCV745" s="311"/>
      <c r="XCW745" s="311"/>
      <c r="XCX745" s="311"/>
      <c r="XCY745" s="311"/>
      <c r="XCZ745" s="311"/>
      <c r="XDA745" s="311"/>
      <c r="XDB745" s="311"/>
      <c r="XDC745" s="311"/>
      <c r="XDD745" s="311"/>
      <c r="XDE745" s="311"/>
      <c r="XDF745" s="311"/>
      <c r="XDG745" s="311"/>
      <c r="XDH745" s="311"/>
      <c r="XDI745" s="311"/>
      <c r="XDJ745" s="311"/>
      <c r="XDK745" s="311"/>
      <c r="XDL745" s="311"/>
      <c r="XDM745" s="311"/>
      <c r="XDN745" s="311"/>
      <c r="XDO745" s="311"/>
      <c r="XDP745" s="311"/>
      <c r="XDQ745" s="311"/>
      <c r="XDR745" s="311"/>
      <c r="XDS745" s="311"/>
      <c r="XDT745" s="311"/>
      <c r="XDU745" s="311"/>
      <c r="XDV745" s="311"/>
      <c r="XDW745" s="311"/>
      <c r="XDX745" s="311"/>
      <c r="XDY745" s="311"/>
      <c r="XDZ745" s="311"/>
      <c r="XEA745" s="311"/>
      <c r="XEB745" s="311"/>
      <c r="XEC745" s="311"/>
      <c r="XED745" s="311"/>
      <c r="XEE745" s="311"/>
      <c r="XEF745" s="311"/>
      <c r="XEG745" s="311"/>
      <c r="XEH745" s="311"/>
      <c r="XEI745" s="311"/>
      <c r="XEJ745" s="311"/>
      <c r="XEK745" s="311"/>
      <c r="XEL745" s="311"/>
      <c r="XEM745" s="311"/>
      <c r="XEN745" s="311"/>
      <c r="XEO745" s="311"/>
      <c r="XEP745" s="311"/>
      <c r="XEQ745" s="311"/>
      <c r="XER745" s="311"/>
      <c r="XES745" s="311"/>
      <c r="XET745" s="311"/>
      <c r="XEU745" s="311"/>
      <c r="XEV745" s="311"/>
      <c r="XEW745" s="311"/>
      <c r="XEX745" s="311"/>
      <c r="XEY745" s="311"/>
      <c r="XEZ745" s="311"/>
      <c r="XFA745" s="311"/>
      <c r="XFB745" s="311"/>
      <c r="XFC745" s="311"/>
    </row>
    <row r="746" spans="1:16383" ht="12.9"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5"/>
      <c r="C747" s="118" t="s">
        <v>178</v>
      </c>
      <c r="D747" s="1075"/>
      <c r="E747" s="1075"/>
      <c r="F747" s="1075"/>
      <c r="G747" s="385"/>
      <c r="H747" s="385"/>
      <c r="I747" s="385"/>
      <c r="J747" s="385"/>
      <c r="K747" s="385"/>
      <c r="L747" s="1075"/>
      <c r="M747" s="1075"/>
      <c r="N747" s="1075"/>
      <c r="O747" s="1075"/>
      <c r="P747" s="1075"/>
      <c r="Q747" s="385"/>
      <c r="R747" s="385"/>
      <c r="S747" s="385"/>
      <c r="T747" s="385"/>
      <c r="U747" s="385"/>
      <c r="AT747"/>
      <c r="AU747"/>
      <c r="AV747"/>
      <c r="AW747"/>
      <c r="AX747"/>
      <c r="AY747"/>
    </row>
    <row r="748" spans="1:16383" s="3" customFormat="1" ht="12.9" customHeight="1">
      <c r="B748" s="1075"/>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5"/>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5"/>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5"/>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5"/>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5"/>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9" t="s">
        <v>391</v>
      </c>
      <c r="K754" s="1397"/>
      <c r="L754" s="1397"/>
      <c r="M754" s="1397"/>
      <c r="N754" s="1398"/>
      <c r="O754" s="1677" t="s">
        <v>287</v>
      </c>
      <c r="P754" s="1677"/>
      <c r="Q754" s="1677"/>
      <c r="R754" s="1677"/>
      <c r="S754" s="1677"/>
      <c r="T754" s="1631" t="s">
        <v>1938</v>
      </c>
      <c r="U754" s="1632"/>
      <c r="V754" s="1632"/>
      <c r="W754" s="1633"/>
      <c r="X754" s="1409" t="s">
        <v>456</v>
      </c>
      <c r="Y754" s="1397"/>
      <c r="Z754" s="1397"/>
      <c r="AA754" s="1397"/>
      <c r="AB754" s="1398"/>
      <c r="AC754" s="1409"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9"/>
      <c r="K755" s="1400"/>
      <c r="L755" s="1400"/>
      <c r="M755" s="1400"/>
      <c r="N755" s="1401"/>
      <c r="O755" s="1677"/>
      <c r="P755" s="1677"/>
      <c r="Q755" s="1677"/>
      <c r="R755" s="1677"/>
      <c r="S755" s="1677"/>
      <c r="T755" s="1634"/>
      <c r="U755" s="1635"/>
      <c r="V755" s="1635"/>
      <c r="W755" s="1636"/>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9"/>
      <c r="K756" s="1400"/>
      <c r="L756" s="1400"/>
      <c r="M756" s="1400"/>
      <c r="N756" s="1401"/>
      <c r="O756" s="1677"/>
      <c r="P756" s="1677"/>
      <c r="Q756" s="1677"/>
      <c r="R756" s="1677"/>
      <c r="S756" s="1677"/>
      <c r="T756" s="1634"/>
      <c r="U756" s="1635"/>
      <c r="V756" s="1635"/>
      <c r="W756" s="1636"/>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2"/>
      <c r="K757" s="1403"/>
      <c r="L757" s="1403"/>
      <c r="M757" s="1403"/>
      <c r="N757" s="1404"/>
      <c r="O757" s="1677"/>
      <c r="P757" s="1677"/>
      <c r="Q757" s="1677"/>
      <c r="R757" s="1677"/>
      <c r="S757" s="1677"/>
      <c r="T757" s="1732"/>
      <c r="U757" s="1733"/>
      <c r="V757" s="1733"/>
      <c r="W757" s="1734"/>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6" t="s">
        <v>164</v>
      </c>
      <c r="K758" s="1387"/>
      <c r="L758" s="1387"/>
      <c r="M758" s="1387"/>
      <c r="N758" s="1388"/>
      <c r="O758" s="1625">
        <v>1</v>
      </c>
      <c r="P758" s="1625"/>
      <c r="Q758" s="1625"/>
      <c r="R758" s="1625"/>
      <c r="S758" s="1625"/>
      <c r="T758" s="1570">
        <v>770</v>
      </c>
      <c r="U758" s="1571"/>
      <c r="V758" s="1571"/>
      <c r="W758" s="1572"/>
      <c r="X758" s="1567">
        <v>0</v>
      </c>
      <c r="Y758" s="1568"/>
      <c r="Z758" s="1568"/>
      <c r="AA758" s="1568"/>
      <c r="AB758" s="1569"/>
      <c r="AC758" s="1393">
        <f>X758*O758</f>
        <v>0</v>
      </c>
      <c r="AD758" s="1394"/>
      <c r="AE758" s="1394"/>
      <c r="AF758" s="1394"/>
      <c r="AG758" s="1395"/>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6" t="s">
        <v>165</v>
      </c>
      <c r="K759" s="1387"/>
      <c r="L759" s="1387"/>
      <c r="M759" s="1387"/>
      <c r="N759" s="1388"/>
      <c r="O759" s="1625">
        <v>1</v>
      </c>
      <c r="P759" s="1625"/>
      <c r="Q759" s="1625"/>
      <c r="R759" s="1625"/>
      <c r="S759" s="1625"/>
      <c r="T759" s="1570">
        <v>1220</v>
      </c>
      <c r="U759" s="1571"/>
      <c r="V759" s="1571"/>
      <c r="W759" s="1572"/>
      <c r="X759" s="1567">
        <v>0</v>
      </c>
      <c r="Y759" s="1568"/>
      <c r="Z759" s="1568"/>
      <c r="AA759" s="1568"/>
      <c r="AB759" s="1569"/>
      <c r="AC759" s="1393">
        <f>X759*O759</f>
        <v>0</v>
      </c>
      <c r="AD759" s="1394"/>
      <c r="AE759" s="1394"/>
      <c r="AF759" s="1394"/>
      <c r="AG759" s="1395"/>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6"/>
      <c r="K760" s="1387"/>
      <c r="L760" s="1387"/>
      <c r="M760" s="1387"/>
      <c r="N760" s="1388"/>
      <c r="O760" s="1625"/>
      <c r="P760" s="1625"/>
      <c r="Q760" s="1625"/>
      <c r="R760" s="1625"/>
      <c r="S760" s="1625"/>
      <c r="T760" s="1570"/>
      <c r="U760" s="1571"/>
      <c r="V760" s="1571"/>
      <c r="W760" s="1572"/>
      <c r="X760" s="1567"/>
      <c r="Y760" s="1568"/>
      <c r="Z760" s="1568"/>
      <c r="AA760" s="1568"/>
      <c r="AB760" s="1569"/>
      <c r="AC760" s="1393">
        <f>X760*O760</f>
        <v>0</v>
      </c>
      <c r="AD760" s="1394"/>
      <c r="AE760" s="1394"/>
      <c r="AF760" s="1394"/>
      <c r="AG760" s="1395"/>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6"/>
      <c r="K761" s="1387"/>
      <c r="L761" s="1387"/>
      <c r="M761" s="1387"/>
      <c r="N761" s="1388"/>
      <c r="O761" s="1625"/>
      <c r="P761" s="1625"/>
      <c r="Q761" s="1625"/>
      <c r="R761" s="1625"/>
      <c r="S761" s="1625"/>
      <c r="T761" s="1570"/>
      <c r="U761" s="1571"/>
      <c r="V761" s="1571"/>
      <c r="W761" s="1572"/>
      <c r="X761" s="1567"/>
      <c r="Y761" s="1568"/>
      <c r="Z761" s="1568"/>
      <c r="AA761" s="1568"/>
      <c r="AB761" s="1569"/>
      <c r="AC761" s="1393">
        <f>X761*O761</f>
        <v>0</v>
      </c>
      <c r="AD761" s="1394"/>
      <c r="AE761" s="1394"/>
      <c r="AF761" s="1394"/>
      <c r="AG761" s="1395"/>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80" t="s">
        <v>126</v>
      </c>
      <c r="K762" s="1581"/>
      <c r="L762" s="1581"/>
      <c r="M762" s="1581"/>
      <c r="N762" s="1582"/>
      <c r="O762" s="1431">
        <f>SUM(O758:S761)</f>
        <v>2</v>
      </c>
      <c r="P762" s="1593"/>
      <c r="Q762" s="1593"/>
      <c r="R762" s="1593"/>
      <c r="S762" s="1432"/>
      <c r="X762" s="1580" t="s">
        <v>125</v>
      </c>
      <c r="Y762" s="1581"/>
      <c r="Z762" s="1581"/>
      <c r="AA762" s="1581"/>
      <c r="AB762" s="1582"/>
      <c r="AC762" s="1393">
        <f>SUM(AC758:AG761)</f>
        <v>0</v>
      </c>
      <c r="AD762" s="1394"/>
      <c r="AE762" s="1394"/>
      <c r="AF762" s="1394"/>
      <c r="AG762" s="1395"/>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37" t="s">
        <v>678</v>
      </c>
      <c r="K764" s="1737"/>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9" t="s">
        <v>391</v>
      </c>
      <c r="K768" s="1397"/>
      <c r="L768" s="1397"/>
      <c r="M768" s="1397"/>
      <c r="N768" s="1398"/>
      <c r="O768" s="1677" t="s">
        <v>287</v>
      </c>
      <c r="P768" s="1677"/>
      <c r="Q768" s="1677"/>
      <c r="R768" s="1677"/>
      <c r="S768" s="1677"/>
      <c r="T768" s="1631" t="s">
        <v>1938</v>
      </c>
      <c r="U768" s="1632"/>
      <c r="V768" s="1632"/>
      <c r="W768" s="1633"/>
      <c r="X768" s="1409" t="s">
        <v>456</v>
      </c>
      <c r="Y768" s="1397"/>
      <c r="Z768" s="1397"/>
      <c r="AA768" s="1397"/>
      <c r="AB768" s="1398"/>
      <c r="AC768" s="1409" t="s">
        <v>288</v>
      </c>
      <c r="AD768" s="1397"/>
      <c r="AE768" s="1397"/>
      <c r="AF768" s="1397"/>
      <c r="AG768" s="1398"/>
      <c r="AH768" s="1729" t="s">
        <v>2131</v>
      </c>
      <c r="AI768" s="1730"/>
      <c r="AJ768" s="1730"/>
      <c r="AK768" s="1730"/>
      <c r="AL768" s="173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9"/>
      <c r="K769" s="1400"/>
      <c r="L769" s="1400"/>
      <c r="M769" s="1400"/>
      <c r="N769" s="1401"/>
      <c r="O769" s="1677"/>
      <c r="P769" s="1677"/>
      <c r="Q769" s="1677"/>
      <c r="R769" s="1677"/>
      <c r="S769" s="1677"/>
      <c r="T769" s="1634"/>
      <c r="U769" s="1635"/>
      <c r="V769" s="1635"/>
      <c r="W769" s="1636"/>
      <c r="X769" s="1399"/>
      <c r="Y769" s="1400"/>
      <c r="Z769" s="1400"/>
      <c r="AA769" s="1400"/>
      <c r="AB769" s="1401"/>
      <c r="AC769" s="1399"/>
      <c r="AD769" s="1400"/>
      <c r="AE769" s="1400"/>
      <c r="AF769" s="1400"/>
      <c r="AG769" s="1401"/>
      <c r="AH769" s="1729"/>
      <c r="AI769" s="1730"/>
      <c r="AJ769" s="1730"/>
      <c r="AK769" s="1730"/>
      <c r="AL769" s="173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9"/>
      <c r="K770" s="1400"/>
      <c r="L770" s="1400"/>
      <c r="M770" s="1400"/>
      <c r="N770" s="1401"/>
      <c r="O770" s="1677"/>
      <c r="P770" s="1677"/>
      <c r="Q770" s="1677"/>
      <c r="R770" s="1677"/>
      <c r="S770" s="1677"/>
      <c r="T770" s="1634"/>
      <c r="U770" s="1635"/>
      <c r="V770" s="1635"/>
      <c r="W770" s="1636"/>
      <c r="X770" s="1399"/>
      <c r="Y770" s="1400"/>
      <c r="Z770" s="1400"/>
      <c r="AA770" s="1400"/>
      <c r="AB770" s="1401"/>
      <c r="AC770" s="1399"/>
      <c r="AD770" s="1400"/>
      <c r="AE770" s="1400"/>
      <c r="AF770" s="1400"/>
      <c r="AG770" s="1401"/>
      <c r="AH770" s="1729"/>
      <c r="AI770" s="1730"/>
      <c r="AJ770" s="1730"/>
      <c r="AK770" s="1730"/>
      <c r="AL770" s="173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2"/>
      <c r="K771" s="1403"/>
      <c r="L771" s="1403"/>
      <c r="M771" s="1403"/>
      <c r="N771" s="1404"/>
      <c r="O771" s="1677"/>
      <c r="P771" s="1677"/>
      <c r="Q771" s="1677"/>
      <c r="R771" s="1677"/>
      <c r="S771" s="1677"/>
      <c r="T771" s="1732"/>
      <c r="U771" s="1733"/>
      <c r="V771" s="1733"/>
      <c r="W771" s="1734"/>
      <c r="X771" s="1402"/>
      <c r="Y771" s="1403"/>
      <c r="Z771" s="1403"/>
      <c r="AA771" s="1403"/>
      <c r="AB771" s="1404"/>
      <c r="AC771" s="1402"/>
      <c r="AD771" s="1403"/>
      <c r="AE771" s="1403"/>
      <c r="AF771" s="1403"/>
      <c r="AG771" s="1404"/>
      <c r="AH771" s="1729"/>
      <c r="AI771" s="1730"/>
      <c r="AJ771" s="1730"/>
      <c r="AK771" s="1730"/>
      <c r="AL771" s="173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6"/>
      <c r="K772" s="1387"/>
      <c r="L772" s="1387"/>
      <c r="M772" s="1387"/>
      <c r="N772" s="1388"/>
      <c r="O772" s="1625"/>
      <c r="P772" s="1625"/>
      <c r="Q772" s="1625"/>
      <c r="R772" s="1625"/>
      <c r="S772" s="1625"/>
      <c r="T772" s="1570"/>
      <c r="U772" s="1571"/>
      <c r="V772" s="1571"/>
      <c r="W772" s="1572"/>
      <c r="X772" s="1567"/>
      <c r="Y772" s="1568"/>
      <c r="Z772" s="1568"/>
      <c r="AA772" s="1568"/>
      <c r="AB772" s="1569"/>
      <c r="AC772" s="1393">
        <f t="shared" ref="AC772:AC781" si="53">X772*O772</f>
        <v>0</v>
      </c>
      <c r="AD772" s="1394"/>
      <c r="AE772" s="1394"/>
      <c r="AF772" s="1394"/>
      <c r="AG772" s="1395"/>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6"/>
      <c r="K773" s="1387"/>
      <c r="L773" s="1387"/>
      <c r="M773" s="1387"/>
      <c r="N773" s="1388"/>
      <c r="O773" s="1625"/>
      <c r="P773" s="1625"/>
      <c r="Q773" s="1625"/>
      <c r="R773" s="1625"/>
      <c r="S773" s="1625"/>
      <c r="T773" s="1570"/>
      <c r="U773" s="1571"/>
      <c r="V773" s="1571"/>
      <c r="W773" s="1572"/>
      <c r="X773" s="1567"/>
      <c r="Y773" s="1568"/>
      <c r="Z773" s="1568"/>
      <c r="AA773" s="1568"/>
      <c r="AB773" s="1569"/>
      <c r="AC773" s="1393">
        <f t="shared" si="53"/>
        <v>0</v>
      </c>
      <c r="AD773" s="1394"/>
      <c r="AE773" s="1394"/>
      <c r="AF773" s="1394"/>
      <c r="AG773" s="1395"/>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6"/>
      <c r="K774" s="1387"/>
      <c r="L774" s="1387"/>
      <c r="M774" s="1387"/>
      <c r="N774" s="1388"/>
      <c r="O774" s="1625"/>
      <c r="P774" s="1625"/>
      <c r="Q774" s="1625"/>
      <c r="R774" s="1625"/>
      <c r="S774" s="1625"/>
      <c r="T774" s="1570"/>
      <c r="U774" s="1571"/>
      <c r="V774" s="1571"/>
      <c r="W774" s="1572"/>
      <c r="X774" s="1567"/>
      <c r="Y774" s="1568"/>
      <c r="Z774" s="1568"/>
      <c r="AA774" s="1568"/>
      <c r="AB774" s="1569"/>
      <c r="AC774" s="1393">
        <f t="shared" si="53"/>
        <v>0</v>
      </c>
      <c r="AD774" s="1394"/>
      <c r="AE774" s="1394"/>
      <c r="AF774" s="1394"/>
      <c r="AG774" s="1395"/>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6"/>
      <c r="K775" s="1387"/>
      <c r="L775" s="1387"/>
      <c r="M775" s="1387"/>
      <c r="N775" s="1388"/>
      <c r="O775" s="1625"/>
      <c r="P775" s="1625"/>
      <c r="Q775" s="1625"/>
      <c r="R775" s="1625"/>
      <c r="S775" s="1625"/>
      <c r="T775" s="1570"/>
      <c r="U775" s="1571"/>
      <c r="V775" s="1571"/>
      <c r="W775" s="1572"/>
      <c r="X775" s="1567"/>
      <c r="Y775" s="1568"/>
      <c r="Z775" s="1568"/>
      <c r="AA775" s="1568"/>
      <c r="AB775" s="1569"/>
      <c r="AC775" s="1393">
        <f t="shared" si="53"/>
        <v>0</v>
      </c>
      <c r="AD775" s="1394"/>
      <c r="AE775" s="1394"/>
      <c r="AF775" s="1394"/>
      <c r="AG775" s="1395"/>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6"/>
      <c r="K776" s="1387"/>
      <c r="L776" s="1387"/>
      <c r="M776" s="1387"/>
      <c r="N776" s="1388"/>
      <c r="O776" s="1625"/>
      <c r="P776" s="1625"/>
      <c r="Q776" s="1625"/>
      <c r="R776" s="1625"/>
      <c r="S776" s="1625"/>
      <c r="T776" s="1570"/>
      <c r="U776" s="1571"/>
      <c r="V776" s="1571"/>
      <c r="W776" s="1572"/>
      <c r="X776" s="1567"/>
      <c r="Y776" s="1568"/>
      <c r="Z776" s="1568"/>
      <c r="AA776" s="1568"/>
      <c r="AB776" s="1569"/>
      <c r="AC776" s="1393">
        <f t="shared" si="53"/>
        <v>0</v>
      </c>
      <c r="AD776" s="1394"/>
      <c r="AE776" s="1394"/>
      <c r="AF776" s="1394"/>
      <c r="AG776" s="1395"/>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6"/>
      <c r="K777" s="1387"/>
      <c r="L777" s="1387"/>
      <c r="M777" s="1387"/>
      <c r="N777" s="1388"/>
      <c r="O777" s="1625"/>
      <c r="P777" s="1625"/>
      <c r="Q777" s="1625"/>
      <c r="R777" s="1625"/>
      <c r="S777" s="1625"/>
      <c r="T777" s="1570"/>
      <c r="U777" s="1571"/>
      <c r="V777" s="1571"/>
      <c r="W777" s="1572"/>
      <c r="X777" s="1567"/>
      <c r="Y777" s="1568"/>
      <c r="Z777" s="1568"/>
      <c r="AA777" s="1568"/>
      <c r="AB777" s="1569"/>
      <c r="AC777" s="1393">
        <f t="shared" si="53"/>
        <v>0</v>
      </c>
      <c r="AD777" s="1394"/>
      <c r="AE777" s="1394"/>
      <c r="AF777" s="1394"/>
      <c r="AG777" s="1395"/>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6"/>
      <c r="K778" s="1387"/>
      <c r="L778" s="1387"/>
      <c r="M778" s="1387"/>
      <c r="N778" s="1388"/>
      <c r="O778" s="1625"/>
      <c r="P778" s="1625"/>
      <c r="Q778" s="1625"/>
      <c r="R778" s="1625"/>
      <c r="S778" s="1625"/>
      <c r="T778" s="1570"/>
      <c r="U778" s="1571"/>
      <c r="V778" s="1571"/>
      <c r="W778" s="1572"/>
      <c r="X778" s="1567"/>
      <c r="Y778" s="1568"/>
      <c r="Z778" s="1568"/>
      <c r="AA778" s="1568"/>
      <c r="AB778" s="1569"/>
      <c r="AC778" s="1393">
        <f t="shared" si="53"/>
        <v>0</v>
      </c>
      <c r="AD778" s="1394"/>
      <c r="AE778" s="1394"/>
      <c r="AF778" s="1394"/>
      <c r="AG778" s="1395"/>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6"/>
      <c r="K779" s="1387"/>
      <c r="L779" s="1387"/>
      <c r="M779" s="1387"/>
      <c r="N779" s="1388"/>
      <c r="O779" s="1625"/>
      <c r="P779" s="1625"/>
      <c r="Q779" s="1625"/>
      <c r="R779" s="1625"/>
      <c r="S779" s="1625"/>
      <c r="T779" s="1570"/>
      <c r="U779" s="1571"/>
      <c r="V779" s="1571"/>
      <c r="W779" s="1572"/>
      <c r="X779" s="1567"/>
      <c r="Y779" s="1568"/>
      <c r="Z779" s="1568"/>
      <c r="AA779" s="1568"/>
      <c r="AB779" s="1569"/>
      <c r="AC779" s="1393">
        <f t="shared" si="53"/>
        <v>0</v>
      </c>
      <c r="AD779" s="1394"/>
      <c r="AE779" s="1394"/>
      <c r="AF779" s="1394"/>
      <c r="AG779" s="1395"/>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6"/>
      <c r="K780" s="1387"/>
      <c r="L780" s="1387"/>
      <c r="M780" s="1387"/>
      <c r="N780" s="1388"/>
      <c r="O780" s="1625"/>
      <c r="P780" s="1625"/>
      <c r="Q780" s="1625"/>
      <c r="R780" s="1625"/>
      <c r="S780" s="1625"/>
      <c r="T780" s="1570"/>
      <c r="U780" s="1571"/>
      <c r="V780" s="1571"/>
      <c r="W780" s="1572"/>
      <c r="X780" s="1567"/>
      <c r="Y780" s="1568"/>
      <c r="Z780" s="1568"/>
      <c r="AA780" s="1568"/>
      <c r="AB780" s="1569"/>
      <c r="AC780" s="1393">
        <f t="shared" si="53"/>
        <v>0</v>
      </c>
      <c r="AD780" s="1394"/>
      <c r="AE780" s="1394"/>
      <c r="AF780" s="1394"/>
      <c r="AG780" s="1395"/>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6"/>
      <c r="K781" s="1387"/>
      <c r="L781" s="1387"/>
      <c r="M781" s="1387"/>
      <c r="N781" s="1388"/>
      <c r="O781" s="1625"/>
      <c r="P781" s="1625"/>
      <c r="Q781" s="1625"/>
      <c r="R781" s="1625"/>
      <c r="S781" s="1625"/>
      <c r="T781" s="1570"/>
      <c r="U781" s="1571"/>
      <c r="V781" s="1571"/>
      <c r="W781" s="1572"/>
      <c r="X781" s="1567"/>
      <c r="Y781" s="1568"/>
      <c r="Z781" s="1568"/>
      <c r="AA781" s="1568"/>
      <c r="AB781" s="1569"/>
      <c r="AC781" s="1393">
        <f t="shared" si="53"/>
        <v>0</v>
      </c>
      <c r="AD781" s="1394"/>
      <c r="AE781" s="1394"/>
      <c r="AF781" s="1394"/>
      <c r="AG781" s="1395"/>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80" t="s">
        <v>126</v>
      </c>
      <c r="K782" s="1581"/>
      <c r="L782" s="1581"/>
      <c r="M782" s="1581"/>
      <c r="N782" s="1582"/>
      <c r="O782" s="1411">
        <f>SUM(O772:S781)</f>
        <v>0</v>
      </c>
      <c r="P782" s="1411"/>
      <c r="Q782" s="1411"/>
      <c r="R782" s="1411"/>
      <c r="S782" s="1411"/>
      <c r="X782" s="938" t="s">
        <v>125</v>
      </c>
      <c r="Y782" s="11"/>
      <c r="Z782" s="11"/>
      <c r="AA782" s="11"/>
      <c r="AB782" s="945"/>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8">
        <f>O739+AC762+AC782</f>
        <v>244797</v>
      </c>
      <c r="Z784" s="1678"/>
      <c r="AA784" s="1678"/>
      <c r="AB784" s="1678"/>
      <c r="AC784" s="16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8">
        <f>(O739+AC762+AC782)*12</f>
        <v>2937564</v>
      </c>
      <c r="Z785" s="1678"/>
      <c r="AA785" s="1678"/>
      <c r="AB785" s="1678"/>
      <c r="AC785" s="1678"/>
      <c r="AZ785" s="3"/>
      <c r="BA785" s="14" t="s">
        <v>641</v>
      </c>
      <c r="BB785" s="14"/>
      <c r="BC785" s="14"/>
      <c r="BD785" s="14"/>
      <c r="BE785" s="14"/>
      <c r="BF785" s="14"/>
      <c r="BG785" s="14"/>
      <c r="BH785" s="14"/>
      <c r="BI785" s="14"/>
      <c r="BJ785" s="14"/>
      <c r="BK785" s="14"/>
      <c r="BL785" s="14"/>
      <c r="BM785" s="14"/>
      <c r="BN785" s="1675" t="s">
        <v>478</v>
      </c>
      <c r="BO785" s="1676"/>
      <c r="BP785" s="3"/>
      <c r="BQ785" s="3"/>
      <c r="BR785" s="3"/>
      <c r="BS785" s="14" t="s">
        <v>643</v>
      </c>
      <c r="BT785" s="14"/>
      <c r="BU785" s="14"/>
      <c r="BV785" s="14"/>
      <c r="BW785" s="14"/>
      <c r="BX785" s="14"/>
      <c r="BY785" s="14"/>
      <c r="BZ785" s="14"/>
      <c r="CA785" s="14"/>
      <c r="CB785" s="1672" t="str">
        <f>T189</f>
        <v>Santa Clara</v>
      </c>
      <c r="CC785" s="1673"/>
      <c r="CD785" s="1673"/>
      <c r="CE785" s="1673"/>
      <c r="CF785" s="1673"/>
      <c r="CG785" s="1673"/>
      <c r="CH785" s="167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75</v>
      </c>
      <c r="AA790" s="1588"/>
      <c r="AB790" s="1588"/>
      <c r="AC790" s="1588"/>
      <c r="AD790" s="1588"/>
      <c r="AE790" s="158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5">
        <v>20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1">
        <v>53175</v>
      </c>
      <c r="AA792" s="1681"/>
      <c r="AB792" s="1681"/>
      <c r="AC792" s="1681"/>
      <c r="AD792" s="1681"/>
      <c r="AE792" s="168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1534980</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1">
        <v>473390</v>
      </c>
      <c r="BQ795" s="351">
        <v>545814</v>
      </c>
      <c r="BR795" s="351">
        <v>658400</v>
      </c>
      <c r="BS795" s="351">
        <v>842752</v>
      </c>
      <c r="BT795" s="351">
        <v>938878</v>
      </c>
      <c r="BU795" s="14"/>
      <c r="BV795" s="23" t="s">
        <v>645</v>
      </c>
      <c r="BW795" s="351">
        <v>473390</v>
      </c>
      <c r="BX795" s="351">
        <v>545814</v>
      </c>
      <c r="BY795" s="351">
        <v>658400</v>
      </c>
      <c r="BZ795" s="351">
        <v>842752</v>
      </c>
      <c r="CA795" s="351">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9">
        <v>352022</v>
      </c>
      <c r="BQ796" s="349">
        <v>405878</v>
      </c>
      <c r="BR796" s="349">
        <v>489600</v>
      </c>
      <c r="BS796" s="349">
        <v>626688</v>
      </c>
      <c r="BT796" s="349">
        <v>698170</v>
      </c>
      <c r="BU796" s="14"/>
      <c r="BV796" s="23" t="s">
        <v>646</v>
      </c>
      <c r="BW796" s="349">
        <v>352022</v>
      </c>
      <c r="BX796" s="349">
        <v>405878</v>
      </c>
      <c r="BY796" s="349">
        <v>489600</v>
      </c>
      <c r="BZ796" s="349">
        <v>626688</v>
      </c>
      <c r="CA796" s="349">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f>10*176*12</f>
        <v>21120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1">
        <v>352022</v>
      </c>
      <c r="BQ797" s="351">
        <v>405878</v>
      </c>
      <c r="BR797" s="351">
        <v>489600</v>
      </c>
      <c r="BS797" s="351">
        <v>626688</v>
      </c>
      <c r="BT797" s="351">
        <v>698170</v>
      </c>
      <c r="BU797" s="14"/>
      <c r="BV797" s="23" t="s">
        <v>341</v>
      </c>
      <c r="BW797" s="351">
        <v>352022</v>
      </c>
      <c r="BX797" s="351">
        <v>405878</v>
      </c>
      <c r="BY797" s="351">
        <v>489600</v>
      </c>
      <c r="BZ797" s="351">
        <v>626688</v>
      </c>
      <c r="CA797" s="351">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9">
        <v>319236</v>
      </c>
      <c r="BQ798" s="349">
        <v>368076</v>
      </c>
      <c r="BR798" s="349">
        <v>444000</v>
      </c>
      <c r="BS798" s="349">
        <v>568320</v>
      </c>
      <c r="BT798" s="349">
        <v>633144</v>
      </c>
      <c r="BU798" s="14"/>
      <c r="BV798" s="23" t="s">
        <v>669</v>
      </c>
      <c r="BW798" s="349">
        <v>319236</v>
      </c>
      <c r="BX798" s="349">
        <v>368076</v>
      </c>
      <c r="BY798" s="349">
        <v>444000</v>
      </c>
      <c r="BZ798" s="349">
        <v>568320</v>
      </c>
      <c r="CA798" s="349">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1">
        <v>352022</v>
      </c>
      <c r="BQ799" s="351">
        <v>405878</v>
      </c>
      <c r="BR799" s="351">
        <v>489600</v>
      </c>
      <c r="BS799" s="351">
        <v>626688</v>
      </c>
      <c r="BT799" s="351">
        <v>698170</v>
      </c>
      <c r="BU799" s="14"/>
      <c r="BV799" s="23" t="s">
        <v>670</v>
      </c>
      <c r="BW799" s="351">
        <v>352022</v>
      </c>
      <c r="BX799" s="351">
        <v>405878</v>
      </c>
      <c r="BY799" s="351">
        <v>489600</v>
      </c>
      <c r="BZ799" s="351">
        <v>626688</v>
      </c>
      <c r="CA799" s="351">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8" t="s">
        <v>336</v>
      </c>
      <c r="Q800" s="1539"/>
      <c r="R800" s="1539"/>
      <c r="S800" s="1539"/>
      <c r="T800" s="1539"/>
      <c r="U800" s="1539"/>
      <c r="V800" s="1539"/>
      <c r="W800" s="1539"/>
      <c r="X800" s="1539"/>
      <c r="Y800" s="1540"/>
      <c r="Z800" s="1424"/>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9">
        <v>352022</v>
      </c>
      <c r="BQ800" s="349">
        <v>405878</v>
      </c>
      <c r="BR800" s="349">
        <v>489600</v>
      </c>
      <c r="BS800" s="349">
        <v>626688</v>
      </c>
      <c r="BT800" s="349">
        <v>698170</v>
      </c>
      <c r="BU800" s="14"/>
      <c r="BV800" s="23" t="s">
        <v>671</v>
      </c>
      <c r="BW800" s="349">
        <v>352022</v>
      </c>
      <c r="BX800" s="349">
        <v>405878</v>
      </c>
      <c r="BY800" s="349">
        <v>489600</v>
      </c>
      <c r="BZ800" s="349">
        <v>626688</v>
      </c>
      <c r="CA800" s="349">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21120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1">
        <v>473390</v>
      </c>
      <c r="BQ801" s="351">
        <v>545814</v>
      </c>
      <c r="BR801" s="351">
        <v>658400</v>
      </c>
      <c r="BS801" s="351">
        <v>842752</v>
      </c>
      <c r="BT801" s="351">
        <v>938878</v>
      </c>
      <c r="BU801" s="14"/>
      <c r="BV801" s="23" t="s">
        <v>672</v>
      </c>
      <c r="BW801" s="351">
        <v>473390</v>
      </c>
      <c r="BX801" s="351">
        <v>545814</v>
      </c>
      <c r="BY801" s="351">
        <v>658400</v>
      </c>
      <c r="BZ801" s="351">
        <v>842752</v>
      </c>
      <c r="CA801" s="351">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0">
        <f>Z801+Y785+Z793</f>
        <v>4493664</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9">
        <v>352022</v>
      </c>
      <c r="BQ802" s="349">
        <v>405878</v>
      </c>
      <c r="BR802" s="349">
        <v>489600</v>
      </c>
      <c r="BS802" s="349">
        <v>626688</v>
      </c>
      <c r="BT802" s="349">
        <v>698170</v>
      </c>
      <c r="BU802" s="14"/>
      <c r="BV802" s="23" t="s">
        <v>673</v>
      </c>
      <c r="BW802" s="349">
        <v>352022</v>
      </c>
      <c r="BX802" s="349">
        <v>405878</v>
      </c>
      <c r="BY802" s="349">
        <v>489600</v>
      </c>
      <c r="BZ802" s="349">
        <v>626688</v>
      </c>
      <c r="CA802" s="349">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1">
        <v>331890</v>
      </c>
      <c r="BQ803" s="351">
        <v>382666</v>
      </c>
      <c r="BR803" s="351">
        <v>461600</v>
      </c>
      <c r="BS803" s="351">
        <v>590848</v>
      </c>
      <c r="BT803" s="351">
        <v>658242</v>
      </c>
      <c r="BU803" s="14"/>
      <c r="BV803" s="23" t="s">
        <v>674</v>
      </c>
      <c r="BW803" s="351">
        <v>331890</v>
      </c>
      <c r="BX803" s="351">
        <v>382666</v>
      </c>
      <c r="BY803" s="351">
        <v>461600</v>
      </c>
      <c r="BZ803" s="351">
        <v>590848</v>
      </c>
      <c r="CA803" s="351">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9">
        <v>307732</v>
      </c>
      <c r="BQ804" s="349">
        <v>354812</v>
      </c>
      <c r="BR804" s="349">
        <v>428000</v>
      </c>
      <c r="BS804" s="349">
        <v>547840</v>
      </c>
      <c r="BT804" s="349">
        <v>610328</v>
      </c>
      <c r="BU804" s="14"/>
      <c r="BV804" s="23" t="s">
        <v>676</v>
      </c>
      <c r="BW804" s="349">
        <v>307732</v>
      </c>
      <c r="BX804" s="349">
        <v>354812</v>
      </c>
      <c r="BY804" s="349">
        <v>428000</v>
      </c>
      <c r="BZ804" s="349">
        <v>547840</v>
      </c>
      <c r="CA804" s="349">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1">
        <v>352022</v>
      </c>
      <c r="BQ805" s="351">
        <v>405878</v>
      </c>
      <c r="BR805" s="351">
        <v>489600</v>
      </c>
      <c r="BS805" s="351">
        <v>626688</v>
      </c>
      <c r="BT805" s="351">
        <v>698170</v>
      </c>
      <c r="BU805" s="14"/>
      <c r="BV805" s="23" t="s">
        <v>679</v>
      </c>
      <c r="BW805" s="351">
        <v>352022</v>
      </c>
      <c r="BX805" s="351">
        <v>405878</v>
      </c>
      <c r="BY805" s="351">
        <v>489600</v>
      </c>
      <c r="BZ805" s="351">
        <v>626688</v>
      </c>
      <c r="CA805" s="351">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9">
        <v>352022</v>
      </c>
      <c r="BQ806" s="349">
        <v>405878</v>
      </c>
      <c r="BR806" s="349">
        <v>489600</v>
      </c>
      <c r="BS806" s="349">
        <v>626688</v>
      </c>
      <c r="BT806" s="349">
        <v>698170</v>
      </c>
      <c r="BU806" s="14"/>
      <c r="BV806" s="23" t="s">
        <v>680</v>
      </c>
      <c r="BW806" s="349">
        <v>352022</v>
      </c>
      <c r="BX806" s="349">
        <v>405878</v>
      </c>
      <c r="BY806" s="349">
        <v>489600</v>
      </c>
      <c r="BZ806" s="349">
        <v>626688</v>
      </c>
      <c r="CA806" s="349">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4" t="s">
        <v>127</v>
      </c>
      <c r="N807" s="1524"/>
      <c r="O807" s="1524"/>
      <c r="P807" s="1748"/>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23" t="s">
        <v>337</v>
      </c>
      <c r="AH807" s="1723"/>
      <c r="AI807" s="1723"/>
      <c r="AJ807" s="17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1">
        <v>314634</v>
      </c>
      <c r="BQ807" s="351">
        <v>362770</v>
      </c>
      <c r="BR807" s="351">
        <v>437600</v>
      </c>
      <c r="BS807" s="351">
        <v>560128</v>
      </c>
      <c r="BT807" s="351">
        <v>624018</v>
      </c>
      <c r="BU807" s="14"/>
      <c r="BV807" s="23" t="s">
        <v>682</v>
      </c>
      <c r="BW807" s="351">
        <v>314634</v>
      </c>
      <c r="BX807" s="351">
        <v>362770</v>
      </c>
      <c r="BY807" s="351">
        <v>437600</v>
      </c>
      <c r="BZ807" s="351">
        <v>560128</v>
      </c>
      <c r="CA807" s="351">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8"/>
      <c r="N808" s="1528"/>
      <c r="O808" s="1528"/>
      <c r="P808" s="1713"/>
      <c r="Q808" s="1586"/>
      <c r="R808" s="1586"/>
      <c r="S808" s="1586"/>
      <c r="T808" s="1586"/>
      <c r="U808" s="1586"/>
      <c r="V808" s="1586"/>
      <c r="W808" s="1586"/>
      <c r="X808" s="1586"/>
      <c r="Y808" s="1586"/>
      <c r="Z808" s="1586"/>
      <c r="AA808" s="1586"/>
      <c r="AB808" s="1586"/>
      <c r="AC808" s="1586"/>
      <c r="AD808" s="1586"/>
      <c r="AE808" s="1586"/>
      <c r="AF808" s="1586"/>
      <c r="AG808" s="1723"/>
      <c r="AH808" s="1723"/>
      <c r="AI808" s="1723"/>
      <c r="AJ808" s="17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9">
        <v>352022</v>
      </c>
      <c r="BQ808" s="349">
        <v>405878</v>
      </c>
      <c r="BR808" s="349">
        <v>489600</v>
      </c>
      <c r="BS808" s="349">
        <v>626688</v>
      </c>
      <c r="BT808" s="349">
        <v>698170</v>
      </c>
      <c r="BU808" s="14"/>
      <c r="BV808" s="23" t="s">
        <v>683</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85" t="s">
        <v>40</v>
      </c>
      <c r="D809" s="1351"/>
      <c r="E809" s="1351"/>
      <c r="F809" s="1351"/>
      <c r="G809" s="1351"/>
      <c r="H809" s="1351"/>
      <c r="I809" s="48"/>
      <c r="J809" s="48"/>
      <c r="K809" s="48"/>
      <c r="L809" s="49"/>
      <c r="M809" s="1576">
        <v>13</v>
      </c>
      <c r="N809" s="1576"/>
      <c r="O809" s="1576"/>
      <c r="P809" s="1576"/>
      <c r="Q809" s="1576">
        <v>15</v>
      </c>
      <c r="R809" s="1576"/>
      <c r="S809" s="1576"/>
      <c r="T809" s="1576"/>
      <c r="U809" s="1576">
        <v>19</v>
      </c>
      <c r="V809" s="1576"/>
      <c r="W809" s="1576"/>
      <c r="X809" s="1576"/>
      <c r="Y809" s="1576">
        <v>22</v>
      </c>
      <c r="Z809" s="1576"/>
      <c r="AA809" s="1576"/>
      <c r="AB809" s="1576"/>
      <c r="AC809" s="1366"/>
      <c r="AD809" s="1367"/>
      <c r="AE809" s="1367"/>
      <c r="AF809" s="1368"/>
      <c r="AG809" s="1366"/>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1">
        <v>307732</v>
      </c>
      <c r="BQ809" s="351">
        <v>354812</v>
      </c>
      <c r="BR809" s="351">
        <v>428000</v>
      </c>
      <c r="BS809" s="351">
        <v>547840</v>
      </c>
      <c r="BT809" s="351">
        <v>610328</v>
      </c>
      <c r="BU809" s="14"/>
      <c r="BV809" s="23" t="s">
        <v>213</v>
      </c>
      <c r="BW809" s="351">
        <v>307732</v>
      </c>
      <c r="BX809" s="351">
        <v>354812</v>
      </c>
      <c r="BY809" s="351">
        <v>428000</v>
      </c>
      <c r="BZ809" s="351">
        <v>547840</v>
      </c>
      <c r="CA809" s="351">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40" t="s">
        <v>41</v>
      </c>
      <c r="D810" s="1641"/>
      <c r="E810" s="1641"/>
      <c r="F810" s="1641"/>
      <c r="G810" s="1641"/>
      <c r="H810" s="1641"/>
      <c r="I810" s="5"/>
      <c r="J810" s="5"/>
      <c r="K810" s="5"/>
      <c r="L810" s="46"/>
      <c r="M810" s="1576"/>
      <c r="N810" s="1576"/>
      <c r="O810" s="1576"/>
      <c r="P810" s="1576"/>
      <c r="Q810" s="1576"/>
      <c r="R810" s="1576"/>
      <c r="S810" s="1576"/>
      <c r="T810" s="1576"/>
      <c r="U810" s="1576"/>
      <c r="V810" s="1576"/>
      <c r="W810" s="1576"/>
      <c r="X810" s="1576"/>
      <c r="Y810" s="1576"/>
      <c r="Z810" s="1576"/>
      <c r="AA810" s="1576"/>
      <c r="AB810" s="1576"/>
      <c r="AC810" s="1366"/>
      <c r="AD810" s="1367"/>
      <c r="AE810" s="1367"/>
      <c r="AF810" s="1368"/>
      <c r="AG810" s="1366"/>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9">
        <v>307732</v>
      </c>
      <c r="BQ810" s="349">
        <v>354812</v>
      </c>
      <c r="BR810" s="349">
        <v>428000</v>
      </c>
      <c r="BS810" s="349">
        <v>547840</v>
      </c>
      <c r="BT810" s="349">
        <v>610328</v>
      </c>
      <c r="BU810" s="14"/>
      <c r="BV810" s="23" t="s">
        <v>215</v>
      </c>
      <c r="BW810" s="349">
        <v>307732</v>
      </c>
      <c r="BX810" s="349">
        <v>354812</v>
      </c>
      <c r="BY810" s="349">
        <v>428000</v>
      </c>
      <c r="BZ810" s="349">
        <v>547840</v>
      </c>
      <c r="CA810" s="349">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40" t="s">
        <v>42</v>
      </c>
      <c r="D811" s="1641"/>
      <c r="E811" s="1641"/>
      <c r="F811" s="1641"/>
      <c r="G811" s="1641"/>
      <c r="H811" s="1641"/>
      <c r="I811" s="60"/>
      <c r="J811" s="60"/>
      <c r="K811" s="60"/>
      <c r="L811" s="61"/>
      <c r="M811" s="1576">
        <v>6</v>
      </c>
      <c r="N811" s="1576"/>
      <c r="O811" s="1576"/>
      <c r="P811" s="1576"/>
      <c r="Q811" s="1576">
        <v>7</v>
      </c>
      <c r="R811" s="1576"/>
      <c r="S811" s="1576"/>
      <c r="T811" s="1576"/>
      <c r="U811" s="1576">
        <v>11</v>
      </c>
      <c r="V811" s="1576"/>
      <c r="W811" s="1576"/>
      <c r="X811" s="1576"/>
      <c r="Y811" s="1576">
        <v>14</v>
      </c>
      <c r="Z811" s="1576"/>
      <c r="AA811" s="1576"/>
      <c r="AB811" s="1576"/>
      <c r="AC811" s="1366"/>
      <c r="AD811" s="1367"/>
      <c r="AE811" s="1367"/>
      <c r="AF811" s="1368"/>
      <c r="AG811" s="1366"/>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1">
        <v>352022</v>
      </c>
      <c r="BQ811" s="351">
        <v>405878</v>
      </c>
      <c r="BR811" s="351">
        <v>489600</v>
      </c>
      <c r="BS811" s="351">
        <v>626688</v>
      </c>
      <c r="BT811" s="351">
        <v>698170</v>
      </c>
      <c r="BU811" s="14"/>
      <c r="BV811" s="23" t="s">
        <v>216</v>
      </c>
      <c r="BW811" s="351">
        <v>352022</v>
      </c>
      <c r="BX811" s="351">
        <v>405878</v>
      </c>
      <c r="BY811" s="351">
        <v>489600</v>
      </c>
      <c r="BZ811" s="351">
        <v>626688</v>
      </c>
      <c r="CA811" s="351">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40" t="s">
        <v>786</v>
      </c>
      <c r="D812" s="1641"/>
      <c r="E812" s="1641"/>
      <c r="F812" s="1641"/>
      <c r="G812" s="1641"/>
      <c r="H812" s="1641"/>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6"/>
      <c r="AD812" s="1367"/>
      <c r="AE812" s="1367"/>
      <c r="AF812" s="1368"/>
      <c r="AG812" s="1366"/>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9">
        <v>352022</v>
      </c>
      <c r="BQ812" s="349">
        <v>405878</v>
      </c>
      <c r="BR812" s="349">
        <v>489600</v>
      </c>
      <c r="BS812" s="349">
        <v>626688</v>
      </c>
      <c r="BT812" s="349">
        <v>698170</v>
      </c>
      <c r="BU812" s="14"/>
      <c r="BV812" s="23" t="s">
        <v>218</v>
      </c>
      <c r="BW812" s="349">
        <v>352022</v>
      </c>
      <c r="BX812" s="349">
        <v>405878</v>
      </c>
      <c r="BY812" s="349">
        <v>489600</v>
      </c>
      <c r="BZ812" s="349">
        <v>626688</v>
      </c>
      <c r="CA812" s="349">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40" t="s">
        <v>468</v>
      </c>
      <c r="D813" s="1641"/>
      <c r="E813" s="1641"/>
      <c r="F813" s="1641"/>
      <c r="G813" s="1641"/>
      <c r="H813" s="1641"/>
      <c r="I813" s="60"/>
      <c r="J813" s="60"/>
      <c r="K813" s="60"/>
      <c r="L813" s="61"/>
      <c r="M813" s="1576">
        <v>23</v>
      </c>
      <c r="N813" s="1576"/>
      <c r="O813" s="1576"/>
      <c r="P813" s="1576"/>
      <c r="Q813" s="1576">
        <v>27</v>
      </c>
      <c r="R813" s="1576"/>
      <c r="S813" s="1576"/>
      <c r="T813" s="1576"/>
      <c r="U813" s="1576">
        <v>38</v>
      </c>
      <c r="V813" s="1576"/>
      <c r="W813" s="1576"/>
      <c r="X813" s="1576"/>
      <c r="Y813" s="1576">
        <v>49</v>
      </c>
      <c r="Z813" s="1576"/>
      <c r="AA813" s="1576"/>
      <c r="AB813" s="1576"/>
      <c r="AC813" s="1366"/>
      <c r="AD813" s="1367"/>
      <c r="AE813" s="1367"/>
      <c r="AF813" s="1368"/>
      <c r="AG813" s="1366"/>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1">
        <v>437727</v>
      </c>
      <c r="BQ813" s="351">
        <v>504695</v>
      </c>
      <c r="BR813" s="351">
        <v>608800</v>
      </c>
      <c r="BS813" s="351">
        <v>779264</v>
      </c>
      <c r="BT813" s="351">
        <v>868149</v>
      </c>
      <c r="BU813" s="14"/>
      <c r="BV813" s="23" t="s">
        <v>219</v>
      </c>
      <c r="BW813" s="351">
        <v>437727</v>
      </c>
      <c r="BX813" s="351">
        <v>504695</v>
      </c>
      <c r="BY813" s="351">
        <v>608800</v>
      </c>
      <c r="BZ813" s="351">
        <v>779264</v>
      </c>
      <c r="CA813" s="351">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24" t="s">
        <v>807</v>
      </c>
      <c r="D814" s="1641"/>
      <c r="E814" s="1641"/>
      <c r="F814" s="1641"/>
      <c r="G814" s="1641"/>
      <c r="H814" s="1641"/>
      <c r="I814" s="60"/>
      <c r="J814" s="60"/>
      <c r="K814" s="60"/>
      <c r="L814" s="61"/>
      <c r="M814" s="1576">
        <v>58</v>
      </c>
      <c r="N814" s="1576"/>
      <c r="O814" s="1576"/>
      <c r="P814" s="1576"/>
      <c r="Q814" s="1576">
        <v>59</v>
      </c>
      <c r="R814" s="1576"/>
      <c r="S814" s="1576"/>
      <c r="T814" s="1576"/>
      <c r="U814" s="1576">
        <v>73</v>
      </c>
      <c r="V814" s="1576"/>
      <c r="W814" s="1576"/>
      <c r="X814" s="1576"/>
      <c r="Y814" s="1576">
        <v>88</v>
      </c>
      <c r="Z814" s="1576"/>
      <c r="AA814" s="1576"/>
      <c r="AB814" s="1576"/>
      <c r="AC814" s="1366"/>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9">
        <v>307732</v>
      </c>
      <c r="BQ814" s="349">
        <v>354812</v>
      </c>
      <c r="BR814" s="349">
        <v>428000</v>
      </c>
      <c r="BS814" s="349">
        <v>547840</v>
      </c>
      <c r="BT814" s="349">
        <v>610328</v>
      </c>
      <c r="BU814" s="14"/>
      <c r="BV814" s="23" t="s">
        <v>221</v>
      </c>
      <c r="BW814" s="349">
        <v>307732</v>
      </c>
      <c r="BX814" s="349">
        <v>354812</v>
      </c>
      <c r="BY814" s="349">
        <v>428000</v>
      </c>
      <c r="BZ814" s="349">
        <v>547840</v>
      </c>
      <c r="CA814" s="349">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8" t="s">
        <v>336</v>
      </c>
      <c r="G815" s="1539"/>
      <c r="H815" s="1539"/>
      <c r="I815" s="1539"/>
      <c r="J815" s="1539"/>
      <c r="K815" s="1539"/>
      <c r="L815" s="1539"/>
      <c r="M815" s="1576"/>
      <c r="N815" s="1576"/>
      <c r="O815" s="1576"/>
      <c r="P815" s="1576"/>
      <c r="Q815" s="1576"/>
      <c r="R815" s="1576"/>
      <c r="S815" s="1576"/>
      <c r="T815" s="1576"/>
      <c r="U815" s="1576"/>
      <c r="V815" s="1576"/>
      <c r="W815" s="1576"/>
      <c r="X815" s="1576"/>
      <c r="Y815" s="1576"/>
      <c r="Z815" s="1576"/>
      <c r="AA815" s="1576"/>
      <c r="AB815" s="1576"/>
      <c r="AC815" s="1366"/>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1">
        <v>384234</v>
      </c>
      <c r="BQ815" s="351">
        <v>443018</v>
      </c>
      <c r="BR815" s="351">
        <v>534400</v>
      </c>
      <c r="BS815" s="351">
        <v>684032</v>
      </c>
      <c r="BT815" s="351">
        <v>762054</v>
      </c>
      <c r="BU815" s="14"/>
      <c r="BV815" s="23" t="s">
        <v>222</v>
      </c>
      <c r="BW815" s="351">
        <v>384234</v>
      </c>
      <c r="BX815" s="351">
        <v>443018</v>
      </c>
      <c r="BY815" s="351">
        <v>534400</v>
      </c>
      <c r="BZ815" s="351">
        <v>684032</v>
      </c>
      <c r="CA815" s="351">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80" t="s">
        <v>125</v>
      </c>
      <c r="D816" s="1581"/>
      <c r="E816" s="1581"/>
      <c r="F816" s="1581"/>
      <c r="G816" s="1581"/>
      <c r="H816" s="1581"/>
      <c r="I816" s="1581"/>
      <c r="J816" s="1581"/>
      <c r="K816" s="1581"/>
      <c r="L816" s="1582"/>
      <c r="M816" s="1714">
        <f>SUM(M809:P815)</f>
        <v>100</v>
      </c>
      <c r="N816" s="1714"/>
      <c r="O816" s="1714"/>
      <c r="P816" s="1714"/>
      <c r="Q816" s="1714">
        <f>SUM(Q809:T815)</f>
        <v>108</v>
      </c>
      <c r="R816" s="1714"/>
      <c r="S816" s="1714"/>
      <c r="T816" s="1714"/>
      <c r="U816" s="1714">
        <f>SUM(U809:X815)</f>
        <v>141</v>
      </c>
      <c r="V816" s="1714"/>
      <c r="W816" s="1714"/>
      <c r="X816" s="1714"/>
      <c r="Y816" s="1714">
        <f>SUM(Y809:AB815)</f>
        <v>173</v>
      </c>
      <c r="Z816" s="1714"/>
      <c r="AA816" s="1714"/>
      <c r="AB816" s="1714"/>
      <c r="AC816" s="1714">
        <f>SUM(AC809:AF815)</f>
        <v>0</v>
      </c>
      <c r="AD816" s="1714"/>
      <c r="AE816" s="1714"/>
      <c r="AF816" s="1714"/>
      <c r="AG816" s="1714">
        <f>SUM(AG809:AJ815)</f>
        <v>0</v>
      </c>
      <c r="AH816" s="1714"/>
      <c r="AI816" s="1714"/>
      <c r="AJ816" s="17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9">
        <v>352022</v>
      </c>
      <c r="BQ816" s="349">
        <v>405878</v>
      </c>
      <c r="BR816" s="349">
        <v>489600</v>
      </c>
      <c r="BS816" s="349">
        <v>626688</v>
      </c>
      <c r="BT816" s="349">
        <v>698170</v>
      </c>
      <c r="BU816" s="14"/>
      <c r="BV816" s="23" t="s">
        <v>223</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1">
        <v>352022</v>
      </c>
      <c r="BQ817" s="351">
        <v>405878</v>
      </c>
      <c r="BR817" s="351">
        <v>489600</v>
      </c>
      <c r="BS817" s="351">
        <v>626688</v>
      </c>
      <c r="BT817" s="351">
        <v>698170</v>
      </c>
      <c r="BU817" s="14"/>
      <c r="BV817" s="23" t="s">
        <v>224</v>
      </c>
      <c r="BW817" s="351">
        <v>352022</v>
      </c>
      <c r="BX817" s="351">
        <v>405878</v>
      </c>
      <c r="BY817" s="351">
        <v>489600</v>
      </c>
      <c r="BZ817" s="351">
        <v>626688</v>
      </c>
      <c r="CA817" s="351">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9">
        <v>307732</v>
      </c>
      <c r="BQ818" s="349">
        <v>354812</v>
      </c>
      <c r="BR818" s="349">
        <v>428000</v>
      </c>
      <c r="BS818" s="349">
        <v>547840</v>
      </c>
      <c r="BT818" s="349">
        <v>610328</v>
      </c>
      <c r="BU818" s="14"/>
      <c r="BV818" s="23" t="s">
        <v>226</v>
      </c>
      <c r="BW818" s="349">
        <v>307732</v>
      </c>
      <c r="BX818" s="349">
        <v>354812</v>
      </c>
      <c r="BY818" s="349">
        <v>428000</v>
      </c>
      <c r="BZ818" s="349">
        <v>547840</v>
      </c>
      <c r="CA818" s="349">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1">
        <v>352022</v>
      </c>
      <c r="BQ819" s="351">
        <v>405878</v>
      </c>
      <c r="BR819" s="351">
        <v>489600</v>
      </c>
      <c r="BS819" s="351">
        <v>626688</v>
      </c>
      <c r="BT819" s="351">
        <v>698170</v>
      </c>
      <c r="BU819" s="14"/>
      <c r="BV819" s="23" t="s">
        <v>227</v>
      </c>
      <c r="BW819" s="351">
        <v>352022</v>
      </c>
      <c r="BX819" s="351">
        <v>405878</v>
      </c>
      <c r="BY819" s="351">
        <v>489600</v>
      </c>
      <c r="BZ819" s="351">
        <v>626688</v>
      </c>
      <c r="CA819" s="351">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9">
        <v>352022</v>
      </c>
      <c r="BQ820" s="349">
        <v>405878</v>
      </c>
      <c r="BR820" s="349">
        <v>489600</v>
      </c>
      <c r="BS820" s="349">
        <v>626688</v>
      </c>
      <c r="BT820" s="349">
        <v>698170</v>
      </c>
      <c r="BU820" s="14"/>
      <c r="BV820" s="23" t="s">
        <v>228</v>
      </c>
      <c r="BW820" s="349">
        <v>352022</v>
      </c>
      <c r="BX820" s="349">
        <v>405878</v>
      </c>
      <c r="BY820" s="349">
        <v>489600</v>
      </c>
      <c r="BZ820" s="349">
        <v>626688</v>
      </c>
      <c r="CA820" s="349">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7" t="s">
        <v>2655</v>
      </c>
      <c r="D821" s="1698"/>
      <c r="E821" s="1698"/>
      <c r="F821" s="1698"/>
      <c r="G821" s="1698"/>
      <c r="H821" s="1698"/>
      <c r="I821" s="1698"/>
      <c r="J821" s="1698"/>
      <c r="K821" s="1698"/>
      <c r="L821" s="1698"/>
      <c r="M821" s="1698"/>
      <c r="N821" s="1698"/>
      <c r="O821" s="1698"/>
      <c r="P821" s="1698"/>
      <c r="Q821" s="1698"/>
      <c r="R821" s="1698"/>
      <c r="S821" s="1698"/>
      <c r="T821" s="1698"/>
      <c r="U821" s="1698"/>
      <c r="V821" s="1698"/>
      <c r="W821" s="1698"/>
      <c r="X821" s="1698"/>
      <c r="Y821" s="1698"/>
      <c r="Z821" s="1698"/>
      <c r="AA821" s="1698"/>
      <c r="AB821" s="1698"/>
      <c r="AC821" s="1698"/>
      <c r="AD821" s="1698"/>
      <c r="AE821" s="1698"/>
      <c r="AF821" s="1698"/>
      <c r="AG821" s="1698"/>
      <c r="AH821" s="1698"/>
      <c r="AI821" s="1698"/>
      <c r="AJ821" s="169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1">
        <v>387110</v>
      </c>
      <c r="BQ821" s="351">
        <v>446334</v>
      </c>
      <c r="BR821" s="351">
        <v>538400</v>
      </c>
      <c r="BS821" s="351">
        <v>689152</v>
      </c>
      <c r="BT821" s="351">
        <v>767758</v>
      </c>
      <c r="BU821" s="14"/>
      <c r="BV821" s="23" t="s">
        <v>230</v>
      </c>
      <c r="BW821" s="351">
        <v>387110</v>
      </c>
      <c r="BX821" s="351">
        <v>446334</v>
      </c>
      <c r="BY821" s="351">
        <v>538400</v>
      </c>
      <c r="BZ821" s="351">
        <v>689152</v>
      </c>
      <c r="CA821" s="351">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9">
        <v>384234</v>
      </c>
      <c r="BQ822" s="349">
        <v>443018</v>
      </c>
      <c r="BR822" s="349">
        <v>534400</v>
      </c>
      <c r="BS822" s="349">
        <v>684032</v>
      </c>
      <c r="BT822" s="349">
        <v>762054</v>
      </c>
      <c r="BU822" s="14"/>
      <c r="BV822" s="23" t="s">
        <v>232</v>
      </c>
      <c r="BW822" s="349">
        <v>384234</v>
      </c>
      <c r="BX822" s="349">
        <v>443018</v>
      </c>
      <c r="BY822" s="349">
        <v>534400</v>
      </c>
      <c r="BZ822" s="349">
        <v>684032</v>
      </c>
      <c r="CA822" s="349">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1">
        <v>352022</v>
      </c>
      <c r="BQ823" s="351">
        <v>405878</v>
      </c>
      <c r="BR823" s="351">
        <v>489600</v>
      </c>
      <c r="BS823" s="351">
        <v>626688</v>
      </c>
      <c r="BT823" s="351">
        <v>698170</v>
      </c>
      <c r="BV823" s="23" t="s">
        <v>233</v>
      </c>
      <c r="BW823" s="351">
        <v>352022</v>
      </c>
      <c r="BX823" s="351">
        <v>405878</v>
      </c>
      <c r="BY823" s="351">
        <v>489600</v>
      </c>
      <c r="BZ823" s="351">
        <v>626688</v>
      </c>
      <c r="CA823" s="351">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9">
        <v>396888</v>
      </c>
      <c r="BQ824" s="349">
        <v>457608</v>
      </c>
      <c r="BR824" s="349">
        <v>552000</v>
      </c>
      <c r="BS824" s="349">
        <v>706560</v>
      </c>
      <c r="BT824" s="349">
        <v>787152</v>
      </c>
      <c r="BV824" s="23" t="s">
        <v>234</v>
      </c>
      <c r="BW824" s="349">
        <v>396888</v>
      </c>
      <c r="BX824" s="349">
        <v>457608</v>
      </c>
      <c r="BY824" s="349">
        <v>552000</v>
      </c>
      <c r="BZ824" s="349">
        <v>706560</v>
      </c>
      <c r="CA824" s="349">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1">
        <v>331890</v>
      </c>
      <c r="BQ825" s="351">
        <v>382666</v>
      </c>
      <c r="BR825" s="351">
        <v>461600</v>
      </c>
      <c r="BS825" s="351">
        <v>590848</v>
      </c>
      <c r="BT825" s="351">
        <v>658242</v>
      </c>
      <c r="BV825" s="23" t="s">
        <v>235</v>
      </c>
      <c r="BW825" s="351">
        <v>331890</v>
      </c>
      <c r="BX825" s="351">
        <v>382666</v>
      </c>
      <c r="BY825" s="351">
        <v>461600</v>
      </c>
      <c r="BZ825" s="351">
        <v>590848</v>
      </c>
      <c r="CA825" s="351">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7">
        <v>754</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49">
        <v>352022</v>
      </c>
      <c r="BQ826" s="349">
        <v>405878</v>
      </c>
      <c r="BR826" s="349">
        <v>489600</v>
      </c>
      <c r="BS826" s="349">
        <v>626688</v>
      </c>
      <c r="BT826" s="349">
        <v>698170</v>
      </c>
      <c r="BV826" s="23" t="s">
        <v>237</v>
      </c>
      <c r="BW826" s="349">
        <v>352022</v>
      </c>
      <c r="BX826" s="349">
        <v>405878</v>
      </c>
      <c r="BY826" s="349">
        <v>489600</v>
      </c>
      <c r="BZ826" s="349">
        <v>626688</v>
      </c>
      <c r="CA826" s="349">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7">
        <v>6033</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51">
        <v>314634</v>
      </c>
      <c r="BQ827" s="351">
        <v>362770</v>
      </c>
      <c r="BR827" s="351">
        <v>437600</v>
      </c>
      <c r="BS827" s="351">
        <v>560128</v>
      </c>
      <c r="BT827" s="351">
        <v>624018</v>
      </c>
      <c r="BV827" s="23" t="s">
        <v>238</v>
      </c>
      <c r="BW827" s="351">
        <v>314634</v>
      </c>
      <c r="BX827" s="351">
        <v>362770</v>
      </c>
      <c r="BY827" s="351">
        <v>437600</v>
      </c>
      <c r="BZ827" s="351">
        <v>560128</v>
      </c>
      <c r="CA827" s="351">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7">
        <v>10712</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644</v>
      </c>
      <c r="BP828" s="349">
        <v>331890</v>
      </c>
      <c r="BQ828" s="349">
        <v>382666</v>
      </c>
      <c r="BR828" s="349">
        <v>461600</v>
      </c>
      <c r="BS828" s="349">
        <v>590848</v>
      </c>
      <c r="BT828" s="349">
        <v>658242</v>
      </c>
      <c r="BV828" s="23" t="s">
        <v>644</v>
      </c>
      <c r="BW828" s="349">
        <v>331890</v>
      </c>
      <c r="BX828" s="349">
        <v>382666</v>
      </c>
      <c r="BY828" s="349">
        <v>461600</v>
      </c>
      <c r="BZ828" s="349">
        <v>590848</v>
      </c>
      <c r="CA828" s="349">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7">
        <v>45077</v>
      </c>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698</v>
      </c>
      <c r="BP829" s="351">
        <v>352022</v>
      </c>
      <c r="BQ829" s="351">
        <v>405878</v>
      </c>
      <c r="BR829" s="351">
        <v>489600</v>
      </c>
      <c r="BS829" s="351">
        <v>626688</v>
      </c>
      <c r="BT829" s="351">
        <v>698170</v>
      </c>
      <c r="BV829" s="23" t="s">
        <v>698</v>
      </c>
      <c r="BW829" s="351">
        <v>352022</v>
      </c>
      <c r="BX829" s="351">
        <v>405878</v>
      </c>
      <c r="BY829" s="351">
        <v>489600</v>
      </c>
      <c r="BZ829" s="351">
        <v>626688</v>
      </c>
      <c r="CA829" s="351">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8" t="s">
        <v>336</v>
      </c>
      <c r="N830" s="1539"/>
      <c r="O830" s="1539"/>
      <c r="P830" s="1539"/>
      <c r="Q830" s="1539"/>
      <c r="R830" s="1539"/>
      <c r="S830" s="1539"/>
      <c r="T830" s="1539"/>
      <c r="U830" s="1539"/>
      <c r="V830" s="1540"/>
      <c r="W830" s="1427"/>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49">
        <v>314634</v>
      </c>
      <c r="BQ830" s="349">
        <v>362770</v>
      </c>
      <c r="BR830" s="349">
        <v>437600</v>
      </c>
      <c r="BS830" s="349">
        <v>560128</v>
      </c>
      <c r="BT830" s="349">
        <v>624018</v>
      </c>
      <c r="BV830" s="23" t="s">
        <v>699</v>
      </c>
      <c r="BW830" s="349">
        <v>314634</v>
      </c>
      <c r="BX830" s="349">
        <v>362770</v>
      </c>
      <c r="BY830" s="349">
        <v>437600</v>
      </c>
      <c r="BZ830" s="349">
        <v>560128</v>
      </c>
      <c r="CA830" s="349">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90">
        <f>SUM(W826:AC830)</f>
        <v>62576</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700</v>
      </c>
      <c r="BP831" s="351">
        <v>353173</v>
      </c>
      <c r="BQ831" s="351">
        <v>407205</v>
      </c>
      <c r="BR831" s="351">
        <v>491200</v>
      </c>
      <c r="BS831" s="351">
        <v>628736</v>
      </c>
      <c r="BT831" s="351">
        <v>700451</v>
      </c>
      <c r="BV831" s="23" t="s">
        <v>700</v>
      </c>
      <c r="BW831" s="351">
        <v>353173</v>
      </c>
      <c r="BX831" s="351">
        <v>407205</v>
      </c>
      <c r="BY831" s="351">
        <v>491200</v>
      </c>
      <c r="BZ831" s="351">
        <v>628736</v>
      </c>
      <c r="CA831" s="351">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49">
        <v>689665</v>
      </c>
      <c r="BQ832" s="349">
        <v>795177</v>
      </c>
      <c r="BR832" s="349">
        <v>959200</v>
      </c>
      <c r="BS832" s="349">
        <v>1227776</v>
      </c>
      <c r="BT832" s="349">
        <v>1367819</v>
      </c>
      <c r="BV832" s="23" t="s">
        <v>701</v>
      </c>
      <c r="BW832" s="349">
        <v>689665</v>
      </c>
      <c r="BX832" s="349">
        <v>795177</v>
      </c>
      <c r="BY832" s="349">
        <v>959200</v>
      </c>
      <c r="BZ832" s="349">
        <v>1227776</v>
      </c>
      <c r="CA832" s="349">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4">
        <v>175338</v>
      </c>
      <c r="X833" s="1425"/>
      <c r="Y833" s="1425"/>
      <c r="Z833" s="1425"/>
      <c r="AA833" s="1425"/>
      <c r="AB833" s="1425"/>
      <c r="AC833" s="1426"/>
      <c r="AD833" s="567"/>
      <c r="AE833"/>
      <c r="AF833"/>
      <c r="AG833"/>
      <c r="AH833"/>
      <c r="AI833"/>
      <c r="AJ833"/>
      <c r="AK833"/>
      <c r="AL833"/>
      <c r="AM833"/>
      <c r="AN833"/>
      <c r="AO833"/>
      <c r="AP833"/>
      <c r="AQ833"/>
      <c r="AR833"/>
      <c r="AS833"/>
      <c r="AT833"/>
      <c r="AU833"/>
      <c r="AV833"/>
      <c r="AW833"/>
      <c r="AX833"/>
      <c r="AY833"/>
      <c r="AZ833" s="30"/>
      <c r="BA833" s="30"/>
      <c r="BO833" s="23" t="s">
        <v>244</v>
      </c>
      <c r="BP833" s="351">
        <v>307732</v>
      </c>
      <c r="BQ833" s="351">
        <v>354812</v>
      </c>
      <c r="BR833" s="351">
        <v>428000</v>
      </c>
      <c r="BS833" s="351">
        <v>547840</v>
      </c>
      <c r="BT833" s="351">
        <v>610328</v>
      </c>
      <c r="BV833" s="23" t="s">
        <v>244</v>
      </c>
      <c r="BW833" s="351">
        <v>307732</v>
      </c>
      <c r="BX833" s="351">
        <v>354812</v>
      </c>
      <c r="BY833" s="351">
        <v>428000</v>
      </c>
      <c r="BZ833" s="351">
        <v>547840</v>
      </c>
      <c r="CA833" s="351">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245</v>
      </c>
      <c r="BP834" s="349">
        <v>387110</v>
      </c>
      <c r="BQ834" s="349">
        <v>446334</v>
      </c>
      <c r="BR834" s="349">
        <v>538400</v>
      </c>
      <c r="BS834" s="349">
        <v>689152</v>
      </c>
      <c r="BT834" s="349">
        <v>767758</v>
      </c>
      <c r="BV834" s="23" t="s">
        <v>245</v>
      </c>
      <c r="BW834" s="349">
        <v>387110</v>
      </c>
      <c r="BX834" s="349">
        <v>446334</v>
      </c>
      <c r="BY834" s="349">
        <v>538400</v>
      </c>
      <c r="BZ834" s="349">
        <v>689152</v>
      </c>
      <c r="CA834" s="349">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354</v>
      </c>
      <c r="K835" s="5"/>
      <c r="L835" s="5"/>
      <c r="M835" s="5"/>
      <c r="N835" s="5"/>
      <c r="O835" s="5"/>
      <c r="P835" s="5"/>
      <c r="Q835" s="5"/>
      <c r="R835" s="5"/>
      <c r="S835" s="5"/>
      <c r="T835" s="5"/>
      <c r="U835" s="5"/>
      <c r="V835" s="46"/>
      <c r="W835" s="1706"/>
      <c r="X835" s="1706"/>
      <c r="Y835" s="1706"/>
      <c r="Z835" s="1706"/>
      <c r="AA835" s="1706"/>
      <c r="AB835" s="1706"/>
      <c r="AC835" s="170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0">
        <v>532060</v>
      </c>
      <c r="BQ835" s="350">
        <v>613460</v>
      </c>
      <c r="BR835" s="351">
        <v>740000</v>
      </c>
      <c r="BS835" s="350">
        <v>947200</v>
      </c>
      <c r="BT835" s="350">
        <v>1055240</v>
      </c>
      <c r="BV835" s="23" t="s">
        <v>246</v>
      </c>
      <c r="BW835" s="350">
        <v>532060</v>
      </c>
      <c r="BX835" s="350">
        <v>613460</v>
      </c>
      <c r="BY835" s="350">
        <v>740000</v>
      </c>
      <c r="BZ835" s="350">
        <v>947200</v>
      </c>
      <c r="CA835" s="350">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706"/>
      <c r="X836" s="1706"/>
      <c r="Y836" s="1706"/>
      <c r="Z836" s="1706"/>
      <c r="AA836" s="1706"/>
      <c r="AB836" s="1706"/>
      <c r="AC836" s="1706"/>
      <c r="AD836"/>
      <c r="AE836"/>
      <c r="AF836"/>
      <c r="AG836"/>
      <c r="AH836"/>
      <c r="AI836"/>
      <c r="AJ836"/>
      <c r="AK836"/>
      <c r="AL836"/>
      <c r="AM836"/>
      <c r="AN836"/>
      <c r="AO836"/>
      <c r="AP836"/>
      <c r="AQ836"/>
      <c r="AR836"/>
      <c r="AS836"/>
      <c r="AT836"/>
      <c r="AU836"/>
      <c r="AV836"/>
      <c r="AW836"/>
      <c r="AX836"/>
      <c r="AY836"/>
      <c r="AZ836" s="30"/>
      <c r="BA836" s="30"/>
      <c r="BO836" s="23" t="s">
        <v>707</v>
      </c>
      <c r="BP836" s="349">
        <v>387110</v>
      </c>
      <c r="BQ836" s="349">
        <v>446334</v>
      </c>
      <c r="BR836" s="349">
        <v>538400</v>
      </c>
      <c r="BS836" s="349">
        <v>689152</v>
      </c>
      <c r="BT836" s="349">
        <v>767758</v>
      </c>
      <c r="BV836" s="23" t="s">
        <v>707</v>
      </c>
      <c r="BW836" s="349">
        <v>387110</v>
      </c>
      <c r="BX836" s="349">
        <v>446334</v>
      </c>
      <c r="BY836" s="349">
        <v>538400</v>
      </c>
      <c r="BZ836" s="349">
        <v>689152</v>
      </c>
      <c r="CA836" s="349">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706">
        <v>153721</v>
      </c>
      <c r="X837" s="1706"/>
      <c r="Y837" s="1706"/>
      <c r="Z837" s="1706"/>
      <c r="AA837" s="1706"/>
      <c r="AB837" s="1706"/>
      <c r="AC837" s="1706"/>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708</v>
      </c>
      <c r="BP837" s="350">
        <v>532060</v>
      </c>
      <c r="BQ837" s="350">
        <v>613460</v>
      </c>
      <c r="BR837" s="350">
        <v>740000</v>
      </c>
      <c r="BS837" s="350">
        <v>947200</v>
      </c>
      <c r="BT837" s="350">
        <v>1055240</v>
      </c>
      <c r="BV837" s="23" t="s">
        <v>708</v>
      </c>
      <c r="BW837" s="350">
        <v>532060</v>
      </c>
      <c r="BX837" s="350">
        <v>613460</v>
      </c>
      <c r="BY837" s="350">
        <v>740000</v>
      </c>
      <c r="BZ837" s="350">
        <v>947200</v>
      </c>
      <c r="CA837" s="350">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706">
        <v>168551</v>
      </c>
      <c r="X838" s="1706"/>
      <c r="Y838" s="1706"/>
      <c r="Z838" s="1706"/>
      <c r="AA838" s="1706"/>
      <c r="AB838" s="1706"/>
      <c r="AC838" s="170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49">
        <v>387110</v>
      </c>
      <c r="BQ838" s="349">
        <v>446334</v>
      </c>
      <c r="BR838" s="349">
        <v>538400</v>
      </c>
      <c r="BS838" s="349">
        <v>689152</v>
      </c>
      <c r="BT838" s="349">
        <v>767758</v>
      </c>
      <c r="BV838" s="23" t="s">
        <v>709</v>
      </c>
      <c r="BW838" s="349">
        <v>387110</v>
      </c>
      <c r="BX838" s="349">
        <v>446334</v>
      </c>
      <c r="BY838" s="349">
        <v>538400</v>
      </c>
      <c r="BZ838" s="349">
        <v>689152</v>
      </c>
      <c r="CA838" s="349">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22">
        <f>SUM(W835:AC838)</f>
        <v>322272</v>
      </c>
      <c r="X839" s="1722"/>
      <c r="Y839" s="1722"/>
      <c r="Z839" s="1722"/>
      <c r="AA839" s="1722"/>
      <c r="AB839" s="1722"/>
      <c r="AC839" s="1722"/>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1">
        <v>319236</v>
      </c>
      <c r="BQ839" s="351">
        <v>368076</v>
      </c>
      <c r="BR839" s="351">
        <v>444000</v>
      </c>
      <c r="BS839" s="351">
        <v>568320</v>
      </c>
      <c r="BT839" s="351">
        <v>633144</v>
      </c>
      <c r="BV839" s="23" t="s">
        <v>710</v>
      </c>
      <c r="BW839" s="351">
        <v>319236</v>
      </c>
      <c r="BX839" s="351">
        <v>368076</v>
      </c>
      <c r="BY839" s="351">
        <v>444000</v>
      </c>
      <c r="BZ839" s="351">
        <v>568320</v>
      </c>
      <c r="CA839" s="351">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8">
        <f>SUM(AZ807:AZ835)</f>
        <v>7.5000000000000011E-2</v>
      </c>
      <c r="BA840" s="1718"/>
      <c r="BO840" s="23" t="s">
        <v>711</v>
      </c>
      <c r="BP840" s="349">
        <v>352022</v>
      </c>
      <c r="BQ840" s="349">
        <v>405878</v>
      </c>
      <c r="BR840" s="349">
        <v>489600</v>
      </c>
      <c r="BS840" s="349">
        <v>626688</v>
      </c>
      <c r="BT840" s="349">
        <v>698170</v>
      </c>
      <c r="BV840" s="23" t="s">
        <v>711</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628</v>
      </c>
      <c r="K841" s="5"/>
      <c r="L841" s="5"/>
      <c r="M841" s="5"/>
      <c r="N841" s="5"/>
      <c r="O841" s="5"/>
      <c r="P841" s="5"/>
      <c r="Q841" s="5"/>
      <c r="R841" s="5"/>
      <c r="S841" s="5"/>
      <c r="T841" s="5"/>
      <c r="U841" s="5"/>
      <c r="V841" s="46"/>
      <c r="W841" s="1645">
        <v>530854</v>
      </c>
      <c r="X841" s="1646"/>
      <c r="Y841" s="1646"/>
      <c r="Z841" s="1646"/>
      <c r="AA841" s="1646"/>
      <c r="AB841" s="1646"/>
      <c r="AC841" s="1647"/>
      <c r="AD841" s="562"/>
      <c r="AE841"/>
      <c r="AF841"/>
      <c r="AG841"/>
      <c r="AH841"/>
      <c r="AI841"/>
      <c r="AJ841"/>
      <c r="AK841"/>
      <c r="AL841"/>
      <c r="AM841"/>
      <c r="AN841"/>
      <c r="AO841"/>
      <c r="AP841"/>
      <c r="AQ841"/>
      <c r="AR841"/>
      <c r="AS841"/>
      <c r="AT841"/>
      <c r="AU841"/>
      <c r="AV841"/>
      <c r="AW841"/>
      <c r="AX841"/>
      <c r="AY841"/>
      <c r="AZ841" s="30"/>
      <c r="BA841" s="30"/>
      <c r="BO841" s="23" t="s">
        <v>712</v>
      </c>
      <c r="BP841" s="351">
        <v>352022</v>
      </c>
      <c r="BQ841" s="351">
        <v>405878</v>
      </c>
      <c r="BR841" s="351">
        <v>489600</v>
      </c>
      <c r="BS841" s="351">
        <v>626688</v>
      </c>
      <c r="BT841" s="351">
        <v>698170</v>
      </c>
      <c r="BV841" s="23" t="s">
        <v>712</v>
      </c>
      <c r="BW841" s="351">
        <v>352022</v>
      </c>
      <c r="BX841" s="351">
        <v>405878</v>
      </c>
      <c r="BY841" s="351">
        <v>489600</v>
      </c>
      <c r="BZ841" s="351">
        <v>626688</v>
      </c>
      <c r="CA841" s="351">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1835</v>
      </c>
      <c r="K842" s="5"/>
      <c r="L842" s="5"/>
      <c r="M842" s="5"/>
      <c r="N842" s="5"/>
      <c r="O842" s="5"/>
      <c r="P842" s="5"/>
      <c r="Q842" s="5"/>
      <c r="R842" s="5"/>
      <c r="S842" s="5"/>
      <c r="T842" s="1704"/>
      <c r="U842" s="1664"/>
      <c r="V842" s="1705"/>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713</v>
      </c>
      <c r="BP842" s="349">
        <v>384234</v>
      </c>
      <c r="BQ842" s="349">
        <v>443018</v>
      </c>
      <c r="BR842" s="349">
        <v>534400</v>
      </c>
      <c r="BS842" s="349">
        <v>684032</v>
      </c>
      <c r="BT842" s="349">
        <v>762054</v>
      </c>
      <c r="BV842" s="23" t="s">
        <v>713</v>
      </c>
      <c r="BW842" s="349">
        <v>384234</v>
      </c>
      <c r="BX842" s="349">
        <v>443018</v>
      </c>
      <c r="BY842" s="349">
        <v>534400</v>
      </c>
      <c r="BZ842" s="349">
        <v>684032</v>
      </c>
      <c r="CA842" s="349">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45">
        <v>126253</v>
      </c>
      <c r="X843" s="1646"/>
      <c r="Y843" s="1646"/>
      <c r="Z843" s="1646"/>
      <c r="AA843" s="1646"/>
      <c r="AB843" s="1646"/>
      <c r="AC843" s="1647"/>
      <c r="AD843" s="567"/>
      <c r="AZ843" s="34"/>
      <c r="BA843" s="34"/>
      <c r="BB843" s="34"/>
      <c r="BC843" s="34"/>
      <c r="BD843" s="34"/>
      <c r="BE843" s="34"/>
      <c r="BF843" s="34"/>
      <c r="BG843" s="34"/>
      <c r="BH843" s="34"/>
      <c r="BI843" s="34"/>
      <c r="BJ843" s="34"/>
      <c r="BK843" s="34"/>
      <c r="BL843" s="34"/>
      <c r="BM843" s="34"/>
      <c r="BN843" s="34"/>
      <c r="BO843" s="23" t="s">
        <v>110</v>
      </c>
      <c r="BP843" s="351">
        <v>384234</v>
      </c>
      <c r="BQ843" s="351">
        <v>443018</v>
      </c>
      <c r="BR843" s="351">
        <v>534400</v>
      </c>
      <c r="BS843" s="351">
        <v>684032</v>
      </c>
      <c r="BT843" s="351">
        <v>762054</v>
      </c>
      <c r="BU843" s="14"/>
      <c r="BV843" s="23" t="s">
        <v>110</v>
      </c>
      <c r="BW843" s="351">
        <v>384234</v>
      </c>
      <c r="BX843" s="351">
        <v>443018</v>
      </c>
      <c r="BY843" s="351">
        <v>534400</v>
      </c>
      <c r="BZ843" s="351">
        <v>684032</v>
      </c>
      <c r="CA843" s="351">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1836</v>
      </c>
      <c r="K844" s="5"/>
      <c r="L844" s="5"/>
      <c r="M844" s="5"/>
      <c r="N844" s="5"/>
      <c r="O844" s="5"/>
      <c r="P844" s="5"/>
      <c r="Q844" s="5"/>
      <c r="R844" s="5"/>
      <c r="S844" s="5"/>
      <c r="T844" s="1704"/>
      <c r="U844" s="1664"/>
      <c r="V844" s="1705"/>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49">
        <v>307732</v>
      </c>
      <c r="BQ844" s="349">
        <v>354812</v>
      </c>
      <c r="BR844" s="349">
        <v>428000</v>
      </c>
      <c r="BS844" s="349">
        <v>547840</v>
      </c>
      <c r="BT844" s="349">
        <v>610328</v>
      </c>
      <c r="BU844" s="14"/>
      <c r="BV844" s="23" t="s">
        <v>111</v>
      </c>
      <c r="BW844" s="349">
        <v>307732</v>
      </c>
      <c r="BX844" s="349">
        <v>354812</v>
      </c>
      <c r="BY844" s="349">
        <v>428000</v>
      </c>
      <c r="BZ844" s="349">
        <v>547840</v>
      </c>
      <c r="CA844" s="349">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8" t="s">
        <v>349</v>
      </c>
      <c r="N845" s="1539"/>
      <c r="O845" s="1539"/>
      <c r="P845" s="1539"/>
      <c r="Q845" s="1539"/>
      <c r="R845" s="1539"/>
      <c r="S845" s="1539"/>
      <c r="T845" s="1539"/>
      <c r="U845" s="1539"/>
      <c r="V845" s="1540"/>
      <c r="W845" s="1645">
        <v>39982</v>
      </c>
      <c r="X845" s="1646"/>
      <c r="Y845" s="1646"/>
      <c r="Z845" s="1646"/>
      <c r="AA845" s="1646"/>
      <c r="AB845" s="1646"/>
      <c r="AC845" s="1647"/>
      <c r="AD845" s="562"/>
      <c r="AZ845" s="34"/>
      <c r="BA845" s="34"/>
      <c r="BB845" s="34"/>
      <c r="BC845" s="34"/>
      <c r="BD845" s="34"/>
      <c r="BE845" s="34"/>
      <c r="BF845" s="34"/>
      <c r="BG845" s="34"/>
      <c r="BH845" s="34"/>
      <c r="BI845" s="34"/>
      <c r="BJ845" s="34"/>
      <c r="BK845" s="34"/>
      <c r="BL845" s="34"/>
      <c r="BM845" s="34"/>
      <c r="BN845" s="34"/>
      <c r="BO845" s="23" t="s">
        <v>45</v>
      </c>
      <c r="BP845" s="351">
        <v>331890</v>
      </c>
      <c r="BQ845" s="351">
        <v>382666</v>
      </c>
      <c r="BR845" s="351">
        <v>461600</v>
      </c>
      <c r="BS845" s="351">
        <v>590848</v>
      </c>
      <c r="BT845" s="351">
        <v>658242</v>
      </c>
      <c r="BU845" s="14"/>
      <c r="BV845" s="23" t="s">
        <v>45</v>
      </c>
      <c r="BW845" s="351">
        <v>331890</v>
      </c>
      <c r="BX845" s="351">
        <v>382666</v>
      </c>
      <c r="BY845" s="351">
        <v>461600</v>
      </c>
      <c r="BZ845" s="351">
        <v>590848</v>
      </c>
      <c r="CA845" s="351">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9">
        <f>SUM(W841:AC845)</f>
        <v>697089</v>
      </c>
      <c r="X846" s="1720"/>
      <c r="Y846" s="1720"/>
      <c r="Z846" s="1720"/>
      <c r="AA846" s="1720"/>
      <c r="AB846" s="1720"/>
      <c r="AC846" s="1721"/>
      <c r="AD846" s="567"/>
      <c r="AZ846" s="34"/>
      <c r="BA846" s="34"/>
      <c r="BB846" s="34"/>
      <c r="BC846" s="34"/>
      <c r="BD846" s="34"/>
      <c r="BE846" s="34"/>
      <c r="BF846" s="34"/>
      <c r="BG846" s="34"/>
      <c r="BH846" s="34"/>
      <c r="BI846" s="34"/>
      <c r="BJ846" s="34"/>
      <c r="BK846" s="34"/>
      <c r="BL846" s="34"/>
      <c r="BM846" s="34"/>
      <c r="BN846" s="34"/>
      <c r="BO846" s="23" t="s">
        <v>46</v>
      </c>
      <c r="BP846" s="349">
        <v>352022</v>
      </c>
      <c r="BQ846" s="349">
        <v>405878</v>
      </c>
      <c r="BR846" s="349">
        <v>489600</v>
      </c>
      <c r="BS846" s="349">
        <v>626688</v>
      </c>
      <c r="BT846" s="349">
        <v>698170</v>
      </c>
      <c r="BU846" s="14"/>
      <c r="BV846" s="23" t="s">
        <v>46</v>
      </c>
      <c r="BW846" s="349">
        <v>352022</v>
      </c>
      <c r="BX846" s="349">
        <v>405878</v>
      </c>
      <c r="BY846" s="349">
        <v>489600</v>
      </c>
      <c r="BZ846" s="349">
        <v>626688</v>
      </c>
      <c r="CA846" s="349">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5">
        <v>93164</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1">
        <v>352022</v>
      </c>
      <c r="BQ847" s="351">
        <v>405878</v>
      </c>
      <c r="BR847" s="351">
        <v>489600</v>
      </c>
      <c r="BS847" s="351">
        <v>626688</v>
      </c>
      <c r="BT847" s="351">
        <v>698170</v>
      </c>
      <c r="BU847" s="14"/>
      <c r="BV847" s="23" t="s">
        <v>47</v>
      </c>
      <c r="BW847" s="351">
        <v>352022</v>
      </c>
      <c r="BX847" s="351">
        <v>405878</v>
      </c>
      <c r="BY847" s="351">
        <v>489600</v>
      </c>
      <c r="BZ847" s="351">
        <v>626688</v>
      </c>
      <c r="CA847" s="351">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6"/>
      <c r="AZ848" s="34"/>
      <c r="BA848" s="34"/>
      <c r="BB848" s="34"/>
      <c r="BC848" s="34"/>
      <c r="BD848" s="34"/>
      <c r="BE848" s="34"/>
      <c r="BF848" s="34"/>
      <c r="BG848" s="34"/>
      <c r="BH848" s="34"/>
      <c r="BI848" s="34"/>
      <c r="BJ848" s="34"/>
      <c r="BK848" s="34"/>
      <c r="BL848" s="34"/>
      <c r="BM848" s="34"/>
      <c r="BN848" s="34"/>
      <c r="BO848" s="23" t="s">
        <v>48</v>
      </c>
      <c r="BP848" s="349">
        <v>307732</v>
      </c>
      <c r="BQ848" s="349">
        <v>354812</v>
      </c>
      <c r="BR848" s="349">
        <v>428000</v>
      </c>
      <c r="BS848" s="349">
        <v>547840</v>
      </c>
      <c r="BT848" s="349">
        <v>610328</v>
      </c>
      <c r="BU848" s="14"/>
      <c r="BV848" s="23" t="s">
        <v>48</v>
      </c>
      <c r="BW848" s="349">
        <v>307732</v>
      </c>
      <c r="BX848" s="349">
        <v>354812</v>
      </c>
      <c r="BY848" s="349">
        <v>428000</v>
      </c>
      <c r="BZ848" s="349">
        <v>547840</v>
      </c>
      <c r="CA848" s="349">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626</v>
      </c>
      <c r="K849" s="5"/>
      <c r="L849" s="5"/>
      <c r="M849" s="5"/>
      <c r="N849" s="5"/>
      <c r="O849" s="5"/>
      <c r="P849" s="5"/>
      <c r="Q849" s="5"/>
      <c r="R849" s="5"/>
      <c r="S849" s="5"/>
      <c r="T849" s="5"/>
      <c r="U849" s="5"/>
      <c r="V849" s="46"/>
      <c r="W849" s="1427">
        <v>5706</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1">
        <v>352022</v>
      </c>
      <c r="BQ849" s="351">
        <v>405878</v>
      </c>
      <c r="BR849" s="351">
        <v>489600</v>
      </c>
      <c r="BS849" s="351">
        <v>626688</v>
      </c>
      <c r="BT849" s="351">
        <v>698170</v>
      </c>
      <c r="BU849" s="14"/>
      <c r="BV849" s="23" t="s">
        <v>130</v>
      </c>
      <c r="BW849" s="351">
        <v>352022</v>
      </c>
      <c r="BX849" s="351">
        <v>405878</v>
      </c>
      <c r="BY849" s="351">
        <v>489600</v>
      </c>
      <c r="BZ849" s="351">
        <v>626688</v>
      </c>
      <c r="CA849" s="351">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427">
        <v>69454</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49">
        <v>387110</v>
      </c>
      <c r="BQ850" s="349">
        <v>446334</v>
      </c>
      <c r="BR850" s="349">
        <v>538400</v>
      </c>
      <c r="BS850" s="349">
        <v>689152</v>
      </c>
      <c r="BT850" s="349">
        <v>767758</v>
      </c>
      <c r="BU850" s="14"/>
      <c r="BV850" s="23" t="s">
        <v>49</v>
      </c>
      <c r="BW850" s="349">
        <v>387110</v>
      </c>
      <c r="BX850" s="349">
        <v>446334</v>
      </c>
      <c r="BY850" s="349">
        <v>538400</v>
      </c>
      <c r="BZ850" s="349">
        <v>689152</v>
      </c>
      <c r="CA850" s="349">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427">
        <v>61379</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1">
        <v>331890</v>
      </c>
      <c r="BQ851" s="351">
        <v>382666</v>
      </c>
      <c r="BR851" s="351">
        <v>461600</v>
      </c>
      <c r="BS851" s="351">
        <v>590848</v>
      </c>
      <c r="BT851" s="351">
        <v>658242</v>
      </c>
      <c r="BU851" s="14"/>
      <c r="BV851" s="23" t="s">
        <v>50</v>
      </c>
      <c r="BW851" s="351">
        <v>331890</v>
      </c>
      <c r="BX851" s="351">
        <v>382666</v>
      </c>
      <c r="BY851" s="351">
        <v>461600</v>
      </c>
      <c r="BZ851" s="351">
        <v>590848</v>
      </c>
      <c r="CA851" s="351">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427">
        <v>8304</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49">
        <v>331890</v>
      </c>
      <c r="BQ852" s="349">
        <v>382666</v>
      </c>
      <c r="BR852" s="349">
        <v>461600</v>
      </c>
      <c r="BS852" s="349">
        <v>590848</v>
      </c>
      <c r="BT852" s="349">
        <v>658242</v>
      </c>
      <c r="BU852" s="14"/>
      <c r="BV852" s="23" t="s">
        <v>328</v>
      </c>
      <c r="BW852" s="349">
        <v>331890</v>
      </c>
      <c r="BX852" s="349">
        <v>382666</v>
      </c>
      <c r="BY852" s="349">
        <v>461600</v>
      </c>
      <c r="BZ852" s="349">
        <v>590848</v>
      </c>
      <c r="CA852" s="349">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427">
        <v>52704</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427">
        <v>17997</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8" t="s">
        <v>2761</v>
      </c>
      <c r="N855" s="1539"/>
      <c r="O855" s="1539"/>
      <c r="P855" s="1539"/>
      <c r="Q855" s="1539"/>
      <c r="R855" s="1539"/>
      <c r="S855" s="1539"/>
      <c r="T855" s="1539"/>
      <c r="U855" s="1539"/>
      <c r="V855" s="1540"/>
      <c r="W855" s="1427">
        <v>4705</v>
      </c>
      <c r="X855" s="1427"/>
      <c r="Y855" s="1427"/>
      <c r="Z855" s="1427"/>
      <c r="AA855" s="1427"/>
      <c r="AB855" s="1427"/>
      <c r="AC855" s="1427"/>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8">
        <f>SUM(W849:AC855)</f>
        <v>220249</v>
      </c>
      <c r="X856" s="1678"/>
      <c r="Y856" s="1678"/>
      <c r="Z856" s="1678"/>
      <c r="AA856" s="1678"/>
      <c r="AB856" s="1678"/>
      <c r="AC856" s="167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1391</v>
      </c>
      <c r="J858" s="45" t="s">
        <v>171</v>
      </c>
      <c r="K858" s="5"/>
      <c r="L858" s="5"/>
      <c r="M858" s="1538" t="s">
        <v>2762</v>
      </c>
      <c r="N858" s="1539"/>
      <c r="O858" s="1539"/>
      <c r="P858" s="1539"/>
      <c r="Q858" s="1539"/>
      <c r="R858" s="1539"/>
      <c r="S858" s="1539"/>
      <c r="T858" s="1539"/>
      <c r="U858" s="1539"/>
      <c r="V858" s="1540"/>
      <c r="W858" s="1424">
        <v>857</v>
      </c>
      <c r="X858" s="1425"/>
      <c r="Y858" s="1425"/>
      <c r="Z858" s="1425"/>
      <c r="AA858" s="1425"/>
      <c r="AB858" s="1425"/>
      <c r="AC858" s="1426"/>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1392</v>
      </c>
      <c r="J859" s="45" t="s">
        <v>171</v>
      </c>
      <c r="K859" s="5"/>
      <c r="L859" s="5"/>
      <c r="M859" s="1538" t="s">
        <v>336</v>
      </c>
      <c r="N859" s="1539"/>
      <c r="O859" s="1539"/>
      <c r="P859" s="1539"/>
      <c r="Q859" s="1539"/>
      <c r="R859" s="1539"/>
      <c r="S859" s="1539"/>
      <c r="T859" s="1539"/>
      <c r="U859" s="1539"/>
      <c r="V859" s="1540"/>
      <c r="W859" s="1424"/>
      <c r="X859" s="1425"/>
      <c r="Y859" s="1425"/>
      <c r="Z859" s="1425"/>
      <c r="AA859" s="1425"/>
      <c r="AB859" s="1425"/>
      <c r="AC859" s="1426"/>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8" t="s">
        <v>336</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8" t="s">
        <v>336</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8" t="s">
        <v>336</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90">
        <f>SUM(W858:AC862)</f>
        <v>857</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279</v>
      </c>
      <c r="AC867" s="1591">
        <f>W831+W839+W846+W847+W856+W863+W833</f>
        <v>1571545</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520</v>
      </c>
      <c r="AC868" s="1702">
        <f>O782+O762+G739</f>
        <v>176</v>
      </c>
      <c r="AD868" s="1702"/>
      <c r="AE868" s="1702"/>
      <c r="AF868" s="1702"/>
      <c r="AG868" s="1702"/>
      <c r="AH868" s="170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700" t="s">
        <v>32</v>
      </c>
      <c r="F869" s="1700"/>
      <c r="G869" s="1700"/>
      <c r="H869" s="1700"/>
      <c r="I869" s="1700"/>
      <c r="J869" s="1700"/>
      <c r="K869" s="1700"/>
      <c r="L869" s="1700"/>
      <c r="M869" s="1700"/>
      <c r="N869" s="1700"/>
      <c r="O869" s="1700"/>
      <c r="P869" s="1700"/>
      <c r="Q869" s="1700"/>
      <c r="R869" s="1700"/>
      <c r="S869" s="1700"/>
      <c r="T869" s="1700"/>
      <c r="U869" s="1700"/>
      <c r="V869" s="1700"/>
      <c r="W869" s="1700"/>
      <c r="X869" s="1700"/>
      <c r="Y869" s="1700"/>
      <c r="Z869" s="1700"/>
      <c r="AA869" s="1700"/>
      <c r="AB869" s="1701"/>
      <c r="AC869" s="1678">
        <f>IF(ISERROR((ROUNDDOWN(AC867/AC868,0))),0,(ROUNDDOWN(AC867/AC868,0)))</f>
        <v>8929</v>
      </c>
      <c r="AD869" s="1678"/>
      <c r="AE869" s="1678"/>
      <c r="AF869" s="1678"/>
      <c r="AG869" s="1678"/>
      <c r="AH869" s="167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7">
        <v>981470</v>
      </c>
      <c r="AD870" s="1728"/>
      <c r="AE870" s="1728"/>
      <c r="AF870" s="1728"/>
      <c r="AG870" s="1728"/>
      <c r="AH870" s="172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335410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88000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6">
        <v>17400</v>
      </c>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14038</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15" t="s">
        <v>2763</v>
      </c>
      <c r="D877" s="1716"/>
      <c r="E877" s="1716"/>
      <c r="F877" s="1716"/>
      <c r="G877" s="1716"/>
      <c r="H877" s="1716"/>
      <c r="I877" s="1716"/>
      <c r="J877" s="1716"/>
      <c r="K877" s="1716"/>
      <c r="L877" s="1716"/>
      <c r="M877" s="1716"/>
      <c r="N877" s="1716"/>
      <c r="O877" s="1716"/>
      <c r="P877" s="1716"/>
      <c r="Q877" s="1716"/>
      <c r="R877" s="1716"/>
      <c r="S877" s="1716"/>
      <c r="T877" s="1716"/>
      <c r="U877" s="1716"/>
      <c r="V877" s="1716"/>
      <c r="W877" s="1716"/>
      <c r="X877" s="1716"/>
      <c r="Y877" s="1716"/>
      <c r="Z877" s="1716"/>
      <c r="AA877" s="1716"/>
      <c r="AB877" s="1717"/>
      <c r="AC877" s="1427">
        <f>SUM(AO623:AS624)*0.05%</f>
        <v>12829.5</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15" t="s">
        <v>996</v>
      </c>
      <c r="D878" s="1716"/>
      <c r="E878" s="1716"/>
      <c r="F878" s="1716"/>
      <c r="G878" s="1716"/>
      <c r="H878" s="1716"/>
      <c r="I878" s="1716"/>
      <c r="J878" s="1716"/>
      <c r="K878" s="1716"/>
      <c r="L878" s="1716"/>
      <c r="M878" s="1716"/>
      <c r="N878" s="1716"/>
      <c r="O878" s="1716"/>
      <c r="P878" s="1716"/>
      <c r="Q878" s="1716"/>
      <c r="R878" s="1716"/>
      <c r="S878" s="1716"/>
      <c r="T878" s="1716"/>
      <c r="U878" s="1716"/>
      <c r="V878" s="1716"/>
      <c r="W878" s="1716"/>
      <c r="X878" s="1716"/>
      <c r="Y878" s="1716"/>
      <c r="Z878" s="1716"/>
      <c r="AA878" s="1716"/>
      <c r="AB878" s="1717"/>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707"/>
      <c r="BE887" s="170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707"/>
      <c r="BE888" s="170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8"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1"/>
      <c r="BD892" s="1707"/>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1"/>
      <c r="BD893" s="1726"/>
      <c r="BE893" s="1726"/>
      <c r="BF893" s="172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1"/>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707"/>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4" t="s">
        <v>816</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7"/>
      <c r="BE898" s="1648"/>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5" t="s">
        <v>844</v>
      </c>
      <c r="G899" s="1526"/>
      <c r="H899" s="1526"/>
      <c r="I899" s="1526"/>
      <c r="J899" s="1526"/>
      <c r="K899" s="1526"/>
      <c r="L899" s="1526"/>
      <c r="M899" s="1526"/>
      <c r="N899" s="1526"/>
      <c r="O899" s="1526"/>
      <c r="P899" s="1526"/>
      <c r="Q899" s="1526"/>
      <c r="R899" s="1526"/>
      <c r="S899" s="1526"/>
      <c r="T899" s="1712"/>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7"/>
      <c r="G900" s="1528"/>
      <c r="H900" s="1528"/>
      <c r="I900" s="1528"/>
      <c r="J900" s="1528"/>
      <c r="K900" s="1528"/>
      <c r="L900" s="1528"/>
      <c r="M900" s="1528"/>
      <c r="N900" s="1528"/>
      <c r="O900" s="1528"/>
      <c r="P900" s="1528"/>
      <c r="Q900" s="1528"/>
      <c r="R900" s="1528"/>
      <c r="S900" s="1528"/>
      <c r="T900" s="1713"/>
      <c r="U900" s="1527"/>
      <c r="V900" s="1528"/>
      <c r="W900" s="1528"/>
      <c r="X900" s="1528"/>
      <c r="Y900" s="1528"/>
      <c r="Z900" s="1528"/>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520" t="s">
        <v>554</v>
      </c>
      <c r="V901" s="1521"/>
      <c r="W901" s="1521"/>
      <c r="X901" s="1521"/>
      <c r="Y901" s="1521"/>
      <c r="Z901" s="1522"/>
      <c r="AA901" s="1532">
        <f>AM550</f>
        <v>73842097</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520" t="s">
        <v>554</v>
      </c>
      <c r="V902" s="1521"/>
      <c r="W902" s="1521"/>
      <c r="X902" s="1521"/>
      <c r="Y902" s="1521"/>
      <c r="Z902" s="1522"/>
      <c r="AA902" s="1532">
        <f>AM551</f>
        <v>25849421</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1435</v>
      </c>
      <c r="G911" s="5"/>
      <c r="H911" s="5"/>
      <c r="I911" s="5"/>
      <c r="J911" s="5"/>
      <c r="K911" s="5"/>
      <c r="L911" s="5"/>
      <c r="M911" s="5"/>
      <c r="N911" s="5"/>
      <c r="O911" s="5"/>
      <c r="P911" s="5"/>
      <c r="Q911" s="5"/>
      <c r="R911" s="5"/>
      <c r="S911" s="5"/>
      <c r="T911" s="46"/>
      <c r="U911" s="1520" t="s">
        <v>600</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1419</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1420</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520" t="s">
        <v>678</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8" t="s">
        <v>336</v>
      </c>
      <c r="J917" s="1539"/>
      <c r="K917" s="1539"/>
      <c r="L917" s="1539"/>
      <c r="M917" s="1539"/>
      <c r="N917" s="1539"/>
      <c r="O917" s="1539"/>
      <c r="P917" s="1539"/>
      <c r="Q917" s="1539"/>
      <c r="R917" s="1539"/>
      <c r="S917" s="1539"/>
      <c r="T917" s="1540"/>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38" t="s">
        <v>2625</v>
      </c>
      <c r="J918" s="1547"/>
      <c r="K918" s="1547"/>
      <c r="L918" s="1547"/>
      <c r="M918" s="1547"/>
      <c r="N918" s="1547"/>
      <c r="O918" s="1547"/>
      <c r="P918" s="1547"/>
      <c r="Q918" s="1547"/>
      <c r="R918" s="1547"/>
      <c r="S918" s="1547"/>
      <c r="T918" s="1548"/>
      <c r="U918" s="1520" t="s">
        <v>554</v>
      </c>
      <c r="V918" s="1521"/>
      <c r="W918" s="1521"/>
      <c r="X918" s="1521"/>
      <c r="Y918" s="1521"/>
      <c r="Z918" s="1522"/>
      <c r="AA918" s="1532">
        <f>AO625</f>
        <v>12950000</v>
      </c>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38" t="s">
        <v>2626</v>
      </c>
      <c r="J919" s="1547"/>
      <c r="K919" s="1547"/>
      <c r="L919" s="1547"/>
      <c r="M919" s="1547"/>
      <c r="N919" s="1547"/>
      <c r="O919" s="1547"/>
      <c r="P919" s="1547"/>
      <c r="Q919" s="1547"/>
      <c r="R919" s="1547"/>
      <c r="S919" s="1547"/>
      <c r="T919" s="1548"/>
      <c r="U919" s="1520" t="s">
        <v>554</v>
      </c>
      <c r="V919" s="1521"/>
      <c r="W919" s="1521"/>
      <c r="X919" s="1521"/>
      <c r="Y919" s="1521"/>
      <c r="Z919" s="1522"/>
      <c r="AA919" s="1532">
        <v>11200000</v>
      </c>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711" t="s">
        <v>336</v>
      </c>
      <c r="J920" s="1547"/>
      <c r="K920" s="1547"/>
      <c r="L920" s="1547"/>
      <c r="M920" s="1547"/>
      <c r="N920" s="1547"/>
      <c r="O920" s="1547"/>
      <c r="P920" s="1547"/>
      <c r="Q920" s="1547"/>
      <c r="R920" s="1547"/>
      <c r="S920" s="1547"/>
      <c r="T920" s="1548"/>
      <c r="U920" s="1520" t="s">
        <v>600</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80" t="s">
        <v>2757</v>
      </c>
      <c r="N925" s="1681"/>
      <c r="O925" s="1681"/>
      <c r="P925" s="1681"/>
      <c r="Q925" s="1681"/>
      <c r="R925" s="1681"/>
      <c r="S925" s="1682"/>
      <c r="U925" s="66" t="s">
        <v>11</v>
      </c>
      <c r="V925" s="5"/>
      <c r="W925" s="5"/>
      <c r="X925" s="5"/>
      <c r="Y925" s="5"/>
      <c r="Z925" s="5"/>
      <c r="AA925" s="5"/>
      <c r="AB925" s="5"/>
      <c r="AC925" s="5"/>
      <c r="AD925" s="46"/>
      <c r="AE925" s="1680"/>
      <c r="AF925" s="1681"/>
      <c r="AG925" s="1681"/>
      <c r="AH925" s="1681"/>
      <c r="AI925" s="1681"/>
      <c r="AJ925" s="1681"/>
      <c r="AK925" s="168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8" t="s">
        <v>2655</v>
      </c>
      <c r="N926" s="1629"/>
      <c r="O926" s="1629"/>
      <c r="P926" s="1629"/>
      <c r="Q926" s="1629"/>
      <c r="R926" s="1629"/>
      <c r="S926" s="1630"/>
      <c r="U926" s="66" t="s">
        <v>12</v>
      </c>
      <c r="V926" s="5"/>
      <c r="W926" s="5"/>
      <c r="X926" s="5"/>
      <c r="Y926" s="5"/>
      <c r="Z926" s="5"/>
      <c r="AA926" s="5"/>
      <c r="AB926" s="5"/>
      <c r="AC926" s="5"/>
      <c r="AD926" s="46"/>
      <c r="AE926" s="1628"/>
      <c r="AF926" s="1629"/>
      <c r="AG926" s="1629"/>
      <c r="AH926" s="1629"/>
      <c r="AI926" s="1629"/>
      <c r="AJ926" s="1629"/>
      <c r="AK926" s="163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708" t="s">
        <v>2656</v>
      </c>
      <c r="K927" s="1709"/>
      <c r="L927" s="1709"/>
      <c r="M927" s="1709"/>
      <c r="N927" s="1709"/>
      <c r="O927" s="1709"/>
      <c r="P927" s="1709"/>
      <c r="Q927" s="1709"/>
      <c r="R927" s="1709"/>
      <c r="S927" s="1710"/>
      <c r="U927" s="66" t="s">
        <v>909</v>
      </c>
      <c r="V927" s="5"/>
      <c r="W927" s="5"/>
      <c r="AB927" s="1708"/>
      <c r="AC927" s="1709"/>
      <c r="AD927" s="1709"/>
      <c r="AE927" s="1709"/>
      <c r="AF927" s="1709"/>
      <c r="AG927" s="1709"/>
      <c r="AH927" s="1709"/>
      <c r="AI927" s="1709"/>
      <c r="AJ927" s="1709"/>
      <c r="AK927" s="171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51">
        <f>M929/176</f>
        <v>0.42613636363636365</v>
      </c>
      <c r="N928" s="1552"/>
      <c r="O928" s="1552"/>
      <c r="P928" s="1552"/>
      <c r="Q928" s="1552"/>
      <c r="R928" s="1552"/>
      <c r="S928" s="1553"/>
      <c r="U928" s="66" t="s">
        <v>13</v>
      </c>
      <c r="V928" s="5"/>
      <c r="W928" s="5"/>
      <c r="X928" s="5"/>
      <c r="Y928" s="5"/>
      <c r="Z928" s="5"/>
      <c r="AA928" s="5"/>
      <c r="AB928" s="5"/>
      <c r="AC928" s="5"/>
      <c r="AD928" s="46"/>
      <c r="AE928" s="1690"/>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7">
        <v>75</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32">
        <f>'Subsidy Contract Calculation'!J30</f>
        <v>1534980</v>
      </c>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32">
        <f>M930*M932</f>
        <v>30699600</v>
      </c>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1842</v>
      </c>
      <c r="D932" s="5"/>
      <c r="E932" s="5"/>
      <c r="F932" s="5"/>
      <c r="G932" s="5"/>
      <c r="H932" s="5"/>
      <c r="I932" s="5"/>
      <c r="J932" s="5"/>
      <c r="K932" s="5"/>
      <c r="L932" s="46"/>
      <c r="M932" s="1440">
        <v>20</v>
      </c>
      <c r="N932" s="1441"/>
      <c r="O932" s="1441"/>
      <c r="P932" s="1441"/>
      <c r="Q932" s="1441"/>
      <c r="R932" s="1441"/>
      <c r="S932" s="1442"/>
      <c r="U932" s="121" t="s">
        <v>1842</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541"/>
      <c r="N937" s="1542"/>
      <c r="O937" s="1542"/>
      <c r="P937" s="1542"/>
      <c r="Q937" s="1542"/>
      <c r="R937" s="1542"/>
      <c r="S937" s="1543"/>
      <c r="T937" s="66" t="s">
        <v>814</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541"/>
      <c r="N938" s="1542"/>
      <c r="O938" s="1542"/>
      <c r="P938" s="1542"/>
      <c r="Q938" s="1542"/>
      <c r="R938" s="1542"/>
      <c r="S938" s="1543"/>
      <c r="T938" s="66" t="s">
        <v>813</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86" t="s">
        <v>600</v>
      </c>
      <c r="N939" s="1687"/>
      <c r="O939" s="1687"/>
      <c r="P939" s="1687"/>
      <c r="Q939" s="1687"/>
      <c r="R939" s="1687"/>
      <c r="S939" s="1688"/>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541"/>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94" t="s">
        <v>309</v>
      </c>
      <c r="N942" s="1695"/>
      <c r="O942" s="1695"/>
      <c r="P942" s="1695"/>
      <c r="Q942" s="1695"/>
      <c r="R942" s="1695"/>
      <c r="S942" s="1696"/>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83" t="s">
        <v>678</v>
      </c>
      <c r="P944" s="1684"/>
      <c r="Q944" s="92"/>
      <c r="R944" s="92"/>
      <c r="S944" s="93"/>
      <c r="T944" s="41" t="s">
        <v>171</v>
      </c>
      <c r="U944" s="42"/>
      <c r="V944" s="42"/>
      <c r="W944" s="1691" t="s">
        <v>336</v>
      </c>
      <c r="X944" s="1692"/>
      <c r="Y944" s="1692"/>
      <c r="Z944" s="1692"/>
      <c r="AA944" s="1692"/>
      <c r="AB944" s="1692"/>
      <c r="AC944" s="1692"/>
      <c r="AD944" s="1692"/>
      <c r="AE944" s="1692"/>
      <c r="AF944" s="1692"/>
      <c r="AG944" s="169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85" t="s">
        <v>33</v>
      </c>
      <c r="G945" s="1351"/>
      <c r="H945" s="1351"/>
      <c r="I945" s="1351"/>
      <c r="J945" s="1351"/>
      <c r="K945" s="1351"/>
      <c r="L945" s="1351"/>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50" t="s">
        <v>557</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4"/>
      <c r="D954" s="1481" t="s">
        <v>647</v>
      </c>
      <c r="E954" s="1482"/>
      <c r="F954" s="1482"/>
      <c r="G954" s="1482"/>
      <c r="H954" s="1482"/>
      <c r="I954" s="1482"/>
      <c r="J954" s="1482"/>
      <c r="K954" s="1482"/>
      <c r="L954" s="1482"/>
      <c r="M954" s="1482"/>
      <c r="N954" s="1482"/>
      <c r="O954" s="1482"/>
      <c r="P954" s="1482"/>
      <c r="Q954" s="1483"/>
      <c r="R954" s="1481" t="s">
        <v>648</v>
      </c>
      <c r="S954" s="1482"/>
      <c r="T954" s="1482"/>
      <c r="U954" s="1482"/>
      <c r="V954" s="1482"/>
      <c r="W954" s="1482"/>
      <c r="X954" s="1482"/>
      <c r="Y954" s="1482"/>
      <c r="Z954" s="1482"/>
      <c r="AA954" s="1483"/>
      <c r="AB954" s="1481" t="s">
        <v>649</v>
      </c>
      <c r="AC954" s="1482"/>
      <c r="AD954" s="1482"/>
      <c r="AE954" s="1482"/>
      <c r="AF954" s="1482"/>
      <c r="AG954" s="1482"/>
      <c r="AH954" s="1482"/>
      <c r="AI954" s="1483"/>
      <c r="AJ954" s="1481" t="s">
        <v>650</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5"/>
      <c r="D955" s="1478" t="s">
        <v>642</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532060</v>
      </c>
      <c r="S955" s="1519"/>
      <c r="T955" s="1519"/>
      <c r="U955" s="1519"/>
      <c r="V955" s="1519"/>
      <c r="W955" s="1519"/>
      <c r="X955" s="1519"/>
      <c r="Y955" s="1519"/>
      <c r="Z955" s="1519"/>
      <c r="AA955" s="1519"/>
      <c r="AB955" s="1437">
        <f>BN649</f>
        <v>39</v>
      </c>
      <c r="AC955" s="1438"/>
      <c r="AD955" s="1438"/>
      <c r="AE955" s="1438"/>
      <c r="AF955" s="1438"/>
      <c r="AG955" s="1438"/>
      <c r="AH955" s="1438"/>
      <c r="AI955" s="1439"/>
      <c r="AJ955" s="1450">
        <f>IF(ISERROR((R955*AB955)),0,(R955*AB955))</f>
        <v>20750340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613460</v>
      </c>
      <c r="S956" s="1519"/>
      <c r="T956" s="1519"/>
      <c r="U956" s="1519"/>
      <c r="V956" s="1519"/>
      <c r="W956" s="1519"/>
      <c r="X956" s="1519"/>
      <c r="Y956" s="1519"/>
      <c r="Z956" s="1519"/>
      <c r="AA956" s="1519"/>
      <c r="AB956" s="1437">
        <f>BS649</f>
        <v>47</v>
      </c>
      <c r="AC956" s="1438"/>
      <c r="AD956" s="1438"/>
      <c r="AE956" s="1438"/>
      <c r="AF956" s="1438"/>
      <c r="AG956" s="1438"/>
      <c r="AH956" s="1438"/>
      <c r="AI956" s="1439"/>
      <c r="AJ956" s="1450">
        <f>IF(ISERROR((R956*AB956)),0,(R956*AB956))</f>
        <v>28832620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740000</v>
      </c>
      <c r="S957" s="1519"/>
      <c r="T957" s="1519"/>
      <c r="U957" s="1519"/>
      <c r="V957" s="1519"/>
      <c r="W957" s="1519"/>
      <c r="X957" s="1519"/>
      <c r="Y957" s="1519"/>
      <c r="Z957" s="1519"/>
      <c r="AA957" s="1519"/>
      <c r="AB957" s="1437">
        <f>BX649</f>
        <v>45</v>
      </c>
      <c r="AC957" s="1438"/>
      <c r="AD957" s="1438"/>
      <c r="AE957" s="1438"/>
      <c r="AF957" s="1438"/>
      <c r="AG957" s="1438"/>
      <c r="AH957" s="1438"/>
      <c r="AI957" s="1439"/>
      <c r="AJ957" s="1450">
        <f>IF(ISERROR((R957*AB957)),0,(R957*AB957))</f>
        <v>33300000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947200</v>
      </c>
      <c r="S958" s="1519"/>
      <c r="T958" s="1519"/>
      <c r="U958" s="1519"/>
      <c r="V958" s="1519"/>
      <c r="W958" s="1519"/>
      <c r="X958" s="1519"/>
      <c r="Y958" s="1519"/>
      <c r="Z958" s="1519"/>
      <c r="AA958" s="1519"/>
      <c r="AB958" s="1437">
        <f>CC649</f>
        <v>45</v>
      </c>
      <c r="AC958" s="1438"/>
      <c r="AD958" s="1438"/>
      <c r="AE958" s="1438"/>
      <c r="AF958" s="1438"/>
      <c r="AG958" s="1438"/>
      <c r="AH958" s="1438"/>
      <c r="AI958" s="1439"/>
      <c r="AJ958" s="1450">
        <f>IF(ISERROR((R958*AB958)),0,(R958*AB958))</f>
        <v>42624000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1055240</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8" t="s">
        <v>815</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176</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125506960</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675</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3" t="s">
        <v>677</v>
      </c>
      <c r="D963" s="1466" t="s">
        <v>1364</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554</v>
      </c>
      <c r="AH963" s="1463"/>
      <c r="AI963" s="87"/>
      <c r="AJ963" s="1489">
        <f>ROUND(IF(AND(AG963="yes",D965&gt;0),AJ961*0.2,0),0)</f>
        <v>25101392</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6"/>
      <c r="C964" s="275"/>
      <c r="D964" s="1501" t="s">
        <v>1365</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6"/>
      <c r="C965" s="275"/>
      <c r="D965" s="1504" t="s">
        <v>2777</v>
      </c>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4"/>
      <c r="C966" s="344"/>
      <c r="D966" s="1456" t="s">
        <v>1450</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678</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6"/>
      <c r="C967" s="82"/>
      <c r="D967" s="1501" t="s">
        <v>1448</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6"/>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6"/>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6"/>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4"/>
      <c r="C972" s="80" t="s">
        <v>681</v>
      </c>
      <c r="D972" s="1456" t="s">
        <v>1943</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554</v>
      </c>
      <c r="AH972" s="1465"/>
      <c r="AI972" s="87"/>
      <c r="AJ972" s="1489">
        <f>ROUND(IF(AG972="yes",AJ961*0.1,0),0)</f>
        <v>12550696</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4" t="s">
        <v>1449</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0">
        <f>G739+O782</f>
        <v>174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49">
        <f>ROUNDDOWN(X1013/I1013,2)</f>
        <v>0.25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6" t="s">
        <v>1451</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678</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49">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9" t="s">
        <v>1452</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2.9" customHeight="1">
      <c r="A978" s="14"/>
      <c r="B978" s="79"/>
      <c r="C978" s="80" t="s">
        <v>217</v>
      </c>
      <c r="D978" s="1456" t="s">
        <v>1453</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678</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2.9" customHeight="1">
      <c r="A979" s="14"/>
      <c r="B979" s="73"/>
      <c r="C979" s="74"/>
      <c r="D979" s="1444" t="s">
        <v>1454</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2.9"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2.9" customHeight="1">
      <c r="A981" s="14"/>
      <c r="B981" s="79"/>
      <c r="C981" s="80" t="s">
        <v>220</v>
      </c>
      <c r="D981" s="1466" t="s">
        <v>1455</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678</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2.9" customHeight="1">
      <c r="A982" s="14"/>
      <c r="B982" s="73"/>
      <c r="C982" s="74"/>
      <c r="D982" s="1444" t="s">
        <v>1456</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2.9"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2.9"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2.9" customHeight="1">
      <c r="A985" s="14"/>
      <c r="B985" s="79"/>
      <c r="C985" s="80" t="s">
        <v>225</v>
      </c>
      <c r="D985" s="1510" t="s">
        <v>1457</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678</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2.9"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2.9" customHeight="1">
      <c r="A987" s="14"/>
      <c r="B987" s="81"/>
      <c r="C987" s="84"/>
      <c r="D987" s="1444" t="s">
        <v>1458</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2.9"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2.9" customHeight="1">
      <c r="A989" s="14"/>
      <c r="B989" s="81"/>
      <c r="C989" s="84"/>
      <c r="D989" s="560" t="s">
        <v>361</v>
      </c>
      <c r="E989" s="90"/>
      <c r="F989" s="90"/>
      <c r="G989" s="104"/>
      <c r="H989" s="104"/>
      <c r="I989" s="49"/>
      <c r="J989" s="1447" t="s">
        <v>600</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2.9" customHeight="1">
      <c r="A990" s="14"/>
      <c r="B990" s="79"/>
      <c r="C990" s="80" t="s">
        <v>231</v>
      </c>
      <c r="D990" s="1456" t="s">
        <v>1459</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1416373</v>
      </c>
      <c r="AK990" s="1490"/>
      <c r="AL990" s="1490"/>
      <c r="AM990" s="1490"/>
      <c r="AN990" s="1490"/>
      <c r="AO990" s="1490"/>
      <c r="AP990" s="1490"/>
      <c r="AQ990" s="1491"/>
      <c r="AR990" s="68"/>
      <c r="AS990" s="68"/>
      <c r="AT990" s="68"/>
      <c r="AU990" s="68"/>
      <c r="AV990" s="68"/>
      <c r="AW990" s="68"/>
      <c r="AX990" s="68"/>
      <c r="AY990" s="68"/>
      <c r="BA990" s="213">
        <f>IF(A1064="Yes",0.02,0)</f>
        <v>0</v>
      </c>
    </row>
    <row r="991" spans="1:58" ht="12.9" customHeight="1">
      <c r="A991" s="14"/>
      <c r="B991" s="73"/>
      <c r="C991" s="74"/>
      <c r="D991" s="1444" t="s">
        <v>1950</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2.9"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1416373</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2.9"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2.9" customHeight="1">
      <c r="A994" s="14"/>
      <c r="B994" s="79"/>
      <c r="C994" s="80" t="s">
        <v>236</v>
      </c>
      <c r="D994" s="1466" t="s">
        <v>1460</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554</v>
      </c>
      <c r="AH994" s="1465"/>
      <c r="AI994" s="87"/>
      <c r="AJ994" s="1489">
        <f>ROUND(IF(AG994="yes",(AJ961*0.1),0),0)</f>
        <v>12550696</v>
      </c>
      <c r="AK994" s="1490"/>
      <c r="AL994" s="1490"/>
      <c r="AM994" s="1490"/>
      <c r="AN994" s="1490"/>
      <c r="AO994" s="1490"/>
      <c r="AP994" s="1490"/>
      <c r="AQ994" s="1491"/>
      <c r="AR994" s="68"/>
      <c r="AS994" s="68"/>
      <c r="AT994" s="68"/>
      <c r="AU994" s="68"/>
      <c r="AV994" s="68"/>
      <c r="AW994" s="68"/>
      <c r="AX994" s="68"/>
      <c r="AY994" s="68"/>
    </row>
    <row r="995" spans="1:51" ht="12.9" customHeight="1">
      <c r="A995" s="14"/>
      <c r="B995" s="73"/>
      <c r="C995" s="74"/>
      <c r="D995" s="1444" t="s">
        <v>1461</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2.9"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2.9" customHeight="1">
      <c r="A997" s="14"/>
      <c r="B997" s="73"/>
      <c r="C997" s="367" t="s">
        <v>697</v>
      </c>
      <c r="D997" s="1456" t="s">
        <v>1946</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678</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2.9" customHeight="1">
      <c r="A998" s="14"/>
      <c r="B998" s="73"/>
      <c r="C998" s="74"/>
      <c r="D998" s="1484"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1"/>
      <c r="AG998" s="952"/>
      <c r="AH998" s="952"/>
      <c r="AI998" s="953"/>
      <c r="AJ998" s="1492"/>
      <c r="AK998" s="1493"/>
      <c r="AL998" s="1493"/>
      <c r="AM998" s="1493"/>
      <c r="AN998" s="1493"/>
      <c r="AO998" s="1493"/>
      <c r="AP998" s="1493"/>
      <c r="AQ998" s="1494"/>
      <c r="AR998" s="68"/>
      <c r="AS998" s="68"/>
      <c r="AT998" s="68"/>
      <c r="AU998" s="68"/>
      <c r="AV998" s="68"/>
      <c r="AW998" s="68"/>
      <c r="AX998" s="68"/>
      <c r="AY998" s="68"/>
    </row>
    <row r="999" spans="1:51" ht="12.9"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1"/>
      <c r="AG999" s="952"/>
      <c r="AH999" s="952"/>
      <c r="AI999" s="953"/>
      <c r="AJ999" s="1492"/>
      <c r="AK999" s="1493"/>
      <c r="AL999" s="1493"/>
      <c r="AM999" s="1493"/>
      <c r="AN999" s="1493"/>
      <c r="AO999" s="1493"/>
      <c r="AP999" s="1493"/>
      <c r="AQ999" s="1494"/>
      <c r="AR999" s="68"/>
      <c r="AS999" s="68"/>
      <c r="AT999" s="68"/>
      <c r="AU999" s="68"/>
      <c r="AV999" s="68"/>
      <c r="AW999" s="68"/>
      <c r="AX999" s="68"/>
      <c r="AY999" s="68"/>
    </row>
    <row r="1000" spans="1:51" ht="12.9"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4"/>
      <c r="AG1000" s="955"/>
      <c r="AH1000" s="955"/>
      <c r="AI1000" s="956"/>
      <c r="AJ1000" s="1495"/>
      <c r="AK1000" s="1496"/>
      <c r="AL1000" s="1496"/>
      <c r="AM1000" s="1496"/>
      <c r="AN1000" s="1496"/>
      <c r="AO1000" s="1496"/>
      <c r="AP1000" s="1496"/>
      <c r="AQ1000" s="1497"/>
      <c r="AR1000" s="68"/>
      <c r="AS1000" s="68"/>
      <c r="AT1000" s="68"/>
      <c r="AU1000" s="68"/>
      <c r="AV1000" s="68"/>
      <c r="AW1000" s="68"/>
      <c r="AX1000" s="68"/>
      <c r="AY1000" s="68"/>
    </row>
    <row r="1001" spans="1:51" ht="12.9" customHeight="1">
      <c r="A1001" s="14"/>
      <c r="B1001" s="73"/>
      <c r="C1001" s="367" t="s">
        <v>697</v>
      </c>
      <c r="D1001" s="1466" t="s">
        <v>1948</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2" t="s">
        <v>554</v>
      </c>
      <c r="AH1001" s="1563"/>
      <c r="AI1001" s="83"/>
      <c r="AJ1001" s="1489">
        <f>ROUND(IF(AND(AG1001="yes",AJ997=0),(AJ961*0.1),0),0)</f>
        <v>12550696</v>
      </c>
      <c r="AK1001" s="1490"/>
      <c r="AL1001" s="1490"/>
      <c r="AM1001" s="1490"/>
      <c r="AN1001" s="1490"/>
      <c r="AO1001" s="1490"/>
      <c r="AP1001" s="1490"/>
      <c r="AQ1001" s="1491"/>
      <c r="AR1001" s="68"/>
      <c r="AS1001" s="68"/>
      <c r="AT1001" s="68"/>
      <c r="AU1001" s="68"/>
      <c r="AV1001" s="68"/>
      <c r="AW1001" s="68"/>
      <c r="AX1001" s="68"/>
      <c r="AY1001" s="68"/>
    </row>
    <row r="1002" spans="1:51" ht="12.9" customHeight="1">
      <c r="A1002" s="14"/>
      <c r="B1002" s="73"/>
      <c r="C1002" s="74"/>
      <c r="D1002" s="1484"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2.9"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2.9"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2.9"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2.9" customHeight="1">
      <c r="A1006" s="14"/>
      <c r="B1006" s="79"/>
      <c r="C1006" s="131" t="s">
        <v>1067</v>
      </c>
      <c r="D1006" s="1456" t="s">
        <v>1462</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678</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2.9" customHeight="1">
      <c r="A1007" s="14"/>
      <c r="B1007" s="73"/>
      <c r="C1007" s="74"/>
      <c r="D1007" s="1444" t="s">
        <v>2515</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2.9"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2.9"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2.9" customHeight="1">
      <c r="A1010" s="14"/>
      <c r="B1010" s="79"/>
      <c r="C1010" s="131" t="s">
        <v>1944</v>
      </c>
      <c r="D1010" s="1466" t="s">
        <v>2128</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0" t="str">
        <f>IF(X1013&gt;0,"Yes","No")</f>
        <v>Yes</v>
      </c>
      <c r="AH1010" s="1561"/>
      <c r="AI1010" s="87"/>
      <c r="AJ1010" s="1489">
        <f>IF((X1013=0),0,BA975*AJ961)</f>
        <v>31376740</v>
      </c>
      <c r="AK1010" s="1490"/>
      <c r="AL1010" s="1490"/>
      <c r="AM1010" s="1490"/>
      <c r="AN1010" s="1490"/>
      <c r="AO1010" s="1490"/>
      <c r="AP1010" s="1490"/>
      <c r="AQ1010" s="1491"/>
      <c r="AR1010" s="68"/>
      <c r="AS1010" s="68"/>
      <c r="AT1010" s="68"/>
      <c r="AU1010" s="68"/>
      <c r="AV1010" s="68"/>
      <c r="AW1010" s="68"/>
      <c r="AX1010" s="68"/>
      <c r="AY1010" s="68"/>
    </row>
    <row r="1011" spans="1:51" ht="12.9" customHeight="1">
      <c r="A1011" s="14"/>
      <c r="B1011" s="73"/>
      <c r="C1011" s="476"/>
      <c r="D1011" s="1444" t="s">
        <v>1464</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7"/>
      <c r="AH1011" s="477"/>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2.9" customHeight="1">
      <c r="A1012" s="14"/>
      <c r="B1012" s="73"/>
      <c r="C1012" s="476"/>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7"/>
      <c r="AH1012" s="477"/>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2.9" customHeight="1">
      <c r="A1013" s="14"/>
      <c r="B1013" s="77"/>
      <c r="C1013" s="78"/>
      <c r="D1013" s="132" t="s">
        <v>1012</v>
      </c>
      <c r="E1013" s="133"/>
      <c r="F1013" s="133"/>
      <c r="G1013" s="133"/>
      <c r="H1013" s="133"/>
      <c r="I1013" s="1558">
        <f>BA973</f>
        <v>174</v>
      </c>
      <c r="J1013" s="1559"/>
      <c r="K1013" s="7"/>
      <c r="L1013" s="133"/>
      <c r="M1013" s="133"/>
      <c r="N1013" s="133"/>
      <c r="O1013" s="133"/>
      <c r="P1013" s="133"/>
      <c r="Q1013" s="133"/>
      <c r="R1013" s="133"/>
      <c r="S1013" s="133"/>
      <c r="T1013" s="133"/>
      <c r="U1013" s="133"/>
      <c r="V1013" s="134" t="s">
        <v>1013</v>
      </c>
      <c r="W1013" s="48"/>
      <c r="X1013" s="1556">
        <f>BG621</f>
        <v>44</v>
      </c>
      <c r="Y1013" s="1557"/>
      <c r="Z1013" s="48"/>
      <c r="AA1013" s="48"/>
      <c r="AB1013" s="48"/>
      <c r="AC1013" s="48"/>
      <c r="AD1013" s="48"/>
      <c r="AE1013" s="49"/>
      <c r="AF1013" s="960"/>
      <c r="AG1013" s="961"/>
      <c r="AH1013" s="961"/>
      <c r="AI1013" s="962"/>
      <c r="AJ1013" s="1495"/>
      <c r="AK1013" s="1496"/>
      <c r="AL1013" s="1496"/>
      <c r="AM1013" s="1496"/>
      <c r="AN1013" s="1496"/>
      <c r="AO1013" s="1496"/>
      <c r="AP1013" s="1496"/>
      <c r="AQ1013" s="1497"/>
      <c r="AR1013" s="68"/>
      <c r="AS1013" s="68"/>
      <c r="AT1013" s="68"/>
      <c r="AU1013" s="68"/>
      <c r="AV1013" s="68"/>
      <c r="AW1013" s="68"/>
      <c r="AX1013" s="68"/>
      <c r="AY1013" s="68"/>
    </row>
    <row r="1014" spans="1:51" ht="12.9" customHeight="1">
      <c r="A1014" s="14"/>
      <c r="B1014" s="79"/>
      <c r="C1014" s="131" t="s">
        <v>1945</v>
      </c>
      <c r="D1014" s="1456" t="s">
        <v>2129</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0" t="str">
        <f>IF(X1017&gt;0,"Yes","No")</f>
        <v>Yes</v>
      </c>
      <c r="AH1014" s="1561"/>
      <c r="AI1014" s="83"/>
      <c r="AJ1014" s="1489">
        <f>IF((X1017=0),0,(2*BA976)*AJ961)</f>
        <v>125506960</v>
      </c>
      <c r="AK1014" s="1490"/>
      <c r="AL1014" s="1490"/>
      <c r="AM1014" s="1490"/>
      <c r="AN1014" s="1490"/>
      <c r="AO1014" s="1490"/>
      <c r="AP1014" s="1490"/>
      <c r="AQ1014" s="1491"/>
      <c r="AR1014" s="68"/>
      <c r="AS1014" s="68"/>
      <c r="AT1014" s="68"/>
      <c r="AU1014" s="68"/>
      <c r="AV1014" s="68"/>
      <c r="AW1014" s="68"/>
      <c r="AX1014" s="68"/>
      <c r="AY1014" s="68"/>
    </row>
    <row r="1015" spans="1:51" ht="12.9" customHeight="1">
      <c r="A1015" s="14"/>
      <c r="B1015" s="73"/>
      <c r="C1015" s="476"/>
      <c r="D1015" s="1444" t="s">
        <v>1463</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7"/>
      <c r="AH1015" s="477"/>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2.9"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7"/>
      <c r="AG1016" s="958"/>
      <c r="AH1016" s="958"/>
      <c r="AI1016" s="959"/>
      <c r="AJ1016" s="1492"/>
      <c r="AK1016" s="1493"/>
      <c r="AL1016" s="1493"/>
      <c r="AM1016" s="1493"/>
      <c r="AN1016" s="1493"/>
      <c r="AO1016" s="1493"/>
      <c r="AP1016" s="1493"/>
      <c r="AQ1016" s="1494"/>
      <c r="AR1016" s="68"/>
      <c r="AS1016" s="68"/>
      <c r="AT1016" s="68"/>
      <c r="AU1016" s="68"/>
      <c r="AV1016" s="68"/>
      <c r="AW1016" s="68"/>
      <c r="AX1016" s="68"/>
      <c r="AY1016" s="68"/>
    </row>
    <row r="1017" spans="1:51" ht="12.9" customHeight="1">
      <c r="A1017" s="14"/>
      <c r="B1017" s="77"/>
      <c r="C1017" s="78"/>
      <c r="D1017" s="132" t="s">
        <v>1012</v>
      </c>
      <c r="E1017" s="133"/>
      <c r="F1017" s="133"/>
      <c r="G1017" s="133"/>
      <c r="H1017" s="133"/>
      <c r="I1017" s="1558">
        <f>BA973</f>
        <v>174</v>
      </c>
      <c r="J1017" s="1559"/>
      <c r="K1017" s="14"/>
      <c r="L1017" s="133"/>
      <c r="M1017" s="133"/>
      <c r="N1017" s="133"/>
      <c r="O1017" s="133"/>
      <c r="P1017" s="133"/>
      <c r="Q1017" s="133"/>
      <c r="R1017" s="133"/>
      <c r="S1017" s="133"/>
      <c r="T1017" s="133"/>
      <c r="U1017" s="133"/>
      <c r="V1017" s="134" t="s">
        <v>1014</v>
      </c>
      <c r="X1017" s="1556">
        <f>BK621</f>
        <v>87</v>
      </c>
      <c r="Y1017" s="1557"/>
      <c r="AF1017" s="960"/>
      <c r="AG1017" s="961"/>
      <c r="AH1017" s="961"/>
      <c r="AI1017" s="962"/>
      <c r="AJ1017" s="1495"/>
      <c r="AK1017" s="1496"/>
      <c r="AL1017" s="1496"/>
      <c r="AM1017" s="1496"/>
      <c r="AN1017" s="1496"/>
      <c r="AO1017" s="1496"/>
      <c r="AP1017" s="1496"/>
      <c r="AQ1017" s="1497"/>
      <c r="AR1017" s="68"/>
      <c r="AS1017" s="68"/>
      <c r="AT1017" s="68"/>
      <c r="AU1017" s="68"/>
      <c r="AV1017" s="68"/>
      <c r="AW1017" s="68"/>
      <c r="AX1017" s="68"/>
      <c r="AY1017" s="68"/>
    </row>
    <row r="1018" spans="1:51" ht="12.9" customHeight="1">
      <c r="A1018" s="14"/>
      <c r="B1018" s="102"/>
      <c r="C1018" s="103"/>
      <c r="D1018" s="1554" t="s">
        <v>522</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346560513</v>
      </c>
      <c r="AK1018" s="1565"/>
      <c r="AL1018" s="1565"/>
      <c r="AM1018" s="1565"/>
      <c r="AN1018" s="1565"/>
      <c r="AO1018" s="1565"/>
      <c r="AP1018" s="1565"/>
      <c r="AQ1018" s="1566"/>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2.9"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2.9" customHeight="1" thickBot="1">
      <c r="A1026" s="1679" t="s">
        <v>818</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3" t="s">
        <v>600</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53" t="s">
        <v>600</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53" t="s">
        <v>600</v>
      </c>
      <c r="B1042" s="1353"/>
      <c r="C1042" s="8">
        <v>3</v>
      </c>
      <c r="D1042" s="1262" t="s">
        <v>2566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53" t="s">
        <v>600</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53" t="s">
        <v>600</v>
      </c>
      <c r="B1052" s="1353"/>
      <c r="C1052" s="8">
        <v>5</v>
      </c>
      <c r="D1052" s="1262" t="s">
        <v>2567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53" t="s">
        <v>600</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53" t="s">
        <v>600</v>
      </c>
      <c r="B1060" s="1353"/>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53" t="s">
        <v>600</v>
      </c>
      <c r="B1064" s="1353"/>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53" t="s">
        <v>600</v>
      </c>
      <c r="B1068" s="1353"/>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K85" activePane="bottomRight" state="frozen"/>
      <selection pane="topRight" activeCell="F1" sqref="F1"/>
      <selection pane="bottomLeft" activeCell="A4" sqref="A4"/>
      <selection pane="bottomRight" activeCell="C11" sqref="C11"/>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1)Silicon Valley Bank-Tranche A</v>
      </c>
      <c r="G2" s="139" t="str">
        <f>Application!B624&amp;Application!C624</f>
        <v>2)Silicon Valley Bank-Tranche B</v>
      </c>
      <c r="H2" s="139" t="str">
        <f>Application!B625&amp;Application!C625</f>
        <v>3)City of Sunnyvale</v>
      </c>
      <c r="I2" s="139" t="str">
        <f>Application!B626&amp;Application!C626</f>
        <v>4)Santa Clara County</v>
      </c>
      <c r="J2" s="139" t="str">
        <f>Application!B627&amp;Application!C627</f>
        <v>5)Accrued Deferred Interest</v>
      </c>
      <c r="K2" s="139" t="str">
        <f>Application!B628&amp;Application!C628</f>
        <v>6)Deferred Developer Fee</v>
      </c>
      <c r="L2" s="139" t="str">
        <f>Application!B629&amp;Application!C629</f>
        <v>7)City of Sunnyvale - Land Value</v>
      </c>
      <c r="M2" s="139" t="str">
        <f>Application!B630&amp;Application!C630</f>
        <v>8)GP Equity</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13550000</v>
      </c>
      <c r="C4" s="147">
        <v>13550000</v>
      </c>
      <c r="D4" s="147"/>
      <c r="E4" s="147"/>
      <c r="F4" s="147"/>
      <c r="G4" s="147"/>
      <c r="H4" s="147"/>
      <c r="I4" s="147"/>
      <c r="J4" s="147"/>
      <c r="K4" s="147"/>
      <c r="L4" s="147">
        <f>C4</f>
        <v>13550000</v>
      </c>
      <c r="M4" s="147"/>
      <c r="N4" s="147"/>
      <c r="O4" s="147"/>
      <c r="P4" s="147"/>
      <c r="Q4" s="147"/>
      <c r="R4" s="550">
        <f>SUM(E4:Q4)</f>
        <v>13550000</v>
      </c>
      <c r="S4" s="148"/>
      <c r="T4" s="148"/>
      <c r="U4" s="143"/>
    </row>
    <row r="5" spans="1:21" s="144" customFormat="1">
      <c r="A5" s="145" t="s">
        <v>28</v>
      </c>
      <c r="B5" s="146">
        <f>SUM(C5+D5)</f>
        <v>354923</v>
      </c>
      <c r="C5" s="147">
        <v>354923</v>
      </c>
      <c r="D5" s="147"/>
      <c r="E5" s="147">
        <f>C5-SUM(F5:Q5)</f>
        <v>354923</v>
      </c>
      <c r="F5" s="147"/>
      <c r="G5" s="147"/>
      <c r="H5" s="147"/>
      <c r="I5" s="147"/>
      <c r="J5" s="147"/>
      <c r="K5" s="147"/>
      <c r="L5" s="147"/>
      <c r="M5" s="147"/>
      <c r="N5" s="147"/>
      <c r="O5" s="147"/>
      <c r="P5" s="147"/>
      <c r="Q5" s="147"/>
      <c r="R5" s="550">
        <f>SUM(E5:Q5)</f>
        <v>354923</v>
      </c>
      <c r="S5" s="148"/>
      <c r="T5" s="148"/>
      <c r="U5" s="143"/>
    </row>
    <row r="6" spans="1:21" s="144" customFormat="1">
      <c r="A6" s="145" t="s">
        <v>29</v>
      </c>
      <c r="B6" s="146">
        <f>SUM(C6+D6)</f>
        <v>53000</v>
      </c>
      <c r="C6" s="147">
        <v>53000</v>
      </c>
      <c r="D6" s="147"/>
      <c r="E6" s="147">
        <f>C6-SUM(F6:Q6)</f>
        <v>53000</v>
      </c>
      <c r="F6" s="147"/>
      <c r="G6" s="147"/>
      <c r="H6" s="147"/>
      <c r="I6" s="147"/>
      <c r="J6" s="147"/>
      <c r="K6" s="147"/>
      <c r="L6" s="147"/>
      <c r="M6" s="147"/>
      <c r="N6" s="147"/>
      <c r="O6" s="147"/>
      <c r="P6" s="147"/>
      <c r="Q6" s="147"/>
      <c r="R6" s="550">
        <f>SUM(E6:Q6)</f>
        <v>53000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13957923</v>
      </c>
      <c r="C8" s="146">
        <f t="shared" ref="C8:Q8" si="0">SUM(C4:C7)</f>
        <v>13957923</v>
      </c>
      <c r="D8" s="146">
        <f t="shared" si="0"/>
        <v>0</v>
      </c>
      <c r="E8" s="146">
        <f t="shared" si="0"/>
        <v>407923</v>
      </c>
      <c r="F8" s="146">
        <f t="shared" si="0"/>
        <v>0</v>
      </c>
      <c r="G8" s="146">
        <f t="shared" si="0"/>
        <v>0</v>
      </c>
      <c r="H8" s="146">
        <f t="shared" si="0"/>
        <v>0</v>
      </c>
      <c r="I8" s="146">
        <f t="shared" si="0"/>
        <v>0</v>
      </c>
      <c r="J8" s="146">
        <f t="shared" si="0"/>
        <v>0</v>
      </c>
      <c r="K8" s="146">
        <f t="shared" si="0"/>
        <v>0</v>
      </c>
      <c r="L8" s="146">
        <f t="shared" si="0"/>
        <v>13550000</v>
      </c>
      <c r="M8" s="146">
        <f t="shared" si="0"/>
        <v>0</v>
      </c>
      <c r="N8" s="146">
        <f t="shared" si="0"/>
        <v>0</v>
      </c>
      <c r="O8" s="146">
        <f t="shared" si="0"/>
        <v>0</v>
      </c>
      <c r="P8" s="146"/>
      <c r="Q8" s="146">
        <f t="shared" si="0"/>
        <v>0</v>
      </c>
      <c r="R8" s="370">
        <f>SUM(R4:R7)</f>
        <v>13957923</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1199372</v>
      </c>
      <c r="C10" s="147">
        <f>200000+999372</f>
        <v>1199372</v>
      </c>
      <c r="D10" s="147"/>
      <c r="E10" s="147">
        <f>C10-SUM(F10:Q10)</f>
        <v>1199372</v>
      </c>
      <c r="F10" s="147"/>
      <c r="G10" s="147"/>
      <c r="H10" s="147"/>
      <c r="I10" s="147"/>
      <c r="J10" s="147"/>
      <c r="K10" s="147"/>
      <c r="L10" s="147"/>
      <c r="M10" s="147"/>
      <c r="N10" s="147"/>
      <c r="O10" s="147"/>
      <c r="P10" s="147"/>
      <c r="Q10" s="147"/>
      <c r="R10" s="550">
        <f>SUM(E10:Q10)</f>
        <v>1199372</v>
      </c>
      <c r="S10" s="147">
        <f>C10</f>
        <v>1199372</v>
      </c>
      <c r="T10" s="147"/>
      <c r="U10" s="143"/>
    </row>
    <row r="11" spans="1:21" s="144" customFormat="1" ht="12">
      <c r="A11" s="149" t="s">
        <v>605</v>
      </c>
      <c r="B11" s="146">
        <f>SUM(C11:D11)</f>
        <v>1199372</v>
      </c>
      <c r="C11" s="146">
        <f t="shared" ref="C11:Q11" si="1">SUM(C9:C10)</f>
        <v>1199372</v>
      </c>
      <c r="D11" s="146">
        <f t="shared" si="1"/>
        <v>0</v>
      </c>
      <c r="E11" s="146">
        <f t="shared" si="1"/>
        <v>1199372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1199372</v>
      </c>
      <c r="S11" s="148"/>
      <c r="T11" s="150">
        <f>SUM(T9:T10)</f>
        <v>0</v>
      </c>
      <c r="U11" s="143"/>
    </row>
    <row r="12" spans="1:21" s="144" customFormat="1" ht="12">
      <c r="A12" s="149" t="s">
        <v>85</v>
      </c>
      <c r="B12" s="146">
        <f t="shared" ref="B12:Q12" si="2">SUM(B8+B11)</f>
        <v>15157295</v>
      </c>
      <c r="C12" s="146">
        <f t="shared" si="2"/>
        <v>15157295</v>
      </c>
      <c r="D12" s="146">
        <f t="shared" si="2"/>
        <v>0</v>
      </c>
      <c r="E12" s="146">
        <f t="shared" si="2"/>
        <v>1607295</v>
      </c>
      <c r="F12" s="146">
        <f t="shared" si="2"/>
        <v>0</v>
      </c>
      <c r="G12" s="146">
        <f t="shared" si="2"/>
        <v>0</v>
      </c>
      <c r="H12" s="146">
        <f t="shared" si="2"/>
        <v>0</v>
      </c>
      <c r="I12" s="146">
        <f t="shared" si="2"/>
        <v>0</v>
      </c>
      <c r="J12" s="146">
        <f t="shared" si="2"/>
        <v>0</v>
      </c>
      <c r="K12" s="146">
        <f t="shared" si="2"/>
        <v>0</v>
      </c>
      <c r="L12" s="146">
        <f t="shared" si="2"/>
        <v>13550000</v>
      </c>
      <c r="M12" s="146">
        <f t="shared" si="2"/>
        <v>0</v>
      </c>
      <c r="N12" s="146">
        <f t="shared" si="2"/>
        <v>0</v>
      </c>
      <c r="O12" s="146">
        <f t="shared" si="2"/>
        <v>0</v>
      </c>
      <c r="P12" s="146"/>
      <c r="Q12" s="146">
        <f t="shared" si="2"/>
        <v>0</v>
      </c>
      <c r="R12" s="370">
        <f>SUM(R8+R11)</f>
        <v>15157295</v>
      </c>
      <c r="S12" s="148"/>
      <c r="T12" s="148"/>
      <c r="U12" s="143"/>
    </row>
    <row r="13" spans="1:21" s="144" customFormat="1">
      <c r="A13" s="308" t="s">
        <v>935</v>
      </c>
      <c r="B13" s="146">
        <f>SUM(C13+D13)</f>
        <v>876450</v>
      </c>
      <c r="C13" s="147">
        <f>455200+421250</f>
        <v>876450</v>
      </c>
      <c r="D13" s="147"/>
      <c r="E13" s="147">
        <f>C13-SUM(F13:Q13)</f>
        <v>876450</v>
      </c>
      <c r="F13" s="147"/>
      <c r="G13" s="147"/>
      <c r="H13" s="147"/>
      <c r="I13" s="147"/>
      <c r="J13" s="147"/>
      <c r="K13" s="147"/>
      <c r="L13" s="147"/>
      <c r="M13" s="147"/>
      <c r="N13" s="147"/>
      <c r="O13" s="147"/>
      <c r="P13" s="147"/>
      <c r="Q13" s="147"/>
      <c r="R13" s="550">
        <f>SUM(E13:Q13)</f>
        <v>876450</v>
      </c>
      <c r="S13" s="147">
        <v>421250</v>
      </c>
      <c r="T13" s="147"/>
      <c r="U13" s="143"/>
    </row>
    <row r="14" spans="1:21" s="144" customFormat="1" ht="22.8">
      <c r="A14" s="309" t="s">
        <v>1823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09" t="s">
        <v>1303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1820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201"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669680</v>
      </c>
      <c r="C29" s="147">
        <v>669680</v>
      </c>
      <c r="D29" s="147"/>
      <c r="E29" s="147">
        <f t="shared" ref="E29:E37" si="7">C29-SUM(F29:Q29)</f>
        <v>669680</v>
      </c>
      <c r="F29" s="147"/>
      <c r="G29" s="147"/>
      <c r="H29" s="147"/>
      <c r="I29" s="147"/>
      <c r="J29" s="147"/>
      <c r="K29" s="147"/>
      <c r="L29" s="147"/>
      <c r="M29" s="147"/>
      <c r="N29" s="147"/>
      <c r="O29" s="147"/>
      <c r="P29" s="147"/>
      <c r="Q29" s="147"/>
      <c r="R29" s="550">
        <f t="shared" ref="R29:R37" si="8">SUM(E29:Q29)</f>
        <v>669680</v>
      </c>
      <c r="S29" s="147">
        <f>C29</f>
        <v>669680</v>
      </c>
      <c r="T29" s="147"/>
      <c r="U29" s="143"/>
    </row>
    <row r="30" spans="1:21" s="144" customFormat="1">
      <c r="A30" s="145" t="s">
        <v>608</v>
      </c>
      <c r="B30" s="146">
        <f t="shared" si="6"/>
        <v>87518793</v>
      </c>
      <c r="C30" s="147">
        <f>83246433+2552862+2718870-999372</f>
        <v>87518793</v>
      </c>
      <c r="D30" s="147"/>
      <c r="E30" s="147">
        <f t="shared" si="7"/>
        <v>37709693</v>
      </c>
      <c r="F30" s="147">
        <f>Application!AO623</f>
        <v>8651000</v>
      </c>
      <c r="G30" s="147">
        <f>Application!AO624</f>
        <v>17008000</v>
      </c>
      <c r="H30" s="147">
        <f>Application!AO625</f>
        <v>12950000</v>
      </c>
      <c r="I30" s="147">
        <f>Application!AO626</f>
        <v>11200000</v>
      </c>
      <c r="J30" s="147"/>
      <c r="K30" s="147"/>
      <c r="L30" s="147"/>
      <c r="M30" s="147">
        <f>Application!AO630</f>
        <v>100</v>
      </c>
      <c r="N30" s="147"/>
      <c r="O30" s="147"/>
      <c r="P30" s="147"/>
      <c r="Q30" s="147"/>
      <c r="R30" s="550">
        <f t="shared" si="8"/>
        <v>87518793</v>
      </c>
      <c r="S30" s="147">
        <f t="shared" ref="S30:S37" si="9">C30</f>
        <v>87518793</v>
      </c>
      <c r="T30" s="147"/>
      <c r="U30" s="143"/>
    </row>
    <row r="31" spans="1:21" s="144" customFormat="1">
      <c r="A31" s="145" t="s">
        <v>609</v>
      </c>
      <c r="B31" s="146">
        <f t="shared" si="6"/>
        <v>2980750</v>
      </c>
      <c r="C31" s="147">
        <v>2980750</v>
      </c>
      <c r="D31" s="147"/>
      <c r="E31" s="147">
        <f t="shared" si="7"/>
        <v>2980750</v>
      </c>
      <c r="F31" s="147"/>
      <c r="G31" s="147"/>
      <c r="H31" s="147"/>
      <c r="I31" s="147"/>
      <c r="J31" s="147"/>
      <c r="K31" s="147"/>
      <c r="L31" s="147"/>
      <c r="M31" s="147"/>
      <c r="N31" s="147"/>
      <c r="O31" s="147"/>
      <c r="P31" s="147"/>
      <c r="Q31" s="147"/>
      <c r="R31" s="550">
        <f t="shared" si="8"/>
        <v>2980750</v>
      </c>
      <c r="S31" s="147">
        <f t="shared" si="9"/>
        <v>2980750</v>
      </c>
      <c r="T31" s="147"/>
      <c r="U31" s="143"/>
    </row>
    <row r="32" spans="1:21" s="144" customFormat="1">
      <c r="A32" s="145" t="s">
        <v>138</v>
      </c>
      <c r="B32" s="146">
        <f t="shared" si="6"/>
        <v>1372354</v>
      </c>
      <c r="C32" s="147">
        <f>2744708/2</f>
        <v>1372354</v>
      </c>
      <c r="D32" s="147"/>
      <c r="E32" s="147">
        <f t="shared" si="7"/>
        <v>1372354</v>
      </c>
      <c r="F32" s="147"/>
      <c r="G32" s="147"/>
      <c r="H32" s="147"/>
      <c r="I32" s="147"/>
      <c r="J32" s="147"/>
      <c r="K32" s="147"/>
      <c r="L32" s="147"/>
      <c r="M32" s="147"/>
      <c r="N32" s="147"/>
      <c r="O32" s="147"/>
      <c r="P32" s="147"/>
      <c r="Q32" s="147"/>
      <c r="R32" s="550">
        <f t="shared" si="8"/>
        <v>1372354</v>
      </c>
      <c r="S32" s="147">
        <f t="shared" si="9"/>
        <v>1372354</v>
      </c>
      <c r="T32" s="147"/>
      <c r="U32" s="143"/>
    </row>
    <row r="33" spans="1:21" s="144" customFormat="1">
      <c r="A33" s="145" t="s">
        <v>139</v>
      </c>
      <c r="B33" s="146">
        <f t="shared" si="6"/>
        <v>1372354</v>
      </c>
      <c r="C33" s="147">
        <f>C32</f>
        <v>1372354</v>
      </c>
      <c r="D33" s="147"/>
      <c r="E33" s="147">
        <f t="shared" si="7"/>
        <v>1372354</v>
      </c>
      <c r="F33" s="147"/>
      <c r="G33" s="147"/>
      <c r="H33" s="147"/>
      <c r="I33" s="147"/>
      <c r="J33" s="147"/>
      <c r="K33" s="147"/>
      <c r="L33" s="147"/>
      <c r="M33" s="147"/>
      <c r="N33" s="147"/>
      <c r="O33" s="147"/>
      <c r="P33" s="147"/>
      <c r="Q33" s="147"/>
      <c r="R33" s="550">
        <f t="shared" si="8"/>
        <v>1372354</v>
      </c>
      <c r="S33" s="147">
        <f t="shared" si="9"/>
        <v>1372354</v>
      </c>
      <c r="T33" s="147"/>
      <c r="U33" s="143"/>
    </row>
    <row r="34" spans="1:21" s="144" customFormat="1">
      <c r="A34" s="145" t="s">
        <v>140</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141</v>
      </c>
      <c r="B35" s="146">
        <f t="shared" si="6"/>
        <v>2823327</v>
      </c>
      <c r="C35" s="147">
        <v>2823327</v>
      </c>
      <c r="D35" s="147"/>
      <c r="E35" s="147">
        <f t="shared" si="7"/>
        <v>2823327</v>
      </c>
      <c r="F35" s="147"/>
      <c r="G35" s="147"/>
      <c r="H35" s="147"/>
      <c r="I35" s="147"/>
      <c r="J35" s="147"/>
      <c r="K35" s="147"/>
      <c r="L35" s="147"/>
      <c r="M35" s="147"/>
      <c r="N35" s="147"/>
      <c r="O35" s="147"/>
      <c r="P35" s="147"/>
      <c r="Q35" s="147"/>
      <c r="R35" s="550">
        <f t="shared" si="8"/>
        <v>2823327</v>
      </c>
      <c r="S35" s="147">
        <f t="shared" si="9"/>
        <v>2823327</v>
      </c>
      <c r="T35" s="147"/>
      <c r="U35" s="143"/>
    </row>
    <row r="36" spans="1:21" s="144" customFormat="1">
      <c r="A36" s="303" t="s">
        <v>1820</v>
      </c>
      <c r="B36" s="146">
        <f t="shared" si="6"/>
        <v>220425</v>
      </c>
      <c r="C36" s="147">
        <v>220425</v>
      </c>
      <c r="D36" s="147"/>
      <c r="E36" s="147">
        <f t="shared" si="7"/>
        <v>220425</v>
      </c>
      <c r="F36" s="147"/>
      <c r="G36" s="147"/>
      <c r="H36" s="147"/>
      <c r="I36" s="147"/>
      <c r="J36" s="147"/>
      <c r="K36" s="147"/>
      <c r="L36" s="147"/>
      <c r="M36" s="147"/>
      <c r="N36" s="147"/>
      <c r="O36" s="147"/>
      <c r="P36" s="147"/>
      <c r="Q36" s="147"/>
      <c r="R36" s="550">
        <f t="shared" si="8"/>
        <v>220425</v>
      </c>
      <c r="S36" s="147">
        <f t="shared" si="9"/>
        <v>220425</v>
      </c>
      <c r="T36" s="147"/>
      <c r="U36" s="143"/>
    </row>
    <row r="37" spans="1:21" s="144" customFormat="1">
      <c r="A37" s="1201" t="s">
        <v>2764</v>
      </c>
      <c r="B37" s="146">
        <f t="shared" si="6"/>
        <v>624349</v>
      </c>
      <c r="C37" s="147">
        <v>624349</v>
      </c>
      <c r="D37" s="147"/>
      <c r="E37" s="147">
        <f t="shared" si="7"/>
        <v>624349</v>
      </c>
      <c r="F37" s="147"/>
      <c r="G37" s="147"/>
      <c r="H37" s="147"/>
      <c r="I37" s="147"/>
      <c r="J37" s="147"/>
      <c r="K37" s="147"/>
      <c r="L37" s="147"/>
      <c r="M37" s="147"/>
      <c r="N37" s="147"/>
      <c r="O37" s="147"/>
      <c r="P37" s="147"/>
      <c r="Q37" s="147"/>
      <c r="R37" s="550">
        <f t="shared" si="8"/>
        <v>624349</v>
      </c>
      <c r="S37" s="147">
        <f t="shared" si="9"/>
        <v>624349</v>
      </c>
      <c r="T37" s="147"/>
      <c r="U37" s="143"/>
    </row>
    <row r="38" spans="1:21" s="144" customFormat="1" ht="12">
      <c r="A38" s="149" t="s">
        <v>144</v>
      </c>
      <c r="B38" s="146">
        <f t="shared" si="6"/>
        <v>97582032</v>
      </c>
      <c r="C38" s="146">
        <f>SUM(C29:C37)</f>
        <v>97582032</v>
      </c>
      <c r="D38" s="146">
        <f t="shared" ref="D38:Q38" si="10">SUM(D29:D37)</f>
        <v>0</v>
      </c>
      <c r="E38" s="146">
        <f t="shared" si="10"/>
        <v>47772932</v>
      </c>
      <c r="F38" s="146">
        <f t="shared" si="10"/>
        <v>8651000</v>
      </c>
      <c r="G38" s="146">
        <f t="shared" si="10"/>
        <v>17008000</v>
      </c>
      <c r="H38" s="146">
        <f t="shared" si="10"/>
        <v>12950000</v>
      </c>
      <c r="I38" s="146">
        <f t="shared" si="10"/>
        <v>11200000</v>
      </c>
      <c r="J38" s="146">
        <f t="shared" si="10"/>
        <v>0</v>
      </c>
      <c r="K38" s="146">
        <f t="shared" si="10"/>
        <v>0</v>
      </c>
      <c r="L38" s="146">
        <f t="shared" si="10"/>
        <v>0</v>
      </c>
      <c r="M38" s="146">
        <f t="shared" si="10"/>
        <v>100</v>
      </c>
      <c r="N38" s="146">
        <f t="shared" si="10"/>
        <v>0</v>
      </c>
      <c r="O38" s="146">
        <f t="shared" si="10"/>
        <v>0</v>
      </c>
      <c r="P38" s="146">
        <f t="shared" si="10"/>
        <v>0</v>
      </c>
      <c r="Q38" s="146">
        <f t="shared" si="10"/>
        <v>0</v>
      </c>
      <c r="R38" s="370">
        <f>SUM(R29:R37)</f>
        <v>97582032</v>
      </c>
      <c r="S38" s="150">
        <f>SUM(S29:S37)</f>
        <v>97582032</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1493545</v>
      </c>
      <c r="C40" s="147">
        <v>1493545</v>
      </c>
      <c r="D40" s="147"/>
      <c r="E40" s="147">
        <f t="shared" ref="E40:E41" si="11">C40-SUM(F40:Q40)</f>
        <v>1493545</v>
      </c>
      <c r="F40" s="147"/>
      <c r="G40" s="147"/>
      <c r="H40" s="147"/>
      <c r="I40" s="147"/>
      <c r="J40" s="147"/>
      <c r="K40" s="147"/>
      <c r="L40" s="147"/>
      <c r="M40" s="147"/>
      <c r="N40" s="147"/>
      <c r="O40" s="147"/>
      <c r="P40" s="147"/>
      <c r="Q40" s="147"/>
      <c r="R40" s="550">
        <f>SUM(E40:Q40)</f>
        <v>1493545</v>
      </c>
      <c r="S40" s="147">
        <f t="shared" ref="S40:S41" si="12">C40</f>
        <v>1493545</v>
      </c>
      <c r="T40" s="147"/>
      <c r="U40" s="143"/>
    </row>
    <row r="41" spans="1:21" s="144" customFormat="1">
      <c r="A41" s="145" t="s">
        <v>147</v>
      </c>
      <c r="B41" s="146">
        <f>SUM(C41+D41)</f>
        <v>491899</v>
      </c>
      <c r="C41" s="147">
        <v>491899</v>
      </c>
      <c r="D41" s="147"/>
      <c r="E41" s="147">
        <f t="shared" si="11"/>
        <v>491899</v>
      </c>
      <c r="F41" s="147"/>
      <c r="G41" s="147"/>
      <c r="H41" s="147"/>
      <c r="I41" s="147"/>
      <c r="J41" s="147"/>
      <c r="K41" s="147"/>
      <c r="L41" s="147"/>
      <c r="M41" s="147"/>
      <c r="N41" s="147"/>
      <c r="O41" s="147"/>
      <c r="P41" s="147"/>
      <c r="Q41" s="147"/>
      <c r="R41" s="550">
        <f>SUM(E41:Q41)</f>
        <v>491899</v>
      </c>
      <c r="S41" s="147">
        <f t="shared" si="12"/>
        <v>491899</v>
      </c>
      <c r="T41" s="147"/>
      <c r="U41" s="143"/>
    </row>
    <row r="42" spans="1:21" s="144" customFormat="1" ht="12">
      <c r="A42" s="149" t="s">
        <v>148</v>
      </c>
      <c r="B42" s="146">
        <f>SUM(C42:D42)</f>
        <v>1985444</v>
      </c>
      <c r="C42" s="146">
        <f>SUM(C39:C41)</f>
        <v>1985444</v>
      </c>
      <c r="D42" s="146">
        <f>SUM(D39:D41)</f>
        <v>0</v>
      </c>
      <c r="E42" s="146">
        <f t="shared" ref="E42:T42" si="13">SUM(E40:E41)</f>
        <v>1985444</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1985444</v>
      </c>
      <c r="S42" s="150">
        <f t="shared" si="13"/>
        <v>1985444</v>
      </c>
      <c r="T42" s="150">
        <f t="shared" si="13"/>
        <v>0</v>
      </c>
      <c r="U42" s="143"/>
    </row>
    <row r="43" spans="1:21" s="144" customFormat="1" ht="12">
      <c r="A43" s="149" t="s">
        <v>149</v>
      </c>
      <c r="B43" s="146">
        <f>SUM(C43:D43)</f>
        <v>1281387</v>
      </c>
      <c r="C43" s="147">
        <v>1281387</v>
      </c>
      <c r="D43" s="147"/>
      <c r="E43" s="147">
        <f>C43-SUM(F43:Q43)</f>
        <v>1281387</v>
      </c>
      <c r="F43" s="147"/>
      <c r="G43" s="147"/>
      <c r="H43" s="147"/>
      <c r="I43" s="147"/>
      <c r="J43" s="147"/>
      <c r="K43" s="147"/>
      <c r="L43" s="147"/>
      <c r="M43" s="147"/>
      <c r="N43" s="147"/>
      <c r="O43" s="147"/>
      <c r="P43" s="147"/>
      <c r="Q43" s="147"/>
      <c r="R43" s="550">
        <f>SUM(E43:Q43)</f>
        <v>1281387</v>
      </c>
      <c r="S43" s="147">
        <f>C43</f>
        <v>1281387</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13352733</v>
      </c>
      <c r="C45" s="147">
        <f>11497579+1855154</f>
        <v>13352733</v>
      </c>
      <c r="D45" s="147"/>
      <c r="E45" s="147">
        <f t="shared" ref="E45:E53" si="15">C45-SUM(F45:Q45)</f>
        <v>13352733</v>
      </c>
      <c r="F45" s="147"/>
      <c r="G45" s="147"/>
      <c r="H45" s="147"/>
      <c r="I45" s="147"/>
      <c r="J45" s="147"/>
      <c r="K45" s="147"/>
      <c r="L45" s="147"/>
      <c r="M45" s="147"/>
      <c r="N45" s="147"/>
      <c r="O45" s="147"/>
      <c r="P45" s="147"/>
      <c r="Q45" s="147"/>
      <c r="R45" s="550">
        <f t="shared" ref="R45:R53" si="16">SUM(E45:Q45)</f>
        <v>13352733</v>
      </c>
      <c r="S45" s="147">
        <v>7369312</v>
      </c>
      <c r="T45" s="147"/>
      <c r="U45" s="143"/>
    </row>
    <row r="46" spans="1:21" s="144" customFormat="1">
      <c r="A46" s="145" t="s">
        <v>152</v>
      </c>
      <c r="B46" s="146">
        <f t="shared" si="14"/>
        <v>498458</v>
      </c>
      <c r="C46" s="147">
        <v>498458</v>
      </c>
      <c r="D46" s="147"/>
      <c r="E46" s="147">
        <f t="shared" si="15"/>
        <v>498458</v>
      </c>
      <c r="F46" s="147"/>
      <c r="G46" s="147"/>
      <c r="H46" s="147"/>
      <c r="I46" s="147"/>
      <c r="J46" s="147"/>
      <c r="K46" s="147"/>
      <c r="L46" s="147"/>
      <c r="M46" s="147"/>
      <c r="N46" s="147"/>
      <c r="O46" s="147"/>
      <c r="P46" s="147"/>
      <c r="Q46" s="147"/>
      <c r="R46" s="550">
        <f t="shared" si="16"/>
        <v>498458</v>
      </c>
      <c r="S46" s="147">
        <v>266617</v>
      </c>
      <c r="T46" s="147"/>
      <c r="U46" s="143"/>
    </row>
    <row r="47" spans="1:21" s="144" customFormat="1">
      <c r="A47" s="198" t="s">
        <v>153</v>
      </c>
      <c r="B47" s="146">
        <f t="shared" si="14"/>
        <v>0</v>
      </c>
      <c r="C47" s="147"/>
      <c r="D47" s="147"/>
      <c r="E47" s="147">
        <f t="shared" si="15"/>
        <v>0</v>
      </c>
      <c r="F47" s="147"/>
      <c r="G47" s="147"/>
      <c r="H47" s="147"/>
      <c r="I47" s="147"/>
      <c r="J47" s="147"/>
      <c r="K47" s="147"/>
      <c r="L47" s="147"/>
      <c r="M47" s="147"/>
      <c r="N47" s="147"/>
      <c r="O47" s="147"/>
      <c r="P47" s="147"/>
      <c r="Q47" s="147"/>
      <c r="R47" s="550">
        <f t="shared" si="16"/>
        <v>0</v>
      </c>
      <c r="S47" s="147"/>
      <c r="T47" s="147"/>
      <c r="U47" s="143"/>
    </row>
    <row r="48" spans="1:21" s="144" customFormat="1">
      <c r="A48" s="145" t="s">
        <v>154</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323954</v>
      </c>
      <c r="C49" s="147">
        <v>323954</v>
      </c>
      <c r="D49" s="147"/>
      <c r="E49" s="147">
        <f t="shared" si="15"/>
        <v>323954</v>
      </c>
      <c r="F49" s="147"/>
      <c r="G49" s="147"/>
      <c r="H49" s="147"/>
      <c r="I49" s="147"/>
      <c r="J49" s="147"/>
      <c r="K49" s="147"/>
      <c r="L49" s="147"/>
      <c r="M49" s="147"/>
      <c r="N49" s="147"/>
      <c r="O49" s="147"/>
      <c r="P49" s="147"/>
      <c r="Q49" s="147"/>
      <c r="R49" s="550">
        <f t="shared" si="16"/>
        <v>323954</v>
      </c>
      <c r="S49" s="147"/>
      <c r="T49" s="147"/>
      <c r="U49" s="143"/>
    </row>
    <row r="50" spans="1:21" s="144" customFormat="1">
      <c r="A50" s="145" t="s">
        <v>157</v>
      </c>
      <c r="B50" s="146">
        <f t="shared" si="14"/>
        <v>110000</v>
      </c>
      <c r="C50" s="147">
        <v>110000</v>
      </c>
      <c r="D50" s="147"/>
      <c r="E50" s="147">
        <f t="shared" si="15"/>
        <v>110000</v>
      </c>
      <c r="F50" s="147"/>
      <c r="G50" s="147"/>
      <c r="H50" s="147"/>
      <c r="I50" s="147"/>
      <c r="J50" s="147"/>
      <c r="K50" s="147"/>
      <c r="L50" s="147"/>
      <c r="M50" s="147"/>
      <c r="N50" s="147"/>
      <c r="O50" s="147"/>
      <c r="P50" s="147"/>
      <c r="Q50" s="147"/>
      <c r="R50" s="550">
        <f t="shared" si="16"/>
        <v>110000</v>
      </c>
      <c r="S50" s="147">
        <f>C50</f>
        <v>110000</v>
      </c>
      <c r="T50" s="147"/>
      <c r="U50" s="143"/>
    </row>
    <row r="51" spans="1:21" s="144" customFormat="1">
      <c r="A51" s="303" t="s">
        <v>155</v>
      </c>
      <c r="B51" s="146">
        <f t="shared" si="14"/>
        <v>30000</v>
      </c>
      <c r="C51" s="147">
        <v>30000</v>
      </c>
      <c r="D51" s="147"/>
      <c r="E51" s="147">
        <f t="shared" si="15"/>
        <v>30000</v>
      </c>
      <c r="F51" s="147"/>
      <c r="G51" s="147"/>
      <c r="H51" s="147"/>
      <c r="I51" s="147"/>
      <c r="J51" s="147"/>
      <c r="K51" s="147"/>
      <c r="L51" s="147"/>
      <c r="M51" s="147"/>
      <c r="N51" s="147"/>
      <c r="O51" s="147"/>
      <c r="P51" s="147"/>
      <c r="Q51" s="147"/>
      <c r="R51" s="550">
        <f t="shared" si="16"/>
        <v>30000</v>
      </c>
      <c r="S51" s="147"/>
      <c r="T51" s="147"/>
      <c r="U51" s="143"/>
    </row>
    <row r="52" spans="1:21" s="144" customFormat="1">
      <c r="A52" s="145" t="s">
        <v>156</v>
      </c>
      <c r="B52" s="146">
        <f t="shared" si="14"/>
        <v>800000</v>
      </c>
      <c r="C52" s="147">
        <v>800000</v>
      </c>
      <c r="D52" s="147"/>
      <c r="E52" s="147">
        <f t="shared" si="15"/>
        <v>800000</v>
      </c>
      <c r="F52" s="147"/>
      <c r="G52" s="147"/>
      <c r="H52" s="147"/>
      <c r="I52" s="147"/>
      <c r="J52" s="147"/>
      <c r="K52" s="147"/>
      <c r="L52" s="147"/>
      <c r="M52" s="147"/>
      <c r="N52" s="147"/>
      <c r="O52" s="147"/>
      <c r="P52" s="147"/>
      <c r="Q52" s="147"/>
      <c r="R52" s="550">
        <f t="shared" si="16"/>
        <v>800000</v>
      </c>
      <c r="S52" s="147">
        <f>C52</f>
        <v>800000</v>
      </c>
      <c r="T52" s="147"/>
      <c r="U52" s="143"/>
    </row>
    <row r="53" spans="1:21" s="144" customFormat="1">
      <c r="A53" s="1201" t="s">
        <v>2766</v>
      </c>
      <c r="B53" s="146">
        <f t="shared" si="14"/>
        <v>50000</v>
      </c>
      <c r="C53" s="147">
        <v>50000</v>
      </c>
      <c r="D53" s="147"/>
      <c r="E53" s="147">
        <f t="shared" si="15"/>
        <v>50000</v>
      </c>
      <c r="F53" s="147"/>
      <c r="G53" s="147"/>
      <c r="H53" s="147"/>
      <c r="I53" s="147"/>
      <c r="J53" s="147"/>
      <c r="K53" s="147"/>
      <c r="L53" s="147"/>
      <c r="M53" s="147"/>
      <c r="N53" s="147"/>
      <c r="O53" s="147"/>
      <c r="P53" s="147"/>
      <c r="Q53" s="147"/>
      <c r="R53" s="550">
        <f t="shared" si="16"/>
        <v>50000</v>
      </c>
      <c r="S53" s="147">
        <v>26744</v>
      </c>
      <c r="T53" s="147"/>
      <c r="U53" s="143"/>
    </row>
    <row r="54" spans="1:21" s="153" customFormat="1" ht="12">
      <c r="A54" s="149" t="s">
        <v>158</v>
      </c>
      <c r="B54" s="150">
        <f>SUM(C54:D54)</f>
        <v>15165145</v>
      </c>
      <c r="C54" s="150">
        <f t="shared" ref="C54:T54" si="17">SUM(C45:C53)</f>
        <v>15165145</v>
      </c>
      <c r="D54" s="150">
        <f t="shared" si="17"/>
        <v>0</v>
      </c>
      <c r="E54" s="150">
        <f t="shared" si="17"/>
        <v>15165145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15165145</v>
      </c>
      <c r="S54" s="150">
        <f t="shared" si="17"/>
        <v>8572673</v>
      </c>
      <c r="T54" s="150">
        <f t="shared" si="17"/>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8">SUM(C56+D56)</f>
        <v>256590</v>
      </c>
      <c r="C56" s="147">
        <v>256590</v>
      </c>
      <c r="D56" s="147"/>
      <c r="E56" s="147">
        <f>C56-SUM(F56:Q56)</f>
        <v>256590</v>
      </c>
      <c r="F56" s="147"/>
      <c r="G56" s="147"/>
      <c r="H56" s="147"/>
      <c r="I56" s="147"/>
      <c r="J56" s="147"/>
      <c r="K56" s="147"/>
      <c r="L56" s="147"/>
      <c r="M56" s="147"/>
      <c r="N56" s="147"/>
      <c r="O56" s="147"/>
      <c r="P56" s="147"/>
      <c r="Q56" s="147"/>
      <c r="R56" s="550">
        <f t="shared" ref="R56:R61" si="19">SUM(E56:Q56)</f>
        <v>256590</v>
      </c>
      <c r="S56" s="148"/>
      <c r="T56" s="148"/>
      <c r="U56" s="143"/>
    </row>
    <row r="57" spans="1:21" s="204" customFormat="1">
      <c r="A57" s="198" t="s">
        <v>153</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157</v>
      </c>
      <c r="B58" s="146">
        <f t="shared" si="18"/>
        <v>40000</v>
      </c>
      <c r="C58" s="147">
        <v>40000</v>
      </c>
      <c r="D58" s="147"/>
      <c r="E58" s="147">
        <f>C58-SUM(F58:Q58)</f>
        <v>40000</v>
      </c>
      <c r="F58" s="147"/>
      <c r="G58" s="147"/>
      <c r="H58" s="147"/>
      <c r="I58" s="147"/>
      <c r="J58" s="147"/>
      <c r="K58" s="147"/>
      <c r="L58" s="147"/>
      <c r="M58" s="147"/>
      <c r="N58" s="147"/>
      <c r="O58" s="147"/>
      <c r="P58" s="147"/>
      <c r="Q58" s="147"/>
      <c r="R58" s="550">
        <f t="shared" si="19"/>
        <v>40000</v>
      </c>
      <c r="S58" s="148"/>
      <c r="T58" s="148"/>
      <c r="U58" s="143"/>
    </row>
    <row r="59" spans="1:21" s="144" customFormat="1">
      <c r="A59" s="303" t="s">
        <v>155</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156</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201" t="s">
        <v>2766</v>
      </c>
      <c r="B61" s="146">
        <f t="shared" si="18"/>
        <v>10000</v>
      </c>
      <c r="C61" s="147">
        <v>10000</v>
      </c>
      <c r="D61" s="147"/>
      <c r="E61" s="147">
        <f>C61-SUM(F61:Q61)</f>
        <v>10000</v>
      </c>
      <c r="F61" s="147"/>
      <c r="G61" s="147"/>
      <c r="H61" s="147"/>
      <c r="I61" s="147"/>
      <c r="J61" s="147"/>
      <c r="K61" s="147"/>
      <c r="L61" s="147"/>
      <c r="M61" s="147"/>
      <c r="N61" s="147"/>
      <c r="O61" s="147"/>
      <c r="P61" s="147"/>
      <c r="Q61" s="147"/>
      <c r="R61" s="550">
        <f t="shared" si="19"/>
        <v>10000</v>
      </c>
      <c r="S61" s="148"/>
      <c r="T61" s="148"/>
      <c r="U61" s="143"/>
    </row>
    <row r="62" spans="1:21" s="144" customFormat="1" ht="13.65" customHeight="1">
      <c r="A62" s="149" t="s">
        <v>303</v>
      </c>
      <c r="B62" s="146">
        <f>SUM(C62:D62)</f>
        <v>306590</v>
      </c>
      <c r="C62" s="146">
        <f t="shared" ref="C62:R62" si="20">SUM(C56:C61)</f>
        <v>306590</v>
      </c>
      <c r="D62" s="146">
        <f t="shared" si="20"/>
        <v>0</v>
      </c>
      <c r="E62" s="146">
        <f t="shared" si="20"/>
        <v>306590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306590</v>
      </c>
      <c r="S62" s="148"/>
      <c r="T62" s="148"/>
      <c r="U62" s="143"/>
    </row>
    <row r="63" spans="1:21" s="144" customFormat="1">
      <c r="A63" s="154" t="s">
        <v>304</v>
      </c>
      <c r="B63" s="146">
        <f t="shared" ref="B63:R63" si="21">SUM(B8+B11+B13+B14+B15+B26+B27+B38+B42+B43+B54+B62)</f>
        <v>132354343</v>
      </c>
      <c r="C63" s="146">
        <f t="shared" si="21"/>
        <v>132354343</v>
      </c>
      <c r="D63" s="146">
        <f t="shared" si="21"/>
        <v>0</v>
      </c>
      <c r="E63" s="146">
        <f t="shared" si="21"/>
        <v>68995243</v>
      </c>
      <c r="F63" s="146">
        <f t="shared" si="21"/>
        <v>8651000</v>
      </c>
      <c r="G63" s="146">
        <f t="shared" si="21"/>
        <v>17008000</v>
      </c>
      <c r="H63" s="146">
        <f t="shared" si="21"/>
        <v>12950000</v>
      </c>
      <c r="I63" s="146">
        <f t="shared" si="21"/>
        <v>11200000</v>
      </c>
      <c r="J63" s="146">
        <f t="shared" si="21"/>
        <v>0</v>
      </c>
      <c r="K63" s="146">
        <f t="shared" si="21"/>
        <v>0</v>
      </c>
      <c r="L63" s="146">
        <f t="shared" si="21"/>
        <v>13550000</v>
      </c>
      <c r="M63" s="146">
        <f t="shared" si="21"/>
        <v>100</v>
      </c>
      <c r="N63" s="146">
        <f t="shared" si="21"/>
        <v>0</v>
      </c>
      <c r="O63" s="146">
        <f t="shared" si="21"/>
        <v>0</v>
      </c>
      <c r="P63" s="146">
        <f t="shared" si="21"/>
        <v>0</v>
      </c>
      <c r="Q63" s="146">
        <f t="shared" si="21"/>
        <v>0</v>
      </c>
      <c r="R63" s="370">
        <f t="shared" si="21"/>
        <v>132354343</v>
      </c>
      <c r="S63" s="146">
        <f>SUM(S10+S13+S14+S15+S26+S27+S38+S42+S43+S54)</f>
        <v>111042158</v>
      </c>
      <c r="T63" s="146">
        <f>SUM(T11+T13+T14+T15+T26+T27+T38+T42+T43+T54)</f>
        <v>0</v>
      </c>
      <c r="U63" s="143"/>
    </row>
    <row r="64" spans="1:21" s="144" customFormat="1" ht="22.8">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105000</v>
      </c>
      <c r="C65" s="147">
        <f>90000+15000</f>
        <v>105000</v>
      </c>
      <c r="D65" s="147"/>
      <c r="E65" s="147">
        <f t="shared" ref="E65:E69" si="22">C65-SUM(F65:Q65)</f>
        <v>105000</v>
      </c>
      <c r="F65" s="147"/>
      <c r="G65" s="147"/>
      <c r="H65" s="147"/>
      <c r="I65" s="147"/>
      <c r="J65" s="147"/>
      <c r="K65" s="147"/>
      <c r="L65" s="147"/>
      <c r="M65" s="147"/>
      <c r="N65" s="147"/>
      <c r="O65" s="147"/>
      <c r="P65" s="147"/>
      <c r="Q65" s="147"/>
      <c r="R65" s="550">
        <f>SUM(E65:Q65)</f>
        <v>105000</v>
      </c>
      <c r="S65" s="147">
        <v>48140</v>
      </c>
      <c r="T65" s="147"/>
      <c r="U65" s="143"/>
    </row>
    <row r="66" spans="1:21" s="144" customFormat="1" ht="24" customHeight="1">
      <c r="A66" s="303" t="s">
        <v>1821</v>
      </c>
      <c r="B66" s="146">
        <f>SUM(C66+D66)</f>
        <v>0</v>
      </c>
      <c r="C66" s="147"/>
      <c r="D66" s="147"/>
      <c r="E66" s="147">
        <f t="shared" si="22"/>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3" t="s">
        <v>1822</v>
      </c>
      <c r="B67" s="146">
        <f>SUM(C67+D67)</f>
        <v>0</v>
      </c>
      <c r="C67" s="147"/>
      <c r="D67" s="147"/>
      <c r="E67" s="147">
        <f t="shared" si="22"/>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3" t="s">
        <v>1828</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201" t="s">
        <v>2767</v>
      </c>
      <c r="B69" s="146">
        <f>SUM(C69+D69)</f>
        <v>160000</v>
      </c>
      <c r="C69" s="147">
        <f>50000+80000+30000</f>
        <v>160000</v>
      </c>
      <c r="D69" s="147"/>
      <c r="E69" s="147">
        <f t="shared" si="22"/>
        <v>160000</v>
      </c>
      <c r="F69" s="147"/>
      <c r="G69" s="147"/>
      <c r="H69" s="147"/>
      <c r="I69" s="147"/>
      <c r="J69" s="147"/>
      <c r="K69" s="147"/>
      <c r="L69" s="147"/>
      <c r="M69" s="147"/>
      <c r="N69" s="147"/>
      <c r="O69" s="147"/>
      <c r="P69" s="147"/>
      <c r="Q69" s="147"/>
      <c r="R69" s="550">
        <f>SUM(E69:Q69)</f>
        <v>160000</v>
      </c>
      <c r="S69" s="147">
        <f>50000+30000</f>
        <v>80000</v>
      </c>
      <c r="T69" s="147"/>
      <c r="U69" s="143"/>
    </row>
    <row r="70" spans="1:21" s="144" customFormat="1" ht="12">
      <c r="A70" s="149" t="s">
        <v>1825</v>
      </c>
      <c r="B70" s="146">
        <f>SUM(C70:D70)</f>
        <v>265000</v>
      </c>
      <c r="C70" s="146">
        <f>SUM(C65:C69)</f>
        <v>265000</v>
      </c>
      <c r="D70" s="146">
        <f>SUM(D65:D69)</f>
        <v>0</v>
      </c>
      <c r="E70" s="146">
        <f t="shared" ref="E70:T70" si="23">SUM(E65:E69)</f>
        <v>265000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265000</v>
      </c>
      <c r="S70" s="150">
        <f t="shared" si="23"/>
        <v>128140</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1040</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981470</v>
      </c>
      <c r="C75" s="147">
        <v>981470</v>
      </c>
      <c r="D75" s="147"/>
      <c r="E75" s="147">
        <f>C75-SUM(F75:Q75)</f>
        <v>981470</v>
      </c>
      <c r="F75" s="147"/>
      <c r="G75" s="147"/>
      <c r="H75" s="147"/>
      <c r="I75" s="147"/>
      <c r="J75" s="147"/>
      <c r="K75" s="147"/>
      <c r="L75" s="147"/>
      <c r="M75" s="147"/>
      <c r="N75" s="147"/>
      <c r="O75" s="147"/>
      <c r="P75" s="147"/>
      <c r="Q75" s="147"/>
      <c r="R75" s="550">
        <f>SUM(E75:Q75)</f>
        <v>981470</v>
      </c>
      <c r="S75" s="148"/>
      <c r="T75" s="148"/>
      <c r="U75" s="143"/>
    </row>
    <row r="76" spans="1:21" s="144" customFormat="1">
      <c r="A76" s="1201"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981470</v>
      </c>
      <c r="C77" s="146">
        <f>SUM(C72:C76)</f>
        <v>981470</v>
      </c>
      <c r="D77" s="146">
        <f>SUM(D72:D76)</f>
        <v>0</v>
      </c>
      <c r="E77" s="146">
        <f t="shared" ref="E77:Q77" si="24">SUM(E72:E76)</f>
        <v>981470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981470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3" t="s">
        <v>1355</v>
      </c>
      <c r="B79" s="146">
        <f>SUM(C79:D79)</f>
        <v>4945795</v>
      </c>
      <c r="C79" s="147">
        <v>4945795</v>
      </c>
      <c r="D79" s="147"/>
      <c r="E79" s="147">
        <f t="shared" ref="E79:E80" si="25">C79-SUM(F79:Q79)</f>
        <v>4945795</v>
      </c>
      <c r="F79" s="147"/>
      <c r="G79" s="147"/>
      <c r="H79" s="147"/>
      <c r="I79" s="147"/>
      <c r="J79" s="147"/>
      <c r="K79" s="147"/>
      <c r="L79" s="147"/>
      <c r="M79" s="147"/>
      <c r="N79" s="147"/>
      <c r="O79" s="147"/>
      <c r="P79" s="147"/>
      <c r="Q79" s="147"/>
      <c r="R79" s="550">
        <f>SUM(E79:Q79)</f>
        <v>4945795</v>
      </c>
      <c r="S79" s="147">
        <f t="shared" ref="S79:S80" si="26">C79</f>
        <v>4945795</v>
      </c>
      <c r="T79" s="147"/>
      <c r="U79" s="143"/>
    </row>
    <row r="80" spans="1:21" s="144" customFormat="1">
      <c r="A80" s="303" t="s">
        <v>58</v>
      </c>
      <c r="B80" s="146">
        <f>SUM(C80:D80)</f>
        <v>1017173</v>
      </c>
      <c r="C80" s="147">
        <v>1017173</v>
      </c>
      <c r="D80" s="147"/>
      <c r="E80" s="147">
        <f t="shared" si="25"/>
        <v>1017173</v>
      </c>
      <c r="F80" s="147"/>
      <c r="G80" s="147"/>
      <c r="H80" s="147"/>
      <c r="I80" s="147"/>
      <c r="J80" s="147"/>
      <c r="K80" s="147"/>
      <c r="L80" s="147"/>
      <c r="M80" s="147"/>
      <c r="N80" s="147"/>
      <c r="O80" s="147"/>
      <c r="P80" s="147"/>
      <c r="Q80" s="147"/>
      <c r="R80" s="550">
        <f>SUM(E80:Q80)</f>
        <v>1017173</v>
      </c>
      <c r="S80" s="147">
        <f t="shared" si="26"/>
        <v>1017173</v>
      </c>
      <c r="T80" s="147"/>
      <c r="U80" s="143"/>
    </row>
    <row r="81" spans="1:21" s="144" customFormat="1" ht="12">
      <c r="A81" s="149" t="s">
        <v>1352</v>
      </c>
      <c r="B81" s="146">
        <f>SUM(C81:D81)</f>
        <v>5962968</v>
      </c>
      <c r="C81" s="543">
        <f>SUM(C79:C80)</f>
        <v>5962968</v>
      </c>
      <c r="D81" s="543">
        <f t="shared" ref="D81:T81" si="27">SUM(D79:D80)</f>
        <v>0</v>
      </c>
      <c r="E81" s="543">
        <f t="shared" si="27"/>
        <v>5962968</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5962968</v>
      </c>
      <c r="S81" s="543">
        <f t="shared" si="27"/>
        <v>5962968</v>
      </c>
      <c r="T81" s="543">
        <f t="shared" si="27"/>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2518</v>
      </c>
      <c r="B83" s="146">
        <f t="shared" ref="B83:B95" si="28">SUM(C83+D83)</f>
        <v>146569</v>
      </c>
      <c r="C83" s="147">
        <v>146569</v>
      </c>
      <c r="D83" s="147"/>
      <c r="E83" s="147">
        <f t="shared" ref="E83:E94" si="29">C83-SUM(F83:Q83)</f>
        <v>146569</v>
      </c>
      <c r="F83" s="147"/>
      <c r="G83" s="147"/>
      <c r="H83" s="147"/>
      <c r="I83" s="147"/>
      <c r="J83" s="147"/>
      <c r="K83" s="147"/>
      <c r="L83" s="147"/>
      <c r="M83" s="147"/>
      <c r="N83" s="147"/>
      <c r="O83" s="147"/>
      <c r="P83" s="147"/>
      <c r="Q83" s="147"/>
      <c r="R83" s="550">
        <f t="shared" ref="R83:R95" si="30">SUM(E83:Q83)</f>
        <v>146569</v>
      </c>
      <c r="S83" s="148"/>
      <c r="T83" s="148"/>
      <c r="U83" s="143"/>
    </row>
    <row r="84" spans="1:21" s="144" customFormat="1">
      <c r="A84" s="145" t="s">
        <v>791</v>
      </c>
      <c r="B84" s="146">
        <f t="shared" si="28"/>
        <v>78000</v>
      </c>
      <c r="C84" s="147">
        <v>78000</v>
      </c>
      <c r="D84" s="147"/>
      <c r="E84" s="147">
        <f t="shared" si="29"/>
        <v>78000</v>
      </c>
      <c r="F84" s="147"/>
      <c r="G84" s="147"/>
      <c r="H84" s="147"/>
      <c r="I84" s="147"/>
      <c r="J84" s="147"/>
      <c r="K84" s="147"/>
      <c r="L84" s="147"/>
      <c r="M84" s="147"/>
      <c r="N84" s="147"/>
      <c r="O84" s="147"/>
      <c r="P84" s="147"/>
      <c r="Q84" s="147"/>
      <c r="R84" s="550">
        <f t="shared" si="30"/>
        <v>78000</v>
      </c>
      <c r="S84" s="147">
        <f t="shared" ref="S84:S87" si="31">C84</f>
        <v>78000</v>
      </c>
      <c r="T84" s="147"/>
      <c r="U84" s="143"/>
    </row>
    <row r="85" spans="1:21" s="144" customFormat="1">
      <c r="A85" s="145" t="s">
        <v>792</v>
      </c>
      <c r="B85" s="146">
        <f t="shared" si="28"/>
        <v>1416373</v>
      </c>
      <c r="C85" s="147">
        <v>1416373</v>
      </c>
      <c r="D85" s="147"/>
      <c r="E85" s="147">
        <f t="shared" si="29"/>
        <v>1416373</v>
      </c>
      <c r="F85" s="147"/>
      <c r="G85" s="147"/>
      <c r="H85" s="147"/>
      <c r="I85" s="147"/>
      <c r="J85" s="147"/>
      <c r="K85" s="147"/>
      <c r="L85" s="147"/>
      <c r="M85" s="147"/>
      <c r="N85" s="147"/>
      <c r="O85" s="147"/>
      <c r="P85" s="147"/>
      <c r="Q85" s="147"/>
      <c r="R85" s="550">
        <f t="shared" si="30"/>
        <v>1416373</v>
      </c>
      <c r="S85" s="147">
        <f t="shared" si="31"/>
        <v>1416373</v>
      </c>
      <c r="T85" s="147"/>
      <c r="U85" s="143"/>
    </row>
    <row r="86" spans="1:21" s="144" customFormat="1">
      <c r="A86" s="145" t="s">
        <v>793</v>
      </c>
      <c r="B86" s="146">
        <f t="shared" si="28"/>
        <v>3080098</v>
      </c>
      <c r="C86" s="147">
        <v>3080098</v>
      </c>
      <c r="D86" s="147"/>
      <c r="E86" s="147">
        <f t="shared" si="29"/>
        <v>3080098</v>
      </c>
      <c r="F86" s="147"/>
      <c r="G86" s="147"/>
      <c r="H86" s="147"/>
      <c r="I86" s="147"/>
      <c r="J86" s="147"/>
      <c r="K86" s="147"/>
      <c r="L86" s="147"/>
      <c r="M86" s="147"/>
      <c r="N86" s="147"/>
      <c r="O86" s="147"/>
      <c r="P86" s="147"/>
      <c r="Q86" s="147"/>
      <c r="R86" s="550">
        <f t="shared" si="30"/>
        <v>3080098</v>
      </c>
      <c r="S86" s="147">
        <f t="shared" si="31"/>
        <v>3080098</v>
      </c>
      <c r="T86" s="147"/>
      <c r="U86" s="143"/>
    </row>
    <row r="87" spans="1:21" s="144" customFormat="1">
      <c r="A87" s="145" t="s">
        <v>794</v>
      </c>
      <c r="B87" s="146">
        <f t="shared" si="28"/>
        <v>10000</v>
      </c>
      <c r="C87" s="147">
        <v>10000</v>
      </c>
      <c r="D87" s="147"/>
      <c r="E87" s="147">
        <f t="shared" si="29"/>
        <v>10000</v>
      </c>
      <c r="F87" s="147"/>
      <c r="G87" s="147"/>
      <c r="H87" s="147"/>
      <c r="I87" s="147"/>
      <c r="J87" s="147"/>
      <c r="K87" s="147"/>
      <c r="L87" s="147"/>
      <c r="M87" s="147"/>
      <c r="N87" s="147"/>
      <c r="O87" s="147"/>
      <c r="P87" s="147"/>
      <c r="Q87" s="147"/>
      <c r="R87" s="550">
        <f t="shared" si="30"/>
        <v>10000</v>
      </c>
      <c r="S87" s="147">
        <f t="shared" si="31"/>
        <v>10000</v>
      </c>
      <c r="T87" s="147"/>
      <c r="U87" s="143"/>
    </row>
    <row r="88" spans="1:21" s="144" customFormat="1">
      <c r="A88" s="145" t="s">
        <v>795</v>
      </c>
      <c r="B88" s="146">
        <f t="shared" si="28"/>
        <v>440000</v>
      </c>
      <c r="C88" s="147">
        <v>440000</v>
      </c>
      <c r="D88" s="147"/>
      <c r="E88" s="147">
        <f t="shared" si="29"/>
        <v>440000</v>
      </c>
      <c r="F88" s="147"/>
      <c r="G88" s="147"/>
      <c r="H88" s="147"/>
      <c r="I88" s="147"/>
      <c r="J88" s="147"/>
      <c r="K88" s="147"/>
      <c r="L88" s="147"/>
      <c r="M88" s="147"/>
      <c r="N88" s="147"/>
      <c r="O88" s="147"/>
      <c r="P88" s="147"/>
      <c r="Q88" s="147"/>
      <c r="R88" s="550">
        <f t="shared" si="30"/>
        <v>440000</v>
      </c>
      <c r="S88" s="148"/>
      <c r="T88" s="148"/>
      <c r="U88" s="143"/>
    </row>
    <row r="89" spans="1:21" s="144" customFormat="1">
      <c r="A89" s="145" t="s">
        <v>796</v>
      </c>
      <c r="B89" s="146">
        <f t="shared" si="28"/>
        <v>264000</v>
      </c>
      <c r="C89" s="147">
        <v>264000</v>
      </c>
      <c r="D89" s="147"/>
      <c r="E89" s="147">
        <f t="shared" si="29"/>
        <v>264000</v>
      </c>
      <c r="F89" s="147"/>
      <c r="G89" s="147"/>
      <c r="H89" s="147"/>
      <c r="I89" s="147"/>
      <c r="J89" s="147"/>
      <c r="K89" s="147"/>
      <c r="L89" s="147"/>
      <c r="M89" s="147"/>
      <c r="N89" s="147"/>
      <c r="O89" s="147"/>
      <c r="P89" s="147"/>
      <c r="Q89" s="147"/>
      <c r="R89" s="550">
        <f t="shared" si="30"/>
        <v>264000</v>
      </c>
      <c r="S89" s="147">
        <f>C89</f>
        <v>264000</v>
      </c>
      <c r="T89" s="147"/>
      <c r="U89" s="143"/>
    </row>
    <row r="90" spans="1:21" s="144" customFormat="1">
      <c r="A90" s="145" t="s">
        <v>797</v>
      </c>
      <c r="B90" s="146">
        <f t="shared" si="28"/>
        <v>21000</v>
      </c>
      <c r="C90" s="147">
        <v>21000</v>
      </c>
      <c r="D90" s="147"/>
      <c r="E90" s="147">
        <f t="shared" si="29"/>
        <v>21000</v>
      </c>
      <c r="F90" s="147"/>
      <c r="G90" s="147"/>
      <c r="H90" s="147"/>
      <c r="I90" s="147"/>
      <c r="J90" s="147"/>
      <c r="K90" s="147"/>
      <c r="L90" s="147"/>
      <c r="M90" s="147"/>
      <c r="N90" s="147"/>
      <c r="O90" s="147"/>
      <c r="P90" s="147"/>
      <c r="Q90" s="147"/>
      <c r="R90" s="550">
        <f t="shared" si="30"/>
        <v>21000</v>
      </c>
      <c r="S90" s="147"/>
      <c r="T90" s="147"/>
      <c r="U90" s="143"/>
    </row>
    <row r="91" spans="1:21" s="144" customFormat="1">
      <c r="A91" s="145" t="s">
        <v>374</v>
      </c>
      <c r="B91" s="146">
        <f t="shared" si="28"/>
        <v>0</v>
      </c>
      <c r="C91" s="147"/>
      <c r="D91" s="147"/>
      <c r="E91" s="147">
        <f t="shared" si="29"/>
        <v>0</v>
      </c>
      <c r="F91" s="147"/>
      <c r="G91" s="147"/>
      <c r="H91" s="147"/>
      <c r="I91" s="147"/>
      <c r="J91" s="147"/>
      <c r="K91" s="147"/>
      <c r="L91" s="147"/>
      <c r="M91" s="147"/>
      <c r="N91" s="147"/>
      <c r="O91" s="147"/>
      <c r="P91" s="147"/>
      <c r="Q91" s="147"/>
      <c r="R91" s="550">
        <f t="shared" si="30"/>
        <v>0</v>
      </c>
      <c r="S91" s="147"/>
      <c r="T91" s="147"/>
      <c r="U91" s="143"/>
    </row>
    <row r="92" spans="1:21" s="144" customFormat="1">
      <c r="A92" s="303" t="s">
        <v>1354</v>
      </c>
      <c r="B92" s="146">
        <f t="shared" si="28"/>
        <v>10000</v>
      </c>
      <c r="C92" s="147">
        <v>10000</v>
      </c>
      <c r="D92" s="147"/>
      <c r="E92" s="147">
        <f t="shared" si="29"/>
        <v>10000</v>
      </c>
      <c r="F92" s="147"/>
      <c r="G92" s="147"/>
      <c r="H92" s="147"/>
      <c r="I92" s="147"/>
      <c r="J92" s="147"/>
      <c r="K92" s="147"/>
      <c r="L92" s="147"/>
      <c r="M92" s="147"/>
      <c r="N92" s="147"/>
      <c r="O92" s="147"/>
      <c r="P92" s="147"/>
      <c r="Q92" s="147"/>
      <c r="R92" s="550">
        <f t="shared" si="30"/>
        <v>10000</v>
      </c>
      <c r="S92" s="147">
        <f>C92</f>
        <v>10000</v>
      </c>
      <c r="T92" s="147"/>
      <c r="U92" s="143"/>
    </row>
    <row r="93" spans="1:21" s="144" customFormat="1">
      <c r="A93" s="1201" t="s">
        <v>2765</v>
      </c>
      <c r="B93" s="146">
        <f t="shared" si="28"/>
        <v>30000</v>
      </c>
      <c r="C93" s="147">
        <v>30000</v>
      </c>
      <c r="D93" s="147"/>
      <c r="E93" s="147">
        <f t="shared" si="29"/>
        <v>30000</v>
      </c>
      <c r="F93" s="147"/>
      <c r="G93" s="147"/>
      <c r="H93" s="147"/>
      <c r="I93" s="147"/>
      <c r="J93" s="147"/>
      <c r="K93" s="147"/>
      <c r="L93" s="147"/>
      <c r="M93" s="147"/>
      <c r="N93" s="147"/>
      <c r="O93" s="147"/>
      <c r="P93" s="147"/>
      <c r="Q93" s="147"/>
      <c r="R93" s="550">
        <f t="shared" si="30"/>
        <v>30000</v>
      </c>
      <c r="S93" s="147">
        <f>C93</f>
        <v>30000</v>
      </c>
      <c r="T93" s="147"/>
      <c r="U93" s="143"/>
    </row>
    <row r="94" spans="1:21" s="144" customFormat="1">
      <c r="A94" s="1201" t="s">
        <v>2768</v>
      </c>
      <c r="B94" s="146">
        <f t="shared" si="28"/>
        <v>1084363</v>
      </c>
      <c r="C94" s="147">
        <f>Application!AM554</f>
        <v>1084363</v>
      </c>
      <c r="D94" s="147"/>
      <c r="E94" s="147">
        <f t="shared" si="29"/>
        <v>0</v>
      </c>
      <c r="F94" s="147"/>
      <c r="G94" s="147"/>
      <c r="H94" s="147"/>
      <c r="I94" s="147"/>
      <c r="J94" s="147">
        <f>C94</f>
        <v>1084363</v>
      </c>
      <c r="K94" s="147"/>
      <c r="L94" s="147"/>
      <c r="M94" s="147"/>
      <c r="N94" s="147"/>
      <c r="O94" s="147"/>
      <c r="P94" s="147"/>
      <c r="Q94" s="147"/>
      <c r="R94" s="550">
        <f t="shared" si="30"/>
        <v>1084363</v>
      </c>
      <c r="S94" s="147">
        <v>735576</v>
      </c>
      <c r="T94" s="147"/>
      <c r="U94" s="143"/>
    </row>
    <row r="95" spans="1:21" s="144" customFormat="1">
      <c r="A95" s="1201" t="s">
        <v>34</v>
      </c>
      <c r="B95" s="146">
        <f t="shared" si="28"/>
        <v>0</v>
      </c>
      <c r="C95" s="147"/>
      <c r="D95" s="147"/>
      <c r="E95" s="147"/>
      <c r="F95" s="147"/>
      <c r="G95" s="147"/>
      <c r="H95" s="147"/>
      <c r="I95" s="147"/>
      <c r="J95" s="147"/>
      <c r="K95" s="147"/>
      <c r="L95" s="147"/>
      <c r="M95" s="147"/>
      <c r="N95" s="147"/>
      <c r="O95" s="147"/>
      <c r="P95" s="147"/>
      <c r="Q95" s="147"/>
      <c r="R95" s="550">
        <f t="shared" si="30"/>
        <v>0</v>
      </c>
      <c r="S95" s="147"/>
      <c r="T95" s="147"/>
      <c r="U95" s="143"/>
    </row>
    <row r="96" spans="1:21" s="144" customFormat="1" ht="12">
      <c r="A96" s="149" t="s">
        <v>798</v>
      </c>
      <c r="B96" s="146">
        <f>SUM(C96:D96)</f>
        <v>6580403</v>
      </c>
      <c r="C96" s="146">
        <f t="shared" ref="C96:R96" si="32">SUM(C83:C95)</f>
        <v>6580403</v>
      </c>
      <c r="D96" s="146">
        <f t="shared" si="32"/>
        <v>0</v>
      </c>
      <c r="E96" s="146">
        <f t="shared" si="32"/>
        <v>5496040</v>
      </c>
      <c r="F96" s="146">
        <f t="shared" si="32"/>
        <v>0</v>
      </c>
      <c r="G96" s="146">
        <f t="shared" si="32"/>
        <v>0</v>
      </c>
      <c r="H96" s="146">
        <f t="shared" si="32"/>
        <v>0</v>
      </c>
      <c r="I96" s="146">
        <f t="shared" si="32"/>
        <v>0</v>
      </c>
      <c r="J96" s="146">
        <f t="shared" si="32"/>
        <v>1084363</v>
      </c>
      <c r="K96" s="146">
        <f t="shared" si="32"/>
        <v>0</v>
      </c>
      <c r="L96" s="146">
        <f t="shared" si="32"/>
        <v>0</v>
      </c>
      <c r="M96" s="146">
        <f t="shared" si="32"/>
        <v>0</v>
      </c>
      <c r="N96" s="146">
        <f t="shared" si="32"/>
        <v>0</v>
      </c>
      <c r="O96" s="146">
        <f t="shared" si="32"/>
        <v>0</v>
      </c>
      <c r="P96" s="146">
        <f t="shared" si="32"/>
        <v>0</v>
      </c>
      <c r="Q96" s="146">
        <f t="shared" si="32"/>
        <v>0</v>
      </c>
      <c r="R96" s="370">
        <f t="shared" si="32"/>
        <v>6580403</v>
      </c>
      <c r="S96" s="150">
        <f>SUM(S84:S87,S89:S95)</f>
        <v>5624047</v>
      </c>
      <c r="T96" s="146">
        <f>SUM(T84:T87,T89:T95)</f>
        <v>0</v>
      </c>
      <c r="U96" s="143"/>
    </row>
    <row r="97" spans="1:21" s="144" customFormat="1" ht="12">
      <c r="A97" s="149" t="s">
        <v>799</v>
      </c>
      <c r="B97" s="146">
        <f>SUM(C97:D97)</f>
        <v>146144184</v>
      </c>
      <c r="C97" s="146">
        <f t="shared" ref="C97:R97" si="33">SUM(C63+C70+C77+C81+C96)</f>
        <v>146144184</v>
      </c>
      <c r="D97" s="146">
        <f t="shared" si="33"/>
        <v>0</v>
      </c>
      <c r="E97" s="146">
        <f t="shared" si="33"/>
        <v>81700721</v>
      </c>
      <c r="F97" s="146">
        <f t="shared" si="33"/>
        <v>8651000</v>
      </c>
      <c r="G97" s="146">
        <f t="shared" si="33"/>
        <v>17008000</v>
      </c>
      <c r="H97" s="146">
        <f t="shared" si="33"/>
        <v>12950000</v>
      </c>
      <c r="I97" s="146">
        <f t="shared" si="33"/>
        <v>11200000</v>
      </c>
      <c r="J97" s="146">
        <f t="shared" si="33"/>
        <v>1084363</v>
      </c>
      <c r="K97" s="146">
        <f t="shared" si="33"/>
        <v>0</v>
      </c>
      <c r="L97" s="146">
        <f t="shared" si="33"/>
        <v>13550000</v>
      </c>
      <c r="M97" s="146">
        <f t="shared" si="33"/>
        <v>100</v>
      </c>
      <c r="N97" s="146">
        <f t="shared" si="33"/>
        <v>0</v>
      </c>
      <c r="O97" s="146">
        <f t="shared" si="33"/>
        <v>0</v>
      </c>
      <c r="P97" s="146">
        <f t="shared" si="33"/>
        <v>0</v>
      </c>
      <c r="Q97" s="146">
        <f t="shared" si="33"/>
        <v>0</v>
      </c>
      <c r="R97" s="146">
        <f t="shared" si="33"/>
        <v>146144184</v>
      </c>
      <c r="S97" s="146">
        <f>SUM(S63+S70+S81+S96)</f>
        <v>122757313</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18413597</v>
      </c>
      <c r="C99" s="1015">
        <v>18413597</v>
      </c>
      <c r="D99" s="1015"/>
      <c r="E99" s="1015">
        <f>C99-SUM(F99:Q99)</f>
        <v>2500000</v>
      </c>
      <c r="F99" s="147"/>
      <c r="G99" s="147"/>
      <c r="H99" s="147"/>
      <c r="I99" s="147"/>
      <c r="J99" s="147"/>
      <c r="K99" s="147">
        <f>Application!AO628</f>
        <v>15913597</v>
      </c>
      <c r="L99" s="147"/>
      <c r="M99" s="147"/>
      <c r="N99" s="147"/>
      <c r="O99" s="147"/>
      <c r="P99" s="147"/>
      <c r="Q99" s="147"/>
      <c r="R99" s="550">
        <f>SUM(E99:Q99)</f>
        <v>18413597</v>
      </c>
      <c r="S99" s="147">
        <v>18413597</v>
      </c>
      <c r="T99" s="147"/>
      <c r="U99" s="143"/>
    </row>
    <row r="100" spans="1:21" s="144" customFormat="1">
      <c r="A100" s="303" t="s">
        <v>1826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3" t="s">
        <v>1827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803</v>
      </c>
      <c r="B104" s="146">
        <f>SUM(C104:D104)</f>
        <v>18413597</v>
      </c>
      <c r="C104" s="146">
        <f>SUM(C99:C103)</f>
        <v>18413597</v>
      </c>
      <c r="D104" s="146">
        <f t="shared" ref="D104:T104" si="34">SUM(D99:D103)</f>
        <v>0</v>
      </c>
      <c r="E104" s="146">
        <f t="shared" si="34"/>
        <v>2500000</v>
      </c>
      <c r="F104" s="146">
        <f t="shared" si="34"/>
        <v>0</v>
      </c>
      <c r="G104" s="146">
        <f t="shared" si="34"/>
        <v>0</v>
      </c>
      <c r="H104" s="146">
        <f t="shared" si="34"/>
        <v>0</v>
      </c>
      <c r="I104" s="146">
        <f t="shared" si="34"/>
        <v>0</v>
      </c>
      <c r="J104" s="146">
        <f t="shared" si="34"/>
        <v>0</v>
      </c>
      <c r="K104" s="146">
        <f t="shared" si="34"/>
        <v>15913597</v>
      </c>
      <c r="L104" s="146">
        <f t="shared" si="34"/>
        <v>0</v>
      </c>
      <c r="M104" s="146">
        <f t="shared" si="34"/>
        <v>0</v>
      </c>
      <c r="N104" s="146">
        <f t="shared" si="34"/>
        <v>0</v>
      </c>
      <c r="O104" s="146">
        <f t="shared" si="34"/>
        <v>0</v>
      </c>
      <c r="P104" s="146">
        <f t="shared" si="34"/>
        <v>0</v>
      </c>
      <c r="Q104" s="146">
        <f t="shared" si="34"/>
        <v>0</v>
      </c>
      <c r="R104" s="370">
        <f t="shared" si="34"/>
        <v>18413597</v>
      </c>
      <c r="S104" s="150">
        <f t="shared" si="34"/>
        <v>18413597</v>
      </c>
      <c r="T104" s="150">
        <f t="shared" si="34"/>
        <v>0</v>
      </c>
      <c r="U104" s="143"/>
    </row>
    <row r="105" spans="1:21" s="144" customFormat="1" ht="12">
      <c r="A105" s="149" t="s">
        <v>804</v>
      </c>
      <c r="B105" s="150">
        <f>SUM(C105:D105)</f>
        <v>164557781</v>
      </c>
      <c r="C105" s="150">
        <f t="shared" ref="C105:R105" si="35">SUM(C97+C104)</f>
        <v>164557781</v>
      </c>
      <c r="D105" s="150">
        <f t="shared" si="35"/>
        <v>0</v>
      </c>
      <c r="E105" s="150">
        <f t="shared" si="35"/>
        <v>84200721</v>
      </c>
      <c r="F105" s="150">
        <f t="shared" si="35"/>
        <v>8651000</v>
      </c>
      <c r="G105" s="150">
        <f t="shared" si="35"/>
        <v>17008000</v>
      </c>
      <c r="H105" s="150">
        <f t="shared" si="35"/>
        <v>12950000</v>
      </c>
      <c r="I105" s="150">
        <f t="shared" si="35"/>
        <v>11200000</v>
      </c>
      <c r="J105" s="150">
        <f t="shared" si="35"/>
        <v>1084363</v>
      </c>
      <c r="K105" s="150">
        <f t="shared" si="35"/>
        <v>15913597</v>
      </c>
      <c r="L105" s="150">
        <f t="shared" si="35"/>
        <v>13550000</v>
      </c>
      <c r="M105" s="150">
        <f t="shared" si="35"/>
        <v>100</v>
      </c>
      <c r="N105" s="150">
        <f t="shared" si="35"/>
        <v>0</v>
      </c>
      <c r="O105" s="150">
        <f t="shared" si="35"/>
        <v>0</v>
      </c>
      <c r="P105" s="150">
        <f t="shared" si="35"/>
        <v>0</v>
      </c>
      <c r="Q105" s="150">
        <f t="shared" si="35"/>
        <v>0</v>
      </c>
      <c r="R105" s="370">
        <f t="shared" si="35"/>
        <v>164557781</v>
      </c>
      <c r="S105" s="150">
        <f>S97+S104</f>
        <v>141170910</v>
      </c>
      <c r="T105" s="150">
        <f>T97+T104</f>
        <v>0</v>
      </c>
      <c r="U105" s="143"/>
    </row>
    <row r="106" spans="1:21" ht="12">
      <c r="A106" s="548" t="s">
        <v>1081</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141170910</v>
      </c>
      <c r="T107" s="150">
        <f>T105+T106</f>
        <v>0</v>
      </c>
    </row>
    <row r="108" spans="1:21" s="201" customFormat="1" ht="12">
      <c r="A108" s="162" t="s">
        <v>908</v>
      </c>
      <c r="B108" s="157"/>
      <c r="C108" s="157"/>
      <c r="D108" s="157"/>
      <c r="E108" s="322">
        <f>Application!AO636</f>
        <v>84200721</v>
      </c>
      <c r="F108" s="322">
        <f>Application!AO623</f>
        <v>8651000</v>
      </c>
      <c r="G108" s="322">
        <f>Application!AO624</f>
        <v>17008000</v>
      </c>
      <c r="H108" s="322">
        <f>Application!AO625</f>
        <v>12950000</v>
      </c>
      <c r="I108" s="322">
        <f>Application!AO626</f>
        <v>11200000</v>
      </c>
      <c r="J108" s="322">
        <f>Application!AO627</f>
        <v>1084363</v>
      </c>
      <c r="K108" s="322">
        <f>Application!AO628</f>
        <v>15913597</v>
      </c>
      <c r="L108" s="322">
        <f>Application!AO629</f>
        <v>13550000</v>
      </c>
      <c r="M108" s="322">
        <f>Application!AO630</f>
        <v>100</v>
      </c>
      <c r="N108" s="322">
        <f>Application!AO631</f>
        <v>0</v>
      </c>
      <c r="O108" s="322">
        <f>Application!AO632</f>
        <v>0</v>
      </c>
      <c r="P108" s="322">
        <f>Application!AO633</f>
        <v>0</v>
      </c>
      <c r="Q108" s="322">
        <f>Application!AO634</f>
        <v>0</v>
      </c>
      <c r="R108" s="158"/>
      <c r="S108" s="158"/>
      <c r="T108" s="158"/>
      <c r="U108" s="200"/>
    </row>
    <row r="109" spans="1:21" ht="10.35"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5"/>
      <c r="B112" s="157"/>
      <c r="C112" s="157"/>
      <c r="D112" s="157"/>
    </row>
    <row r="113" spans="1:21" ht="12">
      <c r="A113" s="156" t="s">
        <v>1077</v>
      </c>
      <c r="B113" s="157"/>
      <c r="C113" s="157"/>
      <c r="D113" s="157"/>
    </row>
    <row r="114" spans="1:21" ht="12">
      <c r="A114" s="156" t="s">
        <v>2519</v>
      </c>
      <c r="B114" s="157"/>
      <c r="C114" s="157"/>
      <c r="D114" s="157"/>
    </row>
    <row r="115" spans="1:21" ht="12" customHeight="1">
      <c r="A115" s="335"/>
      <c r="B115" s="157"/>
      <c r="C115" s="157"/>
      <c r="D115" s="157"/>
    </row>
    <row r="116" spans="1:21" ht="12">
      <c r="A116" s="373" t="s">
        <v>1083</v>
      </c>
      <c r="B116" s="157"/>
      <c r="C116" s="157"/>
      <c r="D116" s="157"/>
    </row>
    <row r="117" spans="1:21" ht="12">
      <c r="A117" s="373" t="s">
        <v>1370</v>
      </c>
      <c r="B117" s="157"/>
      <c r="C117" s="157"/>
      <c r="D117" s="157"/>
    </row>
    <row r="118" spans="1:21" ht="12">
      <c r="A118" s="373" t="s">
        <v>1082</v>
      </c>
      <c r="B118" s="157"/>
      <c r="C118" s="157"/>
      <c r="D118" s="157"/>
    </row>
    <row r="119" spans="1:21" ht="12">
      <c r="A119" s="373" t="s">
        <v>1084</v>
      </c>
      <c r="B119" s="157"/>
      <c r="C119" s="157"/>
      <c r="D119" s="157"/>
    </row>
    <row r="120" spans="1:21" ht="12" customHeight="1">
      <c r="A120" s="372"/>
      <c r="B120" s="157"/>
      <c r="C120" s="157"/>
      <c r="D120" s="157"/>
    </row>
    <row r="121" spans="1:21" ht="15.6">
      <c r="A121" s="366" t="s">
        <v>1062</v>
      </c>
      <c r="B121" s="157"/>
      <c r="C121" s="157"/>
      <c r="D121" s="157"/>
    </row>
    <row r="122" spans="1:21">
      <c r="A122" s="353" t="s">
        <v>1046</v>
      </c>
      <c r="B122" s="352"/>
      <c r="C122" s="352"/>
      <c r="D122" s="1865" t="s">
        <v>1047</v>
      </c>
      <c r="E122" s="1865"/>
      <c r="F122" s="1865"/>
      <c r="G122" s="352"/>
      <c r="H122" s="352"/>
      <c r="I122" s="352"/>
      <c r="J122" s="352"/>
      <c r="K122" s="352"/>
      <c r="L122" s="352"/>
      <c r="M122" s="352"/>
      <c r="N122" s="352"/>
      <c r="O122" s="352"/>
      <c r="P122" s="352"/>
      <c r="Q122" s="352"/>
      <c r="R122" s="352"/>
      <c r="S122" s="352"/>
      <c r="T122" s="352"/>
      <c r="U122" s="354"/>
    </row>
    <row r="123" spans="1:21">
      <c r="A123" s="352" t="s">
        <v>1048</v>
      </c>
      <c r="B123" s="361"/>
      <c r="C123" s="352"/>
      <c r="D123" s="1867" t="s">
        <v>1371</v>
      </c>
      <c r="E123" s="1868"/>
      <c r="F123" s="1868"/>
      <c r="G123" s="1868"/>
      <c r="H123" s="1868"/>
      <c r="I123" s="1868"/>
      <c r="J123" s="1868"/>
      <c r="K123" s="1868"/>
      <c r="L123" s="1868"/>
      <c r="M123" s="1868"/>
      <c r="N123" s="1868"/>
      <c r="O123" s="1868"/>
      <c r="P123" s="1868"/>
      <c r="Q123" s="1868"/>
      <c r="R123" s="1868"/>
      <c r="S123" s="1868"/>
      <c r="T123" s="352"/>
      <c r="U123" s="354"/>
    </row>
    <row r="124" spans="1:21" ht="13.2">
      <c r="A124" s="117" t="s">
        <v>1049</v>
      </c>
      <c r="B124" s="361"/>
      <c r="C124" s="117"/>
      <c r="D124" s="1868"/>
      <c r="E124" s="1868"/>
      <c r="F124" s="1868"/>
      <c r="G124" s="1868"/>
      <c r="H124" s="1868"/>
      <c r="I124" s="1868"/>
      <c r="J124" s="1868"/>
      <c r="K124" s="1868"/>
      <c r="L124" s="1868"/>
      <c r="M124" s="1868"/>
      <c r="N124" s="1868"/>
      <c r="O124" s="1868"/>
      <c r="P124" s="1868"/>
      <c r="Q124" s="1868"/>
      <c r="R124" s="1868"/>
      <c r="S124" s="1868"/>
      <c r="T124" s="352"/>
      <c r="U124" s="354"/>
    </row>
    <row r="125" spans="1:21" ht="13.2">
      <c r="A125" s="117" t="s">
        <v>1050</v>
      </c>
      <c r="B125" s="361"/>
      <c r="C125" s="117"/>
      <c r="D125" s="1868"/>
      <c r="E125" s="1868"/>
      <c r="F125" s="1868"/>
      <c r="G125" s="1868"/>
      <c r="H125" s="1868"/>
      <c r="I125" s="1868"/>
      <c r="J125" s="1868"/>
      <c r="K125" s="1868"/>
      <c r="L125" s="1868"/>
      <c r="M125" s="1868"/>
      <c r="N125" s="1868"/>
      <c r="O125" s="1868"/>
      <c r="P125" s="1868"/>
      <c r="Q125" s="1868"/>
      <c r="R125" s="1868"/>
      <c r="S125" s="1868"/>
      <c r="T125" s="352"/>
      <c r="U125" s="354"/>
    </row>
    <row r="126" spans="1:21" ht="13.2">
      <c r="A126" s="117" t="s">
        <v>1051</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1052</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1053</v>
      </c>
      <c r="B128" s="361"/>
      <c r="C128" s="117"/>
      <c r="D128" s="1862"/>
      <c r="E128" s="1862"/>
      <c r="F128" s="1862"/>
      <c r="G128" s="1862"/>
      <c r="H128" s="1862"/>
      <c r="I128" s="117"/>
      <c r="J128" s="1863"/>
      <c r="K128" s="1863"/>
      <c r="L128" s="117"/>
      <c r="M128" s="117"/>
      <c r="N128" s="117"/>
      <c r="O128" s="117"/>
      <c r="P128" s="117"/>
      <c r="Q128" s="117"/>
      <c r="R128" s="117"/>
      <c r="S128" s="117"/>
      <c r="T128" s="352"/>
      <c r="U128" s="354"/>
    </row>
    <row r="129" spans="1:21" ht="13.2">
      <c r="A129" s="117" t="s">
        <v>302</v>
      </c>
      <c r="B129" s="361"/>
      <c r="C129" s="117"/>
      <c r="D129" s="1864" t="s">
        <v>1054</v>
      </c>
      <c r="E129" s="1864"/>
      <c r="F129" s="1864"/>
      <c r="G129" s="1864"/>
      <c r="H129" s="1864"/>
      <c r="I129" s="117"/>
      <c r="J129" s="117" t="s">
        <v>1055</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1056</v>
      </c>
      <c r="B131" s="362">
        <f>SUM(B123:B129)</f>
        <v>0</v>
      </c>
      <c r="C131" s="117"/>
      <c r="D131" s="1839"/>
      <c r="E131" s="1839"/>
      <c r="F131" s="1839"/>
      <c r="G131" s="1839"/>
      <c r="H131" s="1839"/>
      <c r="I131" s="117"/>
      <c r="J131" s="1839"/>
      <c r="K131" s="1839"/>
      <c r="L131" s="1839"/>
      <c r="M131" s="1839"/>
      <c r="N131" s="117"/>
      <c r="O131" s="117"/>
      <c r="P131" s="117"/>
      <c r="Q131" s="117"/>
      <c r="R131" s="117"/>
      <c r="S131" s="117"/>
      <c r="T131" s="352"/>
      <c r="U131" s="354"/>
    </row>
    <row r="132" spans="1:21" ht="12" customHeight="1">
      <c r="A132" s="364"/>
      <c r="B132" s="117"/>
      <c r="C132" s="117"/>
      <c r="D132" s="1869" t="s">
        <v>1057</v>
      </c>
      <c r="E132" s="1869"/>
      <c r="F132" s="1869"/>
      <c r="G132" s="1869"/>
      <c r="H132" s="1869"/>
      <c r="I132" s="117"/>
      <c r="J132" s="1869" t="s">
        <v>1058</v>
      </c>
      <c r="K132" s="1869"/>
      <c r="L132" s="1869"/>
      <c r="M132" s="186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5" t="s">
        <v>1060</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0"/>
      <c r="B138" s="1862"/>
      <c r="C138" s="1862"/>
      <c r="D138" s="356"/>
      <c r="E138" s="1863"/>
      <c r="F138" s="1863"/>
      <c r="G138" s="117"/>
      <c r="H138" s="117"/>
      <c r="I138" s="117"/>
      <c r="J138" s="117"/>
      <c r="K138" s="117"/>
      <c r="L138" s="117"/>
      <c r="M138" s="117"/>
      <c r="N138" s="117"/>
      <c r="O138" s="117"/>
      <c r="P138" s="117"/>
      <c r="Q138" s="117"/>
      <c r="R138" s="117"/>
      <c r="S138" s="117"/>
      <c r="T138" s="358"/>
      <c r="U138" s="359"/>
    </row>
    <row r="139" spans="1:21" ht="13.2">
      <c r="A139" s="1866" t="s">
        <v>1061</v>
      </c>
      <c r="B139" s="1866"/>
      <c r="C139" s="1866"/>
      <c r="D139" s="356"/>
      <c r="E139" s="117" t="s">
        <v>1055</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E107" sqref="E107"/>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3" t="s">
        <v>1374</v>
      </c>
      <c r="B1" s="1874"/>
      <c r="C1" s="1874"/>
      <c r="D1" s="1874"/>
      <c r="E1" s="1874"/>
      <c r="F1" s="1874"/>
      <c r="G1" s="1874"/>
      <c r="H1" s="1874"/>
      <c r="I1" s="1874"/>
      <c r="J1" s="1875"/>
      <c r="K1" s="386"/>
    </row>
    <row r="2" spans="1:11" s="432" customFormat="1" ht="72">
      <c r="A2" s="429"/>
      <c r="B2" s="430" t="s">
        <v>1088</v>
      </c>
      <c r="C2" s="430" t="s">
        <v>1376</v>
      </c>
      <c r="D2" s="430" t="s">
        <v>1377</v>
      </c>
      <c r="E2" s="430" t="s">
        <v>1299</v>
      </c>
      <c r="F2" s="430" t="s">
        <v>1378</v>
      </c>
      <c r="G2" s="430" t="s">
        <v>1379</v>
      </c>
      <c r="H2" s="430" t="s">
        <v>1089</v>
      </c>
      <c r="I2" s="430" t="s">
        <v>1380</v>
      </c>
      <c r="J2" s="430" t="s">
        <v>1381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13550000</v>
      </c>
      <c r="C4" s="393"/>
      <c r="D4" s="393"/>
      <c r="E4" s="394"/>
      <c r="F4" s="394"/>
      <c r="G4" s="394"/>
      <c r="H4" s="394"/>
      <c r="I4" s="394"/>
      <c r="J4" s="394"/>
      <c r="K4" s="390"/>
    </row>
    <row r="5" spans="1:11" s="391" customFormat="1" ht="11.4">
      <c r="A5" s="395" t="s">
        <v>28</v>
      </c>
      <c r="B5" s="392">
        <f>'Sources and Uses Budget'!C5</f>
        <v>354923</v>
      </c>
      <c r="C5" s="393"/>
      <c r="D5" s="393"/>
      <c r="E5" s="394"/>
      <c r="F5" s="394"/>
      <c r="G5" s="394"/>
      <c r="H5" s="394"/>
      <c r="I5" s="394"/>
      <c r="J5" s="394"/>
      <c r="K5" s="390"/>
    </row>
    <row r="6" spans="1:11" s="391" customFormat="1" ht="11.4">
      <c r="A6" s="395" t="s">
        <v>29</v>
      </c>
      <c r="B6" s="392">
        <f>'Sources and Uses Budget'!C6</f>
        <v>53000</v>
      </c>
      <c r="C6" s="393"/>
      <c r="D6" s="393"/>
      <c r="E6" s="394"/>
      <c r="F6" s="394"/>
      <c r="G6" s="394"/>
      <c r="H6" s="394"/>
      <c r="I6" s="394"/>
      <c r="J6" s="394"/>
      <c r="K6" s="390"/>
    </row>
    <row r="7" spans="1:11" s="391" customFormat="1" ht="11.4">
      <c r="A7" s="395" t="s">
        <v>98</v>
      </c>
      <c r="B7" s="392">
        <f>'Sources and Uses Budget'!C7</f>
        <v>0</v>
      </c>
      <c r="C7" s="393"/>
      <c r="D7" s="393"/>
      <c r="E7" s="394"/>
      <c r="F7" s="394"/>
      <c r="G7" s="394"/>
      <c r="H7" s="394"/>
      <c r="I7" s="394"/>
      <c r="J7" s="394"/>
      <c r="K7" s="390"/>
    </row>
    <row r="8" spans="1:11" s="391" customFormat="1">
      <c r="A8" s="396" t="s">
        <v>602</v>
      </c>
      <c r="B8" s="392">
        <f>'Sources and Uses Budget'!C8</f>
        <v>13957923</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1199372</v>
      </c>
      <c r="C10" s="393"/>
      <c r="D10" s="393"/>
      <c r="E10" s="392">
        <f>'Sources and Uses Budget'!S10</f>
        <v>1199372</v>
      </c>
      <c r="F10" s="393"/>
      <c r="G10" s="393"/>
      <c r="H10" s="392">
        <f>'Sources and Uses Budget'!T10</f>
        <v>0</v>
      </c>
      <c r="I10" s="393"/>
      <c r="J10" s="393"/>
      <c r="K10" s="390"/>
    </row>
    <row r="11" spans="1:11" s="391" customFormat="1">
      <c r="A11" s="396" t="s">
        <v>605</v>
      </c>
      <c r="B11" s="392">
        <f>'Sources and Uses Budget'!C11</f>
        <v>1199372</v>
      </c>
      <c r="C11" s="392">
        <f>SUM(C9:C10)</f>
        <v>0</v>
      </c>
      <c r="D11" s="392">
        <f>SUM(D9:D10)</f>
        <v>0</v>
      </c>
      <c r="E11" s="394"/>
      <c r="F11" s="394"/>
      <c r="G11" s="394"/>
      <c r="H11" s="392">
        <f>'Sources and Uses Budget'!T11</f>
        <v>0</v>
      </c>
      <c r="I11" s="392">
        <f>SUM(I9:I10)</f>
        <v>0</v>
      </c>
      <c r="J11" s="392">
        <f>SUM(J9:J10)</f>
        <v>0</v>
      </c>
      <c r="K11" s="390"/>
    </row>
    <row r="12" spans="1:11" s="391" customFormat="1">
      <c r="A12" s="396" t="s">
        <v>85</v>
      </c>
      <c r="B12" s="392">
        <f>'Sources and Uses Budget'!C12</f>
        <v>15157295</v>
      </c>
      <c r="C12" s="392">
        <f>SUM(C8+C11)</f>
        <v>0</v>
      </c>
      <c r="D12" s="392">
        <f>SUM(D8+D11)</f>
        <v>0</v>
      </c>
      <c r="E12" s="394"/>
      <c r="F12" s="394"/>
      <c r="G12" s="394"/>
      <c r="H12" s="394"/>
      <c r="I12" s="394"/>
      <c r="J12" s="394"/>
      <c r="K12" s="390"/>
    </row>
    <row r="13" spans="1:11" s="391" customFormat="1" ht="11.4">
      <c r="A13" s="397" t="s">
        <v>935</v>
      </c>
      <c r="B13" s="392">
        <f>'Sources and Uses Budget'!C13</f>
        <v>876450</v>
      </c>
      <c r="C13" s="393"/>
      <c r="D13" s="393"/>
      <c r="E13" s="392">
        <f>'Sources and Uses Budget'!S13</f>
        <v>421250</v>
      </c>
      <c r="F13" s="393"/>
      <c r="G13" s="393"/>
      <c r="H13" s="392">
        <f>'Sources and Uses Budget'!T13</f>
        <v>0</v>
      </c>
      <c r="I13" s="393"/>
      <c r="J13" s="393"/>
      <c r="K13" s="390"/>
    </row>
    <row r="14" spans="1:11" s="391" customFormat="1" ht="22.8">
      <c r="A14" s="395" t="s">
        <v>936</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1303</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138</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139</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140</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141</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1820</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142</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143</v>
      </c>
      <c r="B28" s="389"/>
      <c r="C28" s="389"/>
      <c r="D28" s="389"/>
      <c r="E28" s="389"/>
      <c r="F28" s="389"/>
      <c r="G28" s="389"/>
      <c r="H28" s="389"/>
      <c r="I28" s="389"/>
      <c r="J28" s="389"/>
      <c r="K28" s="390"/>
    </row>
    <row r="29" spans="1:11" s="391" customFormat="1" ht="11.4">
      <c r="A29" s="145" t="s">
        <v>607</v>
      </c>
      <c r="B29" s="392">
        <f>'Sources and Uses Budget'!C29</f>
        <v>669680</v>
      </c>
      <c r="C29" s="393"/>
      <c r="D29" s="393"/>
      <c r="E29" s="392">
        <f>'Sources and Uses Budget'!S29</f>
        <v>669680</v>
      </c>
      <c r="F29" s="393"/>
      <c r="G29" s="393"/>
      <c r="H29" s="392">
        <f>'Sources and Uses Budget'!T29</f>
        <v>0</v>
      </c>
      <c r="I29" s="393"/>
      <c r="J29" s="393"/>
      <c r="K29" s="390"/>
    </row>
    <row r="30" spans="1:11" s="391" customFormat="1" ht="11.4">
      <c r="A30" s="145" t="s">
        <v>608</v>
      </c>
      <c r="B30" s="392">
        <f>'Sources and Uses Budget'!C30</f>
        <v>87518793</v>
      </c>
      <c r="C30" s="393"/>
      <c r="D30" s="393"/>
      <c r="E30" s="392">
        <f>'Sources and Uses Budget'!S30</f>
        <v>87518793</v>
      </c>
      <c r="F30" s="393"/>
      <c r="G30" s="393"/>
      <c r="H30" s="392">
        <f>'Sources and Uses Budget'!T30</f>
        <v>0</v>
      </c>
      <c r="I30" s="393"/>
      <c r="J30" s="393"/>
      <c r="K30" s="390"/>
    </row>
    <row r="31" spans="1:11" s="391" customFormat="1" ht="11.4">
      <c r="A31" s="145" t="s">
        <v>609</v>
      </c>
      <c r="B31" s="392">
        <f>'Sources and Uses Budget'!C31</f>
        <v>2980750</v>
      </c>
      <c r="C31" s="393"/>
      <c r="D31" s="393"/>
      <c r="E31" s="392">
        <f>'Sources and Uses Budget'!S31</f>
        <v>2980750</v>
      </c>
      <c r="F31" s="393"/>
      <c r="G31" s="393"/>
      <c r="H31" s="392">
        <f>'Sources and Uses Budget'!T31</f>
        <v>0</v>
      </c>
      <c r="I31" s="393"/>
      <c r="J31" s="393"/>
      <c r="K31" s="390"/>
    </row>
    <row r="32" spans="1:11" s="391" customFormat="1" ht="11.4">
      <c r="A32" s="145" t="s">
        <v>138</v>
      </c>
      <c r="B32" s="392">
        <f>'Sources and Uses Budget'!C32</f>
        <v>1372354</v>
      </c>
      <c r="C32" s="393"/>
      <c r="D32" s="393"/>
      <c r="E32" s="392">
        <f>'Sources and Uses Budget'!S32</f>
        <v>1372354</v>
      </c>
      <c r="F32" s="393"/>
      <c r="G32" s="393"/>
      <c r="H32" s="392">
        <f>'Sources and Uses Budget'!T32</f>
        <v>0</v>
      </c>
      <c r="I32" s="393"/>
      <c r="J32" s="393"/>
      <c r="K32" s="390"/>
    </row>
    <row r="33" spans="1:11" s="391" customFormat="1" ht="11.4">
      <c r="A33" s="145" t="s">
        <v>139</v>
      </c>
      <c r="B33" s="392">
        <f>'Sources and Uses Budget'!C33</f>
        <v>1372354</v>
      </c>
      <c r="C33" s="393"/>
      <c r="D33" s="393"/>
      <c r="E33" s="392">
        <f>'Sources and Uses Budget'!S33</f>
        <v>1372354</v>
      </c>
      <c r="F33" s="393"/>
      <c r="G33" s="393"/>
      <c r="H33" s="392">
        <f>'Sources and Uses Budget'!T33</f>
        <v>0</v>
      </c>
      <c r="I33" s="393"/>
      <c r="J33" s="393"/>
      <c r="K33" s="390"/>
    </row>
    <row r="34" spans="1:11" s="391" customFormat="1" ht="11.4">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141</v>
      </c>
      <c r="B35" s="392">
        <f>'Sources and Uses Budget'!C35</f>
        <v>2823327</v>
      </c>
      <c r="C35" s="393"/>
      <c r="D35" s="393"/>
      <c r="E35" s="392">
        <f>'Sources and Uses Budget'!S35</f>
        <v>2823327</v>
      </c>
      <c r="F35" s="393"/>
      <c r="G35" s="393"/>
      <c r="H35" s="392">
        <f>'Sources and Uses Budget'!T35</f>
        <v>0</v>
      </c>
      <c r="I35" s="393"/>
      <c r="J35" s="393"/>
      <c r="K35" s="390"/>
    </row>
    <row r="36" spans="1:11" s="391" customFormat="1" ht="11.4">
      <c r="A36" s="542" t="s">
        <v>1820</v>
      </c>
      <c r="B36" s="392">
        <f>'Sources and Uses Budget'!C36</f>
        <v>220425</v>
      </c>
      <c r="C36" s="393"/>
      <c r="D36" s="393"/>
      <c r="E36" s="392">
        <f>'Sources and Uses Budget'!S36</f>
        <v>220425</v>
      </c>
      <c r="F36" s="393"/>
      <c r="G36" s="393"/>
      <c r="H36" s="392">
        <f>'Sources and Uses Budget'!T36</f>
        <v>0</v>
      </c>
      <c r="I36" s="393"/>
      <c r="J36" s="393"/>
      <c r="K36" s="390"/>
    </row>
    <row r="37" spans="1:11" s="391" customFormat="1" ht="11.4">
      <c r="A37" s="395" t="str">
        <f>'Sources and Uses Budget'!$A37</f>
        <v>Other: (PhotoVoltaic System)</v>
      </c>
      <c r="B37" s="392">
        <f>'Sources and Uses Budget'!C37</f>
        <v>624349</v>
      </c>
      <c r="C37" s="393"/>
      <c r="D37" s="393"/>
      <c r="E37" s="392">
        <f>'Sources and Uses Budget'!S37</f>
        <v>624349</v>
      </c>
      <c r="F37" s="393"/>
      <c r="G37" s="393"/>
      <c r="H37" s="392">
        <f>'Sources and Uses Budget'!T37</f>
        <v>0</v>
      </c>
      <c r="I37" s="393"/>
      <c r="J37" s="393"/>
      <c r="K37" s="390"/>
    </row>
    <row r="38" spans="1:11" s="391" customFormat="1">
      <c r="A38" s="396" t="s">
        <v>144</v>
      </c>
      <c r="B38" s="392">
        <f>'Sources and Uses Budget'!C38</f>
        <v>97582032</v>
      </c>
      <c r="C38" s="392">
        <f>SUM(C29:C37)</f>
        <v>0</v>
      </c>
      <c r="D38" s="392">
        <f>SUM(D29:D37)</f>
        <v>0</v>
      </c>
      <c r="E38" s="392">
        <f>'Sources and Uses Budget'!S38</f>
        <v>97582032</v>
      </c>
      <c r="F38" s="398">
        <f>SUM(F29:F37)</f>
        <v>0</v>
      </c>
      <c r="G38" s="398">
        <f>SUM(G29:G37)</f>
        <v>0</v>
      </c>
      <c r="H38" s="392">
        <f>'Sources and Uses Budget'!T38</f>
        <v>0</v>
      </c>
      <c r="I38" s="398">
        <f>SUM(I29:I37)</f>
        <v>0</v>
      </c>
      <c r="J38" s="398">
        <f>SUM(J29:J37)</f>
        <v>0</v>
      </c>
      <c r="K38" s="390"/>
    </row>
    <row r="39" spans="1:11" s="391" customFormat="1" ht="11.4">
      <c r="A39" s="388" t="s">
        <v>145</v>
      </c>
      <c r="B39" s="389"/>
      <c r="C39" s="389"/>
      <c r="D39" s="389"/>
      <c r="E39" s="389"/>
      <c r="F39" s="389"/>
      <c r="G39" s="389"/>
      <c r="H39" s="389"/>
      <c r="I39" s="389"/>
      <c r="J39" s="389"/>
      <c r="K39" s="390"/>
    </row>
    <row r="40" spans="1:11" s="391" customFormat="1" ht="11.4">
      <c r="A40" s="395" t="s">
        <v>146</v>
      </c>
      <c r="B40" s="392">
        <f>'Sources and Uses Budget'!C40</f>
        <v>1493545</v>
      </c>
      <c r="C40" s="393"/>
      <c r="D40" s="393"/>
      <c r="E40" s="392">
        <f>'Sources and Uses Budget'!S40</f>
        <v>1493545</v>
      </c>
      <c r="F40" s="393"/>
      <c r="G40" s="393"/>
      <c r="H40" s="392">
        <f>'Sources and Uses Budget'!T40</f>
        <v>0</v>
      </c>
      <c r="I40" s="393"/>
      <c r="J40" s="393"/>
      <c r="K40" s="390"/>
    </row>
    <row r="41" spans="1:11" s="391" customFormat="1" ht="11.4">
      <c r="A41" s="395" t="s">
        <v>147</v>
      </c>
      <c r="B41" s="392">
        <f>'Sources and Uses Budget'!C41</f>
        <v>491899</v>
      </c>
      <c r="C41" s="393"/>
      <c r="D41" s="393"/>
      <c r="E41" s="392">
        <f>'Sources and Uses Budget'!S41</f>
        <v>491899</v>
      </c>
      <c r="F41" s="393"/>
      <c r="G41" s="393"/>
      <c r="H41" s="392">
        <f>'Sources and Uses Budget'!T41</f>
        <v>0</v>
      </c>
      <c r="I41" s="393"/>
      <c r="J41" s="393"/>
      <c r="K41" s="390"/>
    </row>
    <row r="42" spans="1:11" s="391" customFormat="1">
      <c r="A42" s="396" t="s">
        <v>148</v>
      </c>
      <c r="B42" s="392">
        <f>'Sources and Uses Budget'!C42</f>
        <v>1985444</v>
      </c>
      <c r="C42" s="392">
        <f>SUM(C39:C41)</f>
        <v>0</v>
      </c>
      <c r="D42" s="392">
        <f>SUM(D39:D41)</f>
        <v>0</v>
      </c>
      <c r="E42" s="392">
        <f>'Sources and Uses Budget'!S42</f>
        <v>1985444</v>
      </c>
      <c r="F42" s="398">
        <f>SUM(F40:F41)</f>
        <v>0</v>
      </c>
      <c r="G42" s="398">
        <f>SUM(G40:G41)</f>
        <v>0</v>
      </c>
      <c r="H42" s="392">
        <f>'Sources and Uses Budget'!T42</f>
        <v>0</v>
      </c>
      <c r="I42" s="398">
        <f>SUM(I40:I41)</f>
        <v>0</v>
      </c>
      <c r="J42" s="398">
        <f>SUM(J40:J41)</f>
        <v>0</v>
      </c>
      <c r="K42" s="390"/>
    </row>
    <row r="43" spans="1:11" s="391" customFormat="1">
      <c r="A43" s="396" t="s">
        <v>149</v>
      </c>
      <c r="B43" s="392">
        <f>'Sources and Uses Budget'!C43</f>
        <v>1281387</v>
      </c>
      <c r="C43" s="393"/>
      <c r="D43" s="393"/>
      <c r="E43" s="392">
        <f>'Sources and Uses Budget'!S43</f>
        <v>1281387</v>
      </c>
      <c r="F43" s="393"/>
      <c r="G43" s="393"/>
      <c r="H43" s="392">
        <f>'Sources and Uses Budget'!T43</f>
        <v>0</v>
      </c>
      <c r="I43" s="393"/>
      <c r="J43" s="393"/>
      <c r="K43" s="390"/>
    </row>
    <row r="44" spans="1:11" s="391" customFormat="1" ht="11.4">
      <c r="A44" s="388" t="s">
        <v>150</v>
      </c>
      <c r="B44" s="389"/>
      <c r="C44" s="389"/>
      <c r="D44" s="389"/>
      <c r="E44" s="389"/>
      <c r="F44" s="389"/>
      <c r="G44" s="389"/>
      <c r="H44" s="389"/>
      <c r="I44" s="389"/>
      <c r="J44" s="389"/>
      <c r="K44" s="390"/>
    </row>
    <row r="45" spans="1:11" s="391" customFormat="1" ht="11.4">
      <c r="A45" s="395" t="s">
        <v>151</v>
      </c>
      <c r="B45" s="392">
        <f>'Sources and Uses Budget'!C45</f>
        <v>13352733</v>
      </c>
      <c r="C45" s="393"/>
      <c r="D45" s="393"/>
      <c r="E45" s="392">
        <f>'Sources and Uses Budget'!S45</f>
        <v>7369312</v>
      </c>
      <c r="F45" s="393"/>
      <c r="G45" s="393"/>
      <c r="H45" s="392">
        <f>'Sources and Uses Budget'!T45</f>
        <v>0</v>
      </c>
      <c r="I45" s="393"/>
      <c r="J45" s="393"/>
      <c r="K45" s="390"/>
    </row>
    <row r="46" spans="1:11" s="391" customFormat="1" ht="11.4">
      <c r="A46" s="395" t="s">
        <v>152</v>
      </c>
      <c r="B46" s="392">
        <f>'Sources and Uses Budget'!C46</f>
        <v>498458</v>
      </c>
      <c r="C46" s="393"/>
      <c r="D46" s="393"/>
      <c r="E46" s="392">
        <f>'Sources and Uses Budget'!S46</f>
        <v>266617</v>
      </c>
      <c r="F46" s="393"/>
      <c r="G46" s="393"/>
      <c r="H46" s="392">
        <f>'Sources and Uses Budget'!T46</f>
        <v>0</v>
      </c>
      <c r="I46" s="393"/>
      <c r="J46" s="393"/>
      <c r="K46" s="390"/>
    </row>
    <row r="47" spans="1:11" s="391" customFormat="1" ht="12" customHeight="1">
      <c r="A47" s="395" t="s">
        <v>153</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154</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3" t="s">
        <v>57</v>
      </c>
      <c r="B49" s="392">
        <f>'Sources and Uses Budget'!C49</f>
        <v>323954</v>
      </c>
      <c r="C49" s="393"/>
      <c r="D49" s="393"/>
      <c r="E49" s="392">
        <f>'Sources and Uses Budget'!S49</f>
        <v>0</v>
      </c>
      <c r="F49" s="393"/>
      <c r="G49" s="393"/>
      <c r="H49" s="392">
        <f>'Sources and Uses Budget'!T49</f>
        <v>0</v>
      </c>
      <c r="I49" s="393"/>
      <c r="J49" s="393"/>
      <c r="K49" s="390"/>
    </row>
    <row r="50" spans="1:11" s="391" customFormat="1" ht="11.4">
      <c r="A50" s="395" t="s">
        <v>157</v>
      </c>
      <c r="B50" s="392">
        <f>'Sources and Uses Budget'!C50</f>
        <v>110000</v>
      </c>
      <c r="C50" s="393"/>
      <c r="D50" s="393"/>
      <c r="E50" s="392">
        <f>'Sources and Uses Budget'!S50</f>
        <v>110000</v>
      </c>
      <c r="F50" s="393"/>
      <c r="G50" s="393"/>
      <c r="H50" s="392">
        <f>'Sources and Uses Budget'!T50</f>
        <v>0</v>
      </c>
      <c r="I50" s="393"/>
      <c r="J50" s="393"/>
      <c r="K50" s="390"/>
    </row>
    <row r="51" spans="1:11" s="391" customFormat="1" ht="11.4">
      <c r="A51" s="395" t="s">
        <v>155</v>
      </c>
      <c r="B51" s="392">
        <f>'Sources and Uses Budget'!C51</f>
        <v>30000</v>
      </c>
      <c r="C51" s="393"/>
      <c r="D51" s="393"/>
      <c r="E51" s="392">
        <f>'Sources and Uses Budget'!S51</f>
        <v>0</v>
      </c>
      <c r="F51" s="393"/>
      <c r="G51" s="393"/>
      <c r="H51" s="392">
        <f>'Sources and Uses Budget'!T51</f>
        <v>0</v>
      </c>
      <c r="I51" s="393"/>
      <c r="J51" s="393"/>
      <c r="K51" s="390"/>
    </row>
    <row r="52" spans="1:11" s="391" customFormat="1" ht="11.4">
      <c r="A52" s="395" t="s">
        <v>156</v>
      </c>
      <c r="B52" s="392">
        <f>'Sources and Uses Budget'!C52</f>
        <v>800000</v>
      </c>
      <c r="C52" s="393"/>
      <c r="D52" s="393"/>
      <c r="E52" s="392">
        <f>'Sources and Uses Budget'!S52</f>
        <v>800000</v>
      </c>
      <c r="F52" s="393"/>
      <c r="G52" s="393"/>
      <c r="H52" s="392">
        <f>'Sources and Uses Budget'!T52</f>
        <v>0</v>
      </c>
      <c r="I52" s="393"/>
      <c r="J52" s="393"/>
      <c r="K52" s="390"/>
    </row>
    <row r="53" spans="1:11" s="391" customFormat="1" ht="11.4">
      <c r="A53" s="395" t="str">
        <f>'Sources and Uses Budget'!$A53</f>
        <v>Other: Lender Expenses</v>
      </c>
      <c r="B53" s="392">
        <f>'Sources and Uses Budget'!C53</f>
        <v>50000</v>
      </c>
      <c r="C53" s="393"/>
      <c r="D53" s="393"/>
      <c r="E53" s="392">
        <f>'Sources and Uses Budget'!S53</f>
        <v>26744</v>
      </c>
      <c r="F53" s="393"/>
      <c r="G53" s="393"/>
      <c r="H53" s="392">
        <f>'Sources and Uses Budget'!T53</f>
        <v>0</v>
      </c>
      <c r="I53" s="393"/>
      <c r="J53" s="393"/>
      <c r="K53" s="390"/>
    </row>
    <row r="54" spans="1:11" s="400" customFormat="1">
      <c r="A54" s="396" t="s">
        <v>158</v>
      </c>
      <c r="B54" s="392">
        <f>'Sources and Uses Budget'!C54</f>
        <v>15165145</v>
      </c>
      <c r="C54" s="398">
        <f>SUM(C45:C53)</f>
        <v>0</v>
      </c>
      <c r="D54" s="398">
        <f>SUM(D45:D53)</f>
        <v>0</v>
      </c>
      <c r="E54" s="392">
        <f>'Sources and Uses Budget'!S54</f>
        <v>8572673</v>
      </c>
      <c r="F54" s="398">
        <f>SUM(F45:F53)</f>
        <v>0</v>
      </c>
      <c r="G54" s="398">
        <f>SUM(G45:G53)</f>
        <v>0</v>
      </c>
      <c r="H54" s="392">
        <f>'Sources and Uses Budget'!T54</f>
        <v>0</v>
      </c>
      <c r="I54" s="398">
        <f>SUM(I45:I53)</f>
        <v>0</v>
      </c>
      <c r="J54" s="398">
        <f>SUM(J45:J53)</f>
        <v>0</v>
      </c>
      <c r="K54" s="399"/>
    </row>
    <row r="55" spans="1:11" s="391" customFormat="1" ht="11.4">
      <c r="A55" s="388" t="s">
        <v>420</v>
      </c>
      <c r="B55" s="389"/>
      <c r="C55" s="389"/>
      <c r="D55" s="389"/>
      <c r="E55" s="389"/>
      <c r="F55" s="389"/>
      <c r="G55" s="389"/>
      <c r="H55" s="389"/>
      <c r="I55" s="389"/>
      <c r="J55" s="389"/>
      <c r="K55" s="390"/>
    </row>
    <row r="56" spans="1:11" s="391" customFormat="1" ht="11.4">
      <c r="A56" s="395" t="s">
        <v>159</v>
      </c>
      <c r="B56" s="392">
        <f>'Sources and Uses Budget'!C56</f>
        <v>256590</v>
      </c>
      <c r="C56" s="393"/>
      <c r="D56" s="393"/>
      <c r="E56" s="394"/>
      <c r="F56" s="394"/>
      <c r="G56" s="394"/>
      <c r="H56" s="394"/>
      <c r="I56" s="394"/>
      <c r="J56" s="394"/>
      <c r="K56" s="390"/>
    </row>
    <row r="57" spans="1:11" s="391" customFormat="1" ht="12" customHeight="1">
      <c r="A57" s="395" t="s">
        <v>153</v>
      </c>
      <c r="B57" s="392">
        <f>'Sources and Uses Budget'!C57</f>
        <v>0</v>
      </c>
      <c r="C57" s="393"/>
      <c r="D57" s="393"/>
      <c r="E57" s="394"/>
      <c r="F57" s="394"/>
      <c r="G57" s="394"/>
      <c r="H57" s="394"/>
      <c r="I57" s="394"/>
      <c r="J57" s="394"/>
      <c r="K57" s="390"/>
    </row>
    <row r="58" spans="1:11" s="391" customFormat="1" ht="11.4">
      <c r="A58" s="395" t="s">
        <v>157</v>
      </c>
      <c r="B58" s="392">
        <f>'Sources and Uses Budget'!C58</f>
        <v>40000</v>
      </c>
      <c r="C58" s="393"/>
      <c r="D58" s="393"/>
      <c r="E58" s="394"/>
      <c r="F58" s="394"/>
      <c r="G58" s="394"/>
      <c r="H58" s="394"/>
      <c r="I58" s="394"/>
      <c r="J58" s="394"/>
      <c r="K58" s="390"/>
    </row>
    <row r="59" spans="1:11" s="391" customFormat="1" ht="11.4">
      <c r="A59" s="395" t="s">
        <v>155</v>
      </c>
      <c r="B59" s="392">
        <f>'Sources and Uses Budget'!C59</f>
        <v>0</v>
      </c>
      <c r="C59" s="393"/>
      <c r="D59" s="393"/>
      <c r="E59" s="394"/>
      <c r="F59" s="394"/>
      <c r="G59" s="394"/>
      <c r="H59" s="394"/>
      <c r="I59" s="394"/>
      <c r="J59" s="394"/>
      <c r="K59" s="390"/>
    </row>
    <row r="60" spans="1:11" s="391" customFormat="1" ht="11.4">
      <c r="A60" s="395" t="s">
        <v>156</v>
      </c>
      <c r="B60" s="392">
        <f>'Sources and Uses Budget'!C60</f>
        <v>0</v>
      </c>
      <c r="C60" s="393"/>
      <c r="D60" s="393"/>
      <c r="E60" s="394"/>
      <c r="F60" s="394"/>
      <c r="G60" s="394"/>
      <c r="H60" s="394"/>
      <c r="I60" s="394"/>
      <c r="J60" s="394"/>
      <c r="K60" s="390"/>
    </row>
    <row r="61" spans="1:11" s="391" customFormat="1" ht="11.4">
      <c r="A61" s="395" t="str">
        <f>'Sources and Uses Budget'!$A61</f>
        <v>Other: Lender Expenses</v>
      </c>
      <c r="B61" s="392">
        <f>'Sources and Uses Budget'!C61</f>
        <v>10000</v>
      </c>
      <c r="C61" s="393"/>
      <c r="D61" s="393"/>
      <c r="E61" s="394"/>
      <c r="F61" s="394"/>
      <c r="G61" s="394"/>
      <c r="H61" s="394"/>
      <c r="I61" s="394"/>
      <c r="J61" s="394"/>
      <c r="K61" s="390"/>
    </row>
    <row r="62" spans="1:11" s="391" customFormat="1" ht="13.65" customHeight="1">
      <c r="A62" s="396" t="s">
        <v>303</v>
      </c>
      <c r="B62" s="392">
        <f>'Sources and Uses Budget'!C62</f>
        <v>306590</v>
      </c>
      <c r="C62" s="392">
        <f>SUM(C56:C61)</f>
        <v>0</v>
      </c>
      <c r="D62" s="392">
        <f>SUM(D56:D61)</f>
        <v>0</v>
      </c>
      <c r="E62" s="394"/>
      <c r="F62" s="394"/>
      <c r="G62" s="394"/>
      <c r="H62" s="394"/>
      <c r="I62" s="394"/>
      <c r="J62" s="394"/>
      <c r="K62" s="390"/>
    </row>
    <row r="63" spans="1:11" s="391" customFormat="1" ht="11.4">
      <c r="A63" s="401" t="s">
        <v>304</v>
      </c>
      <c r="B63" s="392">
        <f>'Sources and Uses Budget'!C63</f>
        <v>132354343</v>
      </c>
      <c r="C63" s="392">
        <f>SUM(C8+C11+C13+C14+C15+C26+C27+C38+C42+C43+C54+C62)</f>
        <v>0</v>
      </c>
      <c r="D63" s="392">
        <f>SUM(D8+D11+D13+D14+D15+D26+D27+D38+D42+D43+D54+D62)</f>
        <v>0</v>
      </c>
      <c r="E63" s="392">
        <f>'Sources and Uses Budget'!S63</f>
        <v>111042158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1824</v>
      </c>
      <c r="B64" s="389"/>
      <c r="C64" s="389"/>
      <c r="D64" s="389"/>
      <c r="E64" s="389"/>
      <c r="F64" s="389"/>
      <c r="G64" s="389"/>
      <c r="H64" s="389"/>
      <c r="I64" s="389"/>
      <c r="J64" s="389"/>
      <c r="K64" s="390"/>
    </row>
    <row r="65" spans="1:11" s="391" customFormat="1" ht="11.4">
      <c r="A65" s="145" t="s">
        <v>172</v>
      </c>
      <c r="B65" s="392">
        <f>'Sources and Uses Budget'!C65</f>
        <v>105000</v>
      </c>
      <c r="C65" s="393"/>
      <c r="D65" s="393"/>
      <c r="E65" s="392">
        <f>'Sources and Uses Budget'!S65</f>
        <v>48140</v>
      </c>
      <c r="F65" s="393"/>
      <c r="G65" s="393"/>
      <c r="H65" s="392">
        <f>'Sources and Uses Budget'!T65</f>
        <v>0</v>
      </c>
      <c r="I65" s="393"/>
      <c r="J65" s="393"/>
      <c r="K65" s="390"/>
    </row>
    <row r="66" spans="1:11" s="391" customFormat="1" ht="22.8">
      <c r="A66" s="303" t="s">
        <v>1821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3" t="s">
        <v>1822</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3" t="s">
        <v>1828</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Borrower Legal</v>
      </c>
      <c r="B69" s="392">
        <f>'Sources and Uses Budget'!C69</f>
        <v>160000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265000</v>
      </c>
      <c r="C70" s="392">
        <f>SUM(C64:C69)</f>
        <v>0</v>
      </c>
      <c r="D70" s="392">
        <f>SUM(D64:D69)</f>
        <v>0</v>
      </c>
      <c r="E70" s="392">
        <f>'Sources and Uses Budget'!S70</f>
        <v>128140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1040</v>
      </c>
      <c r="B74" s="392">
        <f>'Sources and Uses Budget'!C74</f>
        <v>0</v>
      </c>
      <c r="C74" s="393"/>
      <c r="D74" s="393"/>
      <c r="E74" s="394"/>
      <c r="F74" s="394"/>
      <c r="G74" s="394"/>
      <c r="H74" s="394"/>
      <c r="I74" s="394"/>
      <c r="J74" s="394"/>
      <c r="K74" s="390"/>
    </row>
    <row r="75" spans="1:11" s="391" customFormat="1" ht="11.4">
      <c r="A75" s="395" t="s">
        <v>614</v>
      </c>
      <c r="B75" s="392">
        <f>'Sources and Uses Budget'!C75</f>
        <v>981470</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981470</v>
      </c>
      <c r="C77" s="392">
        <f>SUM(C72:C76)</f>
        <v>0</v>
      </c>
      <c r="D77" s="392">
        <f>SUM(D72:D76)</f>
        <v>0</v>
      </c>
      <c r="E77" s="394"/>
      <c r="F77" s="394"/>
      <c r="G77" s="394"/>
      <c r="H77" s="394"/>
      <c r="I77" s="394"/>
      <c r="J77" s="394"/>
      <c r="K77" s="390"/>
    </row>
    <row r="78" spans="1:11" s="391" customFormat="1" ht="11.4">
      <c r="A78" s="388" t="s">
        <v>1353</v>
      </c>
      <c r="B78" s="389"/>
      <c r="C78" s="389"/>
      <c r="D78" s="389"/>
      <c r="E78" s="389"/>
      <c r="F78" s="389"/>
      <c r="G78" s="389"/>
      <c r="H78" s="389"/>
      <c r="I78" s="389"/>
      <c r="J78" s="389"/>
      <c r="K78" s="390"/>
    </row>
    <row r="79" spans="1:11" s="391" customFormat="1" ht="11.4">
      <c r="A79" s="395" t="s">
        <v>1355</v>
      </c>
      <c r="B79" s="392">
        <f>'Sources and Uses Budget'!C79</f>
        <v>4945795</v>
      </c>
      <c r="C79" s="393"/>
      <c r="D79" s="393"/>
      <c r="E79" s="392">
        <f>'Sources and Uses Budget'!S79</f>
        <v>4945795</v>
      </c>
      <c r="F79" s="393"/>
      <c r="G79" s="393"/>
      <c r="H79" s="392">
        <f>'Sources and Uses Budget'!T79</f>
        <v>0</v>
      </c>
      <c r="I79" s="393"/>
      <c r="J79" s="393"/>
      <c r="K79" s="390"/>
    </row>
    <row r="80" spans="1:11" s="391" customFormat="1" ht="11.4">
      <c r="A80" s="395" t="s">
        <v>58</v>
      </c>
      <c r="B80" s="392">
        <f>'Sources and Uses Budget'!C80</f>
        <v>1017173</v>
      </c>
      <c r="C80" s="393"/>
      <c r="D80" s="393"/>
      <c r="E80" s="392">
        <f>'Sources and Uses Budget'!S80</f>
        <v>1017173</v>
      </c>
      <c r="F80" s="393"/>
      <c r="G80" s="393"/>
      <c r="H80" s="392">
        <f>'Sources and Uses Budget'!T80</f>
        <v>0</v>
      </c>
      <c r="I80" s="393"/>
      <c r="J80" s="393"/>
      <c r="K80" s="390"/>
    </row>
    <row r="81" spans="1:11" s="391" customFormat="1">
      <c r="A81" s="396" t="s">
        <v>1352</v>
      </c>
      <c r="B81" s="392">
        <f>'Sources and Uses Budget'!C81</f>
        <v>5962968</v>
      </c>
      <c r="C81" s="392">
        <f>SUM(C79:C80)</f>
        <v>0</v>
      </c>
      <c r="D81" s="392">
        <f>SUM(D79:D80)</f>
        <v>0</v>
      </c>
      <c r="E81" s="392">
        <f>'Sources and Uses Budget'!S81</f>
        <v>5962968</v>
      </c>
      <c r="F81" s="392">
        <f>SUM(F79:F80)</f>
        <v>0</v>
      </c>
      <c r="G81" s="392">
        <f>SUM(G79:G80)</f>
        <v>0</v>
      </c>
      <c r="H81" s="392">
        <f>'Sources and Uses Budget'!T81</f>
        <v>0</v>
      </c>
      <c r="I81" s="392">
        <f>SUM(I79:I80)</f>
        <v>0</v>
      </c>
      <c r="J81" s="392">
        <f>SUM(J79:J80)</f>
        <v>0</v>
      </c>
      <c r="K81" s="390"/>
    </row>
    <row r="82" spans="1:11" s="391" customFormat="1" ht="11.4">
      <c r="A82" s="388" t="s">
        <v>789</v>
      </c>
      <c r="B82" s="389"/>
      <c r="C82" s="389"/>
      <c r="D82" s="389"/>
      <c r="E82" s="389"/>
      <c r="F82" s="389"/>
      <c r="G82" s="389"/>
      <c r="H82" s="389"/>
      <c r="I82" s="389"/>
      <c r="J82" s="389"/>
      <c r="K82" s="390"/>
    </row>
    <row r="83" spans="1:11" s="391" customFormat="1" ht="13.65" customHeight="1">
      <c r="A83" s="145" t="s">
        <v>2518</v>
      </c>
      <c r="B83" s="392">
        <f>'Sources and Uses Budget'!C83</f>
        <v>146569</v>
      </c>
      <c r="C83" s="393"/>
      <c r="D83" s="393"/>
      <c r="E83" s="394"/>
      <c r="F83" s="394"/>
      <c r="G83" s="394"/>
      <c r="H83" s="394"/>
      <c r="I83" s="394"/>
      <c r="J83" s="394"/>
      <c r="K83" s="390"/>
    </row>
    <row r="84" spans="1:11" s="391" customFormat="1" ht="11.4">
      <c r="A84" s="145" t="s">
        <v>791</v>
      </c>
      <c r="B84" s="392">
        <f>'Sources and Uses Budget'!C84</f>
        <v>78000</v>
      </c>
      <c r="C84" s="393"/>
      <c r="D84" s="393"/>
      <c r="E84" s="392">
        <f>'Sources and Uses Budget'!S84</f>
        <v>78000</v>
      </c>
      <c r="F84" s="393"/>
      <c r="G84" s="393"/>
      <c r="H84" s="392">
        <f>'Sources and Uses Budget'!T84</f>
        <v>0</v>
      </c>
      <c r="I84" s="393"/>
      <c r="J84" s="393"/>
      <c r="K84" s="390"/>
    </row>
    <row r="85" spans="1:11" s="391" customFormat="1" ht="11.4">
      <c r="A85" s="145" t="s">
        <v>792</v>
      </c>
      <c r="B85" s="392">
        <f>'Sources and Uses Budget'!C85</f>
        <v>1416373</v>
      </c>
      <c r="C85" s="393"/>
      <c r="D85" s="393"/>
      <c r="E85" s="392">
        <f>'Sources and Uses Budget'!S85</f>
        <v>1416373</v>
      </c>
      <c r="F85" s="393"/>
      <c r="G85" s="393"/>
      <c r="H85" s="392">
        <f>'Sources and Uses Budget'!T85</f>
        <v>0</v>
      </c>
      <c r="I85" s="393"/>
      <c r="J85" s="393"/>
      <c r="K85" s="390"/>
    </row>
    <row r="86" spans="1:11" s="391" customFormat="1" ht="11.4">
      <c r="A86" s="145" t="s">
        <v>793</v>
      </c>
      <c r="B86" s="392">
        <f>'Sources and Uses Budget'!C86</f>
        <v>3080098</v>
      </c>
      <c r="C86" s="393"/>
      <c r="D86" s="393"/>
      <c r="E86" s="392">
        <f>'Sources and Uses Budget'!S86</f>
        <v>3080098</v>
      </c>
      <c r="F86" s="393"/>
      <c r="G86" s="393"/>
      <c r="H86" s="392">
        <f>'Sources and Uses Budget'!T86</f>
        <v>0</v>
      </c>
      <c r="I86" s="393"/>
      <c r="J86" s="393"/>
      <c r="K86" s="390"/>
    </row>
    <row r="87" spans="1:11" s="391" customFormat="1" ht="11.4">
      <c r="A87" s="145" t="s">
        <v>794</v>
      </c>
      <c r="B87" s="392">
        <f>'Sources and Uses Budget'!C87</f>
        <v>10000</v>
      </c>
      <c r="C87" s="393"/>
      <c r="D87" s="393"/>
      <c r="E87" s="392">
        <f>'Sources and Uses Budget'!S87</f>
        <v>10000</v>
      </c>
      <c r="F87" s="393"/>
      <c r="G87" s="393"/>
      <c r="H87" s="392">
        <f>'Sources and Uses Budget'!T87</f>
        <v>0</v>
      </c>
      <c r="I87" s="393"/>
      <c r="J87" s="393"/>
      <c r="K87" s="390"/>
    </row>
    <row r="88" spans="1:11" s="391" customFormat="1" ht="11.4">
      <c r="A88" s="145" t="s">
        <v>795</v>
      </c>
      <c r="B88" s="392">
        <f>'Sources and Uses Budget'!C88</f>
        <v>440000</v>
      </c>
      <c r="C88" s="393"/>
      <c r="D88" s="393"/>
      <c r="E88" s="394"/>
      <c r="F88" s="394"/>
      <c r="G88" s="394"/>
      <c r="H88" s="394"/>
      <c r="I88" s="394"/>
      <c r="J88" s="394"/>
      <c r="K88" s="390"/>
    </row>
    <row r="89" spans="1:11" s="391" customFormat="1" ht="11.4">
      <c r="A89" s="145" t="s">
        <v>796</v>
      </c>
      <c r="B89" s="392">
        <f>'Sources and Uses Budget'!C89</f>
        <v>264000</v>
      </c>
      <c r="C89" s="393"/>
      <c r="D89" s="393"/>
      <c r="E89" s="392">
        <f>'Sources and Uses Budget'!S89</f>
        <v>264000</v>
      </c>
      <c r="F89" s="393"/>
      <c r="G89" s="393"/>
      <c r="H89" s="392">
        <f>'Sources and Uses Budget'!T89</f>
        <v>0</v>
      </c>
      <c r="I89" s="393"/>
      <c r="J89" s="393"/>
      <c r="K89" s="390"/>
    </row>
    <row r="90" spans="1:11" s="391" customFormat="1" ht="11.4">
      <c r="A90" s="145" t="s">
        <v>797</v>
      </c>
      <c r="B90" s="392">
        <f>'Sources and Uses Budget'!C90</f>
        <v>21000</v>
      </c>
      <c r="C90" s="393"/>
      <c r="D90" s="393"/>
      <c r="E90" s="392">
        <f>'Sources and Uses Budget'!S90</f>
        <v>0</v>
      </c>
      <c r="F90" s="393"/>
      <c r="G90" s="393"/>
      <c r="H90" s="392">
        <f>'Sources and Uses Budget'!T90</f>
        <v>0</v>
      </c>
      <c r="I90" s="393"/>
      <c r="J90" s="393"/>
      <c r="K90" s="390"/>
    </row>
    <row r="91" spans="1:11" s="391" customFormat="1" ht="11.4">
      <c r="A91" s="155" t="s">
        <v>374</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1354</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1.4">
      <c r="A93" s="395" t="str">
        <f>'Sources and Uses Budget'!$A93</f>
        <v>Other: Exterior Art</v>
      </c>
      <c r="B93" s="392">
        <f>'Sources and Uses Budget'!C93</f>
        <v>30000</v>
      </c>
      <c r="C93" s="393"/>
      <c r="D93" s="393"/>
      <c r="E93" s="392">
        <f>'Sources and Uses Budget'!S93</f>
        <v>30000</v>
      </c>
      <c r="F93" s="393"/>
      <c r="G93" s="393"/>
      <c r="H93" s="392">
        <f>'Sources and Uses Budget'!T93</f>
        <v>0</v>
      </c>
      <c r="I93" s="393"/>
      <c r="J93" s="393"/>
      <c r="K93" s="390"/>
    </row>
    <row r="94" spans="1:11" s="391" customFormat="1" ht="22.8">
      <c r="A94" s="395" t="str">
        <f>'Sources and Uses Budget'!$A94</f>
        <v>Other: Accrued/Deferred Interest on Soft Loans</v>
      </c>
      <c r="B94" s="392">
        <f>'Sources and Uses Budget'!C94</f>
        <v>1084363</v>
      </c>
      <c r="C94" s="393"/>
      <c r="D94" s="393"/>
      <c r="E94" s="392">
        <f>'Sources and Uses Budget'!S94</f>
        <v>735576</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798</v>
      </c>
      <c r="B96" s="392">
        <f>'Sources and Uses Budget'!C96</f>
        <v>6580403</v>
      </c>
      <c r="C96" s="392">
        <f>SUM(C83:C95)</f>
        <v>0</v>
      </c>
      <c r="D96" s="392">
        <f>SUM(D83:D95)</f>
        <v>0</v>
      </c>
      <c r="E96" s="392">
        <f>'Sources and Uses Budget'!S96</f>
        <v>5624047</v>
      </c>
      <c r="F96" s="398">
        <f>SUM(F84:F87,F89:F95)</f>
        <v>0</v>
      </c>
      <c r="G96" s="398">
        <f>SUM(G84:G87,G89:G95)</f>
        <v>0</v>
      </c>
      <c r="H96" s="392">
        <f>'Sources and Uses Budget'!T96</f>
        <v>0</v>
      </c>
      <c r="I96" s="392">
        <f>SUM(I84:I87,I89:I95)</f>
        <v>0</v>
      </c>
      <c r="J96" s="392">
        <f>SUM(J84:J87,J89:J95)</f>
        <v>0</v>
      </c>
      <c r="K96" s="390"/>
    </row>
    <row r="97" spans="1:11" s="391" customFormat="1">
      <c r="A97" s="396" t="s">
        <v>1090</v>
      </c>
      <c r="B97" s="392">
        <f>'Sources and Uses Budget'!C97</f>
        <v>146144184</v>
      </c>
      <c r="C97" s="392">
        <f>SUM(C63+C70+C77+C81+C96)</f>
        <v>0</v>
      </c>
      <c r="D97" s="392">
        <f>SUM(D63+D70+D77+D81+D96)</f>
        <v>0</v>
      </c>
      <c r="E97" s="392">
        <f>'Sources and Uses Budget'!S97</f>
        <v>122757313</v>
      </c>
      <c r="F97" s="398">
        <f>SUM(+F63+F70+F81+F96)</f>
        <v>0</v>
      </c>
      <c r="G97" s="398">
        <f>SUM(+G63+G70+G81+G96)</f>
        <v>0</v>
      </c>
      <c r="H97" s="392">
        <f>'Sources and Uses Budget'!T97</f>
        <v>0</v>
      </c>
      <c r="I97" s="398">
        <f>SUM(I63+I70+I81+I96)</f>
        <v>0</v>
      </c>
      <c r="J97" s="398">
        <f>SUM(J63+J70+J81+J96)</f>
        <v>0</v>
      </c>
      <c r="K97" s="390"/>
    </row>
    <row r="98" spans="1:11" s="391" customFormat="1" ht="11.4">
      <c r="A98" s="388" t="s">
        <v>800</v>
      </c>
      <c r="B98" s="389"/>
      <c r="C98" s="389"/>
      <c r="D98" s="389"/>
      <c r="E98" s="389"/>
      <c r="F98" s="389"/>
      <c r="G98" s="389"/>
      <c r="H98" s="389"/>
      <c r="I98" s="389"/>
      <c r="J98" s="389"/>
      <c r="K98" s="390"/>
    </row>
    <row r="99" spans="1:11" s="391" customFormat="1" ht="11.4">
      <c r="A99" s="145" t="s">
        <v>801</v>
      </c>
      <c r="B99" s="392">
        <f>'Sources and Uses Budget'!C99</f>
        <v>18413597</v>
      </c>
      <c r="C99" s="393"/>
      <c r="D99" s="393"/>
      <c r="E99" s="392">
        <f>'Sources and Uses Budget'!S99</f>
        <v>18413597</v>
      </c>
      <c r="F99" s="393"/>
      <c r="G99" s="393"/>
      <c r="H99" s="392">
        <f>'Sources and Uses Budget'!T99</f>
        <v>0</v>
      </c>
      <c r="I99" s="393"/>
      <c r="J99" s="393"/>
      <c r="K99" s="390"/>
    </row>
    <row r="100" spans="1:11" s="391" customFormat="1" ht="11.4">
      <c r="A100" s="303" t="s">
        <v>1826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802</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3" t="s">
        <v>1827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803</v>
      </c>
      <c r="B104" s="392">
        <f>'Sources and Uses Budget'!C104</f>
        <v>18413597</v>
      </c>
      <c r="C104" s="392">
        <f>SUM(C99:C103)</f>
        <v>0</v>
      </c>
      <c r="D104" s="392">
        <f>SUM(D99:D103)</f>
        <v>0</v>
      </c>
      <c r="E104" s="392">
        <f>'Sources and Uses Budget'!S104</f>
        <v>18413597</v>
      </c>
      <c r="F104" s="398">
        <f>SUM(F99:F103)</f>
        <v>0</v>
      </c>
      <c r="G104" s="398">
        <f>SUM(G99:G103)</f>
        <v>0</v>
      </c>
      <c r="H104" s="392">
        <f>'Sources and Uses Budget'!T104</f>
        <v>0</v>
      </c>
      <c r="I104" s="398">
        <f>SUM(I99:I103)</f>
        <v>0</v>
      </c>
      <c r="J104" s="398">
        <f>SUM(J99:J103)</f>
        <v>0</v>
      </c>
      <c r="K104" s="390"/>
    </row>
    <row r="105" spans="1:11" s="391" customFormat="1">
      <c r="A105" s="396" t="s">
        <v>1091</v>
      </c>
      <c r="B105" s="392">
        <f>'Sources and Uses Budget'!C105</f>
        <v>164557781</v>
      </c>
      <c r="C105" s="398">
        <f>SUM(C97+C104)</f>
        <v>0</v>
      </c>
      <c r="D105" s="398">
        <f>SUM(D97+D104)</f>
        <v>0</v>
      </c>
      <c r="E105" s="392">
        <f>'Sources and Uses Budget'!S105</f>
        <v>141170910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377</v>
      </c>
      <c r="E107" s="392">
        <f>'Sources and Uses Budget'!S107</f>
        <v>141170910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1"/>
      <c r="E124" s="1331"/>
      <c r="F124" s="1331"/>
      <c r="G124" s="1331"/>
      <c r="H124" s="1331"/>
      <c r="I124" s="1331"/>
      <c r="J124" s="407"/>
      <c r="K124" s="390"/>
    </row>
    <row r="125" spans="1:11" s="391" customFormat="1" ht="13.2">
      <c r="A125" s="416"/>
      <c r="B125" s="415"/>
      <c r="C125" s="416"/>
      <c r="D125" s="1331"/>
      <c r="E125" s="1331"/>
      <c r="F125" s="1331"/>
      <c r="G125" s="1331"/>
      <c r="H125" s="1331"/>
      <c r="I125" s="1331"/>
      <c r="J125" s="407"/>
      <c r="K125" s="390"/>
    </row>
    <row r="126" spans="1:11" s="391" customFormat="1" ht="13.2">
      <c r="A126" s="416"/>
      <c r="B126" s="415"/>
      <c r="C126" s="416"/>
      <c r="D126" s="1331"/>
      <c r="E126" s="1331"/>
      <c r="F126" s="1331"/>
      <c r="G126" s="1331"/>
      <c r="H126" s="1331"/>
      <c r="I126" s="1331"/>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2"/>
      <c r="B139" s="1331"/>
      <c r="C139" s="1331"/>
      <c r="D139" s="387"/>
      <c r="E139" s="416"/>
      <c r="F139" s="416"/>
      <c r="G139" s="416"/>
    </row>
    <row r="140" spans="1:11" ht="12" customHeight="1">
      <c r="A140" s="1289"/>
      <c r="B140" s="1289"/>
      <c r="C140" s="128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08" zoomScale="130" zoomScaleNormal="130" zoomScaleSheetLayoutView="100" workbookViewId="0">
      <selection activeCell="H674" sqref="H674:I67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08" t="s">
        <v>1472</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row>
    <row r="2" spans="1:42" s="570" customFormat="1" ht="12.75" customHeight="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1473</v>
      </c>
      <c r="B4" s="573" t="s">
        <v>1474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1475</v>
      </c>
      <c r="B7" s="573" t="s">
        <v>1476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2" t="s">
        <v>1477</v>
      </c>
      <c r="AF7" s="1892"/>
      <c r="AG7" s="1892"/>
      <c r="AH7" s="1892"/>
      <c r="AI7" s="1892"/>
      <c r="AJ7" s="1892"/>
      <c r="AK7" s="1892"/>
      <c r="AL7" s="574"/>
      <c r="AM7" s="574"/>
      <c r="AN7" s="569"/>
    </row>
    <row r="8" spans="1:42" s="570" customFormat="1" ht="12.75" customHeight="1">
      <c r="A8" s="572"/>
      <c r="B8" s="573" t="s">
        <v>1989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2407</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93" t="s">
        <v>2401</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2" t="s">
        <v>600</v>
      </c>
      <c r="C13" s="1882"/>
      <c r="D13" s="581"/>
      <c r="E13" s="582" t="s">
        <v>1478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0"/>
      <c r="AH13" s="1910"/>
      <c r="AI13" s="1910"/>
      <c r="AJ13" s="191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2" t="s">
        <v>600</v>
      </c>
      <c r="C16" s="1882"/>
      <c r="D16" s="581"/>
      <c r="E16" s="1893" t="s">
        <v>1479</v>
      </c>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5"/>
      <c r="AK16" s="574"/>
      <c r="AL16" s="574"/>
      <c r="AM16" s="574"/>
      <c r="AN16" s="569"/>
      <c r="AO16" s="584">
        <f>IF($B25="yes",20,0)</f>
        <v>0</v>
      </c>
      <c r="AP16" s="14"/>
    </row>
    <row r="17" spans="1:42" s="570" customFormat="1" ht="12.75" customHeight="1">
      <c r="A17" s="574"/>
      <c r="B17" s="574"/>
      <c r="C17" s="574"/>
      <c r="D17" s="585"/>
      <c r="E17" s="1896"/>
      <c r="F17" s="1897"/>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8"/>
      <c r="AK17" s="574"/>
      <c r="AL17" s="574"/>
      <c r="AM17" s="574"/>
      <c r="AN17" s="569"/>
      <c r="AO17" s="570">
        <f>IF(SUM(AO13:AO16)&gt;20,20,(SUM(AO13:AO16)))</f>
        <v>0</v>
      </c>
      <c r="AP17" s="570" t="s">
        <v>1480</v>
      </c>
    </row>
    <row r="18" spans="1:42" s="570" customFormat="1" ht="12.75" customHeight="1">
      <c r="A18" s="574"/>
      <c r="B18" s="574"/>
      <c r="C18" s="574"/>
      <c r="D18" s="585"/>
      <c r="E18" s="1896"/>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8"/>
      <c r="AK18" s="574"/>
      <c r="AL18" s="574"/>
      <c r="AM18" s="574"/>
      <c r="AN18" s="569"/>
    </row>
    <row r="19" spans="1:42" s="570" customFormat="1" ht="12.75" customHeight="1">
      <c r="A19" s="574"/>
      <c r="B19" s="574"/>
      <c r="C19" s="574"/>
      <c r="D19" s="585"/>
      <c r="E19" s="586" t="s">
        <v>1481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1"/>
      <c r="F20" s="1922"/>
      <c r="G20" s="1922"/>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2" t="s">
        <v>600</v>
      </c>
      <c r="C22" s="1882"/>
      <c r="D22" s="581"/>
      <c r="E22" s="1915" t="s">
        <v>1482</v>
      </c>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7"/>
      <c r="AK22" s="574"/>
      <c r="AL22" s="574"/>
      <c r="AM22" s="574"/>
      <c r="AN22" s="569"/>
      <c r="AO22" s="570">
        <f>IF(SUM(AO20:AO21)&gt;14,14,SUM(AO20:AO21))</f>
        <v>0</v>
      </c>
      <c r="AP22" s="570" t="s">
        <v>1480</v>
      </c>
    </row>
    <row r="23" spans="1:42" s="570" customFormat="1" ht="12.75" customHeight="1">
      <c r="A23" s="574"/>
      <c r="B23" s="574"/>
      <c r="C23" s="574"/>
      <c r="D23" s="584"/>
      <c r="E23" s="1918"/>
      <c r="F23" s="1919"/>
      <c r="G23" s="1919"/>
      <c r="H23" s="1919"/>
      <c r="I23" s="1919"/>
      <c r="J23" s="1919"/>
      <c r="K23" s="1919"/>
      <c r="L23" s="1919"/>
      <c r="M23" s="1919"/>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2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2" t="s">
        <v>600</v>
      </c>
      <c r="C25" s="1882"/>
      <c r="D25" s="581"/>
      <c r="E25" s="1883" t="s">
        <v>2431</v>
      </c>
      <c r="F25" s="1884"/>
      <c r="G25" s="1884"/>
      <c r="H25" s="1884"/>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4"/>
      <c r="AG25" s="1884"/>
      <c r="AH25" s="1884"/>
      <c r="AI25" s="1884"/>
      <c r="AJ25" s="1885"/>
      <c r="AK25" s="574"/>
      <c r="AL25" s="574"/>
      <c r="AM25" s="574"/>
      <c r="AN25" s="569"/>
      <c r="AO25" s="570">
        <f>IF(AO24&gt;6,6,AO24)</f>
        <v>0</v>
      </c>
      <c r="AP25" s="570" t="s">
        <v>1480</v>
      </c>
    </row>
    <row r="26" spans="1:42" s="570" customFormat="1" ht="12.75" customHeight="1">
      <c r="A26" s="574"/>
      <c r="B26" s="574"/>
      <c r="C26" s="574"/>
      <c r="D26" s="584"/>
      <c r="E26" s="1886"/>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2402</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1480</v>
      </c>
    </row>
    <row r="30" spans="1:42" s="570" customFormat="1" ht="12.75" customHeight="1">
      <c r="A30" s="574"/>
      <c r="B30" s="1882" t="s">
        <v>600</v>
      </c>
      <c r="C30" s="1882"/>
      <c r="D30" s="581"/>
      <c r="E30" s="1915" t="s">
        <v>2403</v>
      </c>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7"/>
      <c r="AK30" s="574"/>
      <c r="AL30" s="574"/>
      <c r="AM30" s="574"/>
      <c r="AN30" s="569"/>
      <c r="AO30" s="584"/>
    </row>
    <row r="31" spans="1:42" s="570" customFormat="1" ht="12.75" customHeight="1">
      <c r="A31" s="574"/>
      <c r="B31" s="574"/>
      <c r="C31" s="574"/>
      <c r="E31" s="1918"/>
      <c r="F31" s="1919"/>
      <c r="G31" s="1919"/>
      <c r="H31" s="1919"/>
      <c r="I31" s="1919"/>
      <c r="J31" s="1919"/>
      <c r="K31" s="1919"/>
      <c r="L31" s="1919"/>
      <c r="M31" s="1919"/>
      <c r="N31" s="1919"/>
      <c r="O31" s="1919"/>
      <c r="P31" s="1919"/>
      <c r="Q31" s="1919"/>
      <c r="R31" s="1919"/>
      <c r="S31" s="1919"/>
      <c r="T31" s="1919"/>
      <c r="U31" s="1919"/>
      <c r="V31" s="1919"/>
      <c r="W31" s="1919"/>
      <c r="X31" s="1919"/>
      <c r="Y31" s="1919"/>
      <c r="Z31" s="1919"/>
      <c r="AA31" s="1919"/>
      <c r="AB31" s="1919"/>
      <c r="AC31" s="1919"/>
      <c r="AD31" s="1919"/>
      <c r="AE31" s="1919"/>
      <c r="AF31" s="1919"/>
      <c r="AG31" s="1919"/>
      <c r="AH31" s="1919"/>
      <c r="AI31" s="1919"/>
      <c r="AJ31" s="1920"/>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1882" t="s">
        <v>600</v>
      </c>
      <c r="C33" s="1882"/>
      <c r="D33" s="581"/>
      <c r="E33" s="1883" t="s">
        <v>2404</v>
      </c>
      <c r="F33" s="1884"/>
      <c r="G33" s="1884"/>
      <c r="H33" s="1884"/>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4"/>
      <c r="AG33" s="1884"/>
      <c r="AH33" s="1884"/>
      <c r="AI33" s="1884"/>
      <c r="AJ33" s="1885"/>
      <c r="AK33" s="574"/>
      <c r="AL33" s="574"/>
      <c r="AM33" s="574"/>
      <c r="AN33" s="569"/>
    </row>
    <row r="34" spans="1:41" s="570" customFormat="1" ht="12.75" customHeight="1">
      <c r="A34" s="574"/>
      <c r="B34" s="574"/>
      <c r="C34" s="574"/>
      <c r="E34" s="1889"/>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c r="AF34" s="1890"/>
      <c r="AG34" s="1890"/>
      <c r="AH34" s="1890"/>
      <c r="AI34" s="1890"/>
      <c r="AJ34" s="1891"/>
      <c r="AK34" s="574"/>
      <c r="AL34" s="574"/>
      <c r="AM34" s="574"/>
      <c r="AN34" s="569"/>
    </row>
    <row r="35" spans="1:41" s="570" customFormat="1" ht="12.75" customHeight="1">
      <c r="A35" s="574"/>
      <c r="B35" s="574"/>
      <c r="C35" s="574"/>
      <c r="E35" s="1886"/>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2406</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4"/>
      <c r="AM38" s="574"/>
      <c r="AN38" s="569"/>
    </row>
    <row r="39" spans="1:41" s="570" customFormat="1" ht="12.75" customHeight="1">
      <c r="A39" s="574"/>
      <c r="B39" s="1882" t="s">
        <v>600</v>
      </c>
      <c r="C39" s="1882"/>
      <c r="D39" s="1194"/>
      <c r="E39" s="1883" t="s">
        <v>2405</v>
      </c>
      <c r="F39" s="1884"/>
      <c r="G39" s="1884"/>
      <c r="H39" s="1884"/>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4"/>
      <c r="AG39" s="1884"/>
      <c r="AH39" s="1884"/>
      <c r="AI39" s="1884"/>
      <c r="AJ39" s="1885"/>
      <c r="AK39" s="1194"/>
      <c r="AL39" s="574"/>
      <c r="AM39" s="574"/>
      <c r="AN39" s="569"/>
    </row>
    <row r="40" spans="1:41" s="570" customFormat="1" ht="12.75" customHeight="1">
      <c r="A40" s="574"/>
      <c r="B40" s="574"/>
      <c r="C40" s="574"/>
      <c r="E40" s="1889"/>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c r="AF40" s="1890"/>
      <c r="AG40" s="1890"/>
      <c r="AH40" s="1890"/>
      <c r="AI40" s="1890"/>
      <c r="AJ40" s="1891"/>
      <c r="AK40" s="574"/>
      <c r="AL40" s="574"/>
      <c r="AM40" s="574"/>
      <c r="AN40" s="569"/>
    </row>
    <row r="41" spans="1:41" s="570" customFormat="1" ht="12.75" customHeight="1">
      <c r="A41" s="574"/>
      <c r="D41" s="581"/>
      <c r="E41" s="1886"/>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2408</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93" t="s">
        <v>2409</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2" t="s">
        <v>600</v>
      </c>
      <c r="C46" s="1882"/>
      <c r="D46" s="574"/>
      <c r="E46" s="1883" t="s">
        <v>2410</v>
      </c>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c r="AJ46" s="1885"/>
      <c r="AK46" s="574"/>
      <c r="AL46" s="574"/>
      <c r="AM46" s="574"/>
      <c r="AN46" s="569"/>
      <c r="AO46" s="593"/>
    </row>
    <row r="47" spans="1:41" s="570" customFormat="1" ht="12.75" customHeight="1">
      <c r="A47" s="574"/>
      <c r="D47" s="581"/>
      <c r="E47" s="1889"/>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c r="AF47" s="1890"/>
      <c r="AG47" s="1890"/>
      <c r="AH47" s="1890"/>
      <c r="AI47" s="1890"/>
      <c r="AJ47" s="1891"/>
      <c r="AK47" s="574"/>
      <c r="AL47" s="574"/>
      <c r="AM47" s="574"/>
      <c r="AN47" s="569"/>
      <c r="AO47" s="593"/>
    </row>
    <row r="48" spans="1:41" s="570" customFormat="1" ht="12.75" customHeight="1">
      <c r="A48" s="574"/>
      <c r="D48" s="574"/>
      <c r="E48" s="1886"/>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2" t="s">
        <v>600</v>
      </c>
      <c r="C50" s="1882"/>
      <c r="D50" s="574"/>
      <c r="E50" s="1903" t="s">
        <v>2411</v>
      </c>
      <c r="F50" s="1904"/>
      <c r="G50" s="1904"/>
      <c r="H50" s="1904"/>
      <c r="I50" s="1904"/>
      <c r="J50" s="1904"/>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2" t="s">
        <v>600</v>
      </c>
      <c r="C52" s="1882"/>
      <c r="D52" s="574"/>
      <c r="E52" s="1883" t="s">
        <v>2412</v>
      </c>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c r="AJ52" s="1885"/>
      <c r="AK52" s="574"/>
      <c r="AL52" s="574"/>
      <c r="AM52" s="574"/>
      <c r="AN52" s="569"/>
    </row>
    <row r="53" spans="1:50" s="570" customFormat="1" ht="12.75" customHeight="1">
      <c r="A53" s="574"/>
      <c r="B53" s="581"/>
      <c r="C53" s="581"/>
      <c r="D53" s="581"/>
      <c r="E53" s="1886"/>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1483</v>
      </c>
      <c r="AK56" s="1912">
        <f>AO36</f>
        <v>0</v>
      </c>
      <c r="AL56" s="1913"/>
      <c r="AM56" s="191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1484</v>
      </c>
      <c r="B59" s="573" t="s">
        <v>1485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2" t="s">
        <v>1486</v>
      </c>
      <c r="AF59" s="1892"/>
      <c r="AG59" s="1892"/>
      <c r="AH59" s="1892"/>
      <c r="AI59" s="1892"/>
      <c r="AJ59" s="1892"/>
      <c r="AK59" s="1892"/>
      <c r="AL59" s="574"/>
      <c r="AM59" s="574"/>
      <c r="AN59" s="569"/>
    </row>
    <row r="60" spans="1:50" s="570" customFormat="1" ht="12.75" customHeight="1">
      <c r="A60" s="572"/>
      <c r="B60" s="573" t="s">
        <v>1988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2" t="s">
        <v>600</v>
      </c>
      <c r="C62" s="1882"/>
      <c r="D62" s="581" t="s">
        <v>1487</v>
      </c>
      <c r="E62" s="1893" t="s">
        <v>2413</v>
      </c>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c r="AI62" s="1894"/>
      <c r="AJ62" s="1895"/>
      <c r="AK62" s="577"/>
      <c r="AL62" s="574"/>
      <c r="AM62" s="574"/>
      <c r="AN62" s="569"/>
      <c r="AO62" s="584">
        <f>IF($B62="yes",10,0)</f>
        <v>0</v>
      </c>
    </row>
    <row r="63" spans="1:50" s="570" customFormat="1" ht="12.75" customHeight="1">
      <c r="A63" s="572"/>
      <c r="B63" s="574"/>
      <c r="C63" s="574"/>
      <c r="D63" s="585"/>
      <c r="E63" s="1896"/>
      <c r="F63" s="1897"/>
      <c r="G63" s="1897"/>
      <c r="H63" s="1897"/>
      <c r="I63" s="1897"/>
      <c r="J63" s="1897"/>
      <c r="K63" s="1897"/>
      <c r="L63" s="1897"/>
      <c r="M63" s="1897"/>
      <c r="N63" s="1897"/>
      <c r="O63" s="1897"/>
      <c r="P63" s="1897"/>
      <c r="Q63" s="1897"/>
      <c r="R63" s="1897"/>
      <c r="S63" s="1897"/>
      <c r="T63" s="1897"/>
      <c r="U63" s="1897"/>
      <c r="V63" s="1897"/>
      <c r="W63" s="1897"/>
      <c r="X63" s="1897"/>
      <c r="Y63" s="1897"/>
      <c r="Z63" s="1897"/>
      <c r="AA63" s="1897"/>
      <c r="AB63" s="1897"/>
      <c r="AC63" s="1897"/>
      <c r="AD63" s="1897"/>
      <c r="AE63" s="1897"/>
      <c r="AF63" s="1897"/>
      <c r="AG63" s="1897"/>
      <c r="AH63" s="1897"/>
      <c r="AI63" s="1897"/>
      <c r="AJ63" s="1898"/>
      <c r="AK63" s="577"/>
      <c r="AL63" s="574"/>
      <c r="AM63" s="574"/>
      <c r="AN63" s="569"/>
      <c r="AO63" s="584">
        <f>IF($B68="yes",10,0)</f>
        <v>10</v>
      </c>
    </row>
    <row r="64" spans="1:50" s="570" customFormat="1" ht="12.75" customHeight="1">
      <c r="A64" s="572"/>
      <c r="B64" s="574"/>
      <c r="C64" s="574"/>
      <c r="D64" s="585"/>
      <c r="E64" s="1896"/>
      <c r="F64" s="1897"/>
      <c r="G64" s="1897"/>
      <c r="H64" s="1897"/>
      <c r="I64" s="1897"/>
      <c r="J64" s="1897"/>
      <c r="K64" s="1897"/>
      <c r="L64" s="1897"/>
      <c r="M64" s="1897"/>
      <c r="N64" s="1897"/>
      <c r="O64" s="1897"/>
      <c r="P64" s="1897"/>
      <c r="Q64" s="1897"/>
      <c r="R64" s="1897"/>
      <c r="S64" s="1897"/>
      <c r="T64" s="1897"/>
      <c r="U64" s="1897"/>
      <c r="V64" s="1897"/>
      <c r="W64" s="1897"/>
      <c r="X64" s="1897"/>
      <c r="Y64" s="1897"/>
      <c r="Z64" s="1897"/>
      <c r="AA64" s="1897"/>
      <c r="AB64" s="1897"/>
      <c r="AC64" s="1897"/>
      <c r="AD64" s="1897"/>
      <c r="AE64" s="1897"/>
      <c r="AF64" s="1897"/>
      <c r="AG64" s="1897"/>
      <c r="AH64" s="1897"/>
      <c r="AI64" s="1897"/>
      <c r="AJ64" s="1898"/>
      <c r="AK64" s="577"/>
      <c r="AL64" s="574"/>
      <c r="AM64" s="574"/>
      <c r="AN64" s="569"/>
      <c r="AO64" s="584">
        <f>IF($B75="yes",10,0)</f>
        <v>0</v>
      </c>
    </row>
    <row r="65" spans="1:42" s="570" customFormat="1" ht="12.75" customHeight="1">
      <c r="A65" s="572"/>
      <c r="B65" s="574"/>
      <c r="C65" s="574"/>
      <c r="D65" s="585"/>
      <c r="E65" s="1896"/>
      <c r="F65" s="1897"/>
      <c r="G65" s="1897"/>
      <c r="H65" s="1897"/>
      <c r="I65" s="1897"/>
      <c r="J65" s="1897"/>
      <c r="K65" s="1897"/>
      <c r="L65" s="1897"/>
      <c r="M65" s="1897"/>
      <c r="N65" s="1897"/>
      <c r="O65" s="1897"/>
      <c r="P65" s="1897"/>
      <c r="Q65" s="1897"/>
      <c r="R65" s="1897"/>
      <c r="S65" s="1897"/>
      <c r="T65" s="1897"/>
      <c r="U65" s="1897"/>
      <c r="V65" s="1897"/>
      <c r="W65" s="1897"/>
      <c r="X65" s="1897"/>
      <c r="Y65" s="1897"/>
      <c r="Z65" s="1897"/>
      <c r="AA65" s="1897"/>
      <c r="AB65" s="1897"/>
      <c r="AC65" s="1897"/>
      <c r="AD65" s="1897"/>
      <c r="AE65" s="1897"/>
      <c r="AF65" s="1897"/>
      <c r="AG65" s="1897"/>
      <c r="AH65" s="1897"/>
      <c r="AI65" s="1897"/>
      <c r="AJ65" s="1898"/>
      <c r="AK65" s="577"/>
      <c r="AL65" s="574"/>
      <c r="AM65" s="574"/>
      <c r="AN65" s="569"/>
      <c r="AO65" s="570">
        <f>IF(SUM(AO62:AO64)&gt;10,10,(SUM(AO62:AO64)))</f>
        <v>10</v>
      </c>
      <c r="AP65" s="608" t="s">
        <v>1488</v>
      </c>
    </row>
    <row r="66" spans="1:42" s="570" customFormat="1" ht="12.75" customHeight="1">
      <c r="A66" s="572"/>
      <c r="B66" s="574"/>
      <c r="C66" s="574"/>
      <c r="D66" s="585"/>
      <c r="E66" s="1899"/>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2" t="s">
        <v>554</v>
      </c>
      <c r="C68" s="1882"/>
      <c r="D68" s="581" t="s">
        <v>1489</v>
      </c>
      <c r="E68" s="1007" t="s">
        <v>1984</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7"/>
      <c r="AL68" s="574"/>
      <c r="AM68" s="574"/>
      <c r="AN68" s="569"/>
    </row>
    <row r="69" spans="1:42" s="570" customFormat="1" ht="12.75" customHeight="1">
      <c r="A69" s="572"/>
      <c r="B69" s="574"/>
      <c r="C69" s="574"/>
      <c r="D69" s="584"/>
      <c r="E69" s="1902" t="s">
        <v>554</v>
      </c>
      <c r="F69" s="1882"/>
      <c r="G69" s="609"/>
      <c r="H69" s="592" t="s">
        <v>1490</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10"/>
      <c r="AK69" s="577"/>
      <c r="AL69" s="574"/>
      <c r="AM69" s="574"/>
      <c r="AN69" s="569"/>
    </row>
    <row r="70" spans="1:42" s="570" customFormat="1" ht="12.75" customHeight="1">
      <c r="A70" s="572"/>
      <c r="B70" s="574"/>
      <c r="C70" s="574"/>
      <c r="D70" s="584"/>
      <c r="E70" s="1880" t="s">
        <v>600</v>
      </c>
      <c r="F70" s="1881"/>
      <c r="G70" s="609"/>
      <c r="H70" s="592" t="s">
        <v>1491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10"/>
      <c r="AK70" s="577"/>
      <c r="AL70" s="574"/>
      <c r="AM70" s="574"/>
      <c r="AN70" s="569"/>
    </row>
    <row r="71" spans="1:42" s="570" customFormat="1" ht="12.75" customHeight="1">
      <c r="A71" s="572"/>
      <c r="B71" s="574"/>
      <c r="C71" s="574"/>
      <c r="D71" s="584"/>
      <c r="E71" s="1880" t="s">
        <v>600</v>
      </c>
      <c r="F71" s="1881"/>
      <c r="G71" s="609"/>
      <c r="H71" s="592" t="s">
        <v>1999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10"/>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10"/>
      <c r="AK72" s="577"/>
      <c r="AL72" s="574"/>
      <c r="AM72" s="574"/>
      <c r="AN72" s="569"/>
    </row>
    <row r="73" spans="1:42" s="570" customFormat="1" ht="12.75" customHeight="1">
      <c r="A73" s="572"/>
      <c r="B73" s="574"/>
      <c r="C73" s="574"/>
      <c r="D73" s="584"/>
      <c r="E73" s="1902" t="s">
        <v>600</v>
      </c>
      <c r="F73" s="1882"/>
      <c r="G73" s="942"/>
      <c r="H73" s="1012" t="s">
        <v>1998</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2" t="s">
        <v>600</v>
      </c>
      <c r="C75" s="1882"/>
      <c r="D75" s="581" t="s">
        <v>1492</v>
      </c>
      <c r="E75" s="1883" t="s">
        <v>2000</v>
      </c>
      <c r="F75" s="1884"/>
      <c r="G75" s="1884"/>
      <c r="H75" s="1884"/>
      <c r="I75" s="1884"/>
      <c r="J75" s="1884"/>
      <c r="K75" s="1884"/>
      <c r="L75" s="1884"/>
      <c r="M75" s="1884"/>
      <c r="N75" s="1884"/>
      <c r="O75" s="1884"/>
      <c r="P75" s="1884"/>
      <c r="Q75" s="1884"/>
      <c r="R75" s="1884"/>
      <c r="S75" s="1884"/>
      <c r="T75" s="1884"/>
      <c r="U75" s="1884"/>
      <c r="V75" s="1884"/>
      <c r="W75" s="1884"/>
      <c r="X75" s="1884"/>
      <c r="Y75" s="1884"/>
      <c r="Z75" s="1884"/>
      <c r="AA75" s="1884"/>
      <c r="AB75" s="1884"/>
      <c r="AC75" s="1884"/>
      <c r="AD75" s="1884"/>
      <c r="AE75" s="1884"/>
      <c r="AF75" s="1884"/>
      <c r="AG75" s="1884"/>
      <c r="AH75" s="1884"/>
      <c r="AI75" s="1884"/>
      <c r="AJ75" s="1885"/>
      <c r="AK75" s="577"/>
      <c r="AL75" s="574"/>
      <c r="AM75" s="574"/>
      <c r="AN75" s="569"/>
    </row>
    <row r="76" spans="1:42" s="570" customFormat="1" ht="12.75" customHeight="1">
      <c r="A76" s="572"/>
      <c r="B76" s="574"/>
      <c r="C76" s="574"/>
      <c r="D76" s="584"/>
      <c r="E76" s="1886"/>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c r="AI76" s="1887"/>
      <c r="AJ76" s="188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1493</v>
      </c>
      <c r="AK78" s="1912">
        <f>IF(AK56&gt;0,0,AO65)</f>
        <v>10</v>
      </c>
      <c r="AL78" s="1913"/>
      <c r="AM78" s="191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1494</v>
      </c>
      <c r="B81" s="573" t="s">
        <v>1495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2" t="s">
        <v>1477</v>
      </c>
      <c r="AF81" s="1892"/>
      <c r="AG81" s="1892"/>
      <c r="AH81" s="1892"/>
      <c r="AI81" s="1892"/>
      <c r="AJ81" s="1892"/>
      <c r="AK81" s="1892"/>
      <c r="AL81" s="574"/>
      <c r="AM81" s="574"/>
      <c r="AN81" s="569"/>
    </row>
    <row r="82" spans="1:43" s="570" customFormat="1" ht="12.75" customHeight="1">
      <c r="A82" s="572"/>
      <c r="B82" s="573" t="s">
        <v>1496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2" t="s">
        <v>554</v>
      </c>
      <c r="C84" s="1882"/>
      <c r="D84" s="581" t="s">
        <v>1487</v>
      </c>
      <c r="E84" s="1893" t="s">
        <v>1497</v>
      </c>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5"/>
      <c r="AK84" s="577"/>
      <c r="AL84" s="574"/>
      <c r="AM84" s="574"/>
      <c r="AN84" s="569"/>
    </row>
    <row r="85" spans="1:43" s="570" customFormat="1" ht="12.75" customHeight="1">
      <c r="A85" s="572"/>
      <c r="B85" s="573"/>
      <c r="C85" s="573"/>
      <c r="D85" s="573"/>
      <c r="E85" s="1896"/>
      <c r="F85" s="1897"/>
      <c r="G85" s="1897"/>
      <c r="H85" s="1897"/>
      <c r="I85" s="1897"/>
      <c r="J85" s="1897"/>
      <c r="K85" s="1897"/>
      <c r="L85" s="1897"/>
      <c r="M85" s="1897"/>
      <c r="N85" s="1897"/>
      <c r="O85" s="1897"/>
      <c r="P85" s="1897"/>
      <c r="Q85" s="1897"/>
      <c r="R85" s="1897"/>
      <c r="S85" s="1897"/>
      <c r="T85" s="1897"/>
      <c r="U85" s="1897"/>
      <c r="V85" s="1897"/>
      <c r="W85" s="1897"/>
      <c r="X85" s="1897"/>
      <c r="Y85" s="1897"/>
      <c r="Z85" s="1897"/>
      <c r="AA85" s="1897"/>
      <c r="AB85" s="1897"/>
      <c r="AC85" s="1897"/>
      <c r="AD85" s="1897"/>
      <c r="AE85" s="1897"/>
      <c r="AF85" s="1897"/>
      <c r="AG85" s="1897"/>
      <c r="AH85" s="1897"/>
      <c r="AI85" s="1897"/>
      <c r="AJ85" s="189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76">
        <f>Application!AC739</f>
        <v>0.42126436781609206</v>
      </c>
      <c r="F87" s="1877"/>
      <c r="G87" s="1877"/>
      <c r="H87" s="1877"/>
      <c r="I87" s="611"/>
      <c r="J87" s="614" t="s">
        <v>1498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78">
        <f>0.6-ROUNDUP(E87,2)</f>
        <v>0.16999999999999998</v>
      </c>
      <c r="F88" s="1879"/>
      <c r="G88" s="1879"/>
      <c r="H88" s="1879"/>
      <c r="I88" s="611"/>
      <c r="J88" s="614" t="s">
        <v>1499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06">
        <f>IF(E88*200&gt;20,20,E88*200)</f>
        <v>20</v>
      </c>
      <c r="F89" s="1907"/>
      <c r="G89" s="1907"/>
      <c r="H89" s="1907"/>
      <c r="I89" s="611"/>
      <c r="J89" s="614" t="s">
        <v>1500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1480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2" t="s">
        <v>600</v>
      </c>
      <c r="C92" s="1882"/>
      <c r="D92" s="581" t="s">
        <v>1489</v>
      </c>
      <c r="E92" s="1893" t="s">
        <v>1985</v>
      </c>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c r="AI92" s="1894"/>
      <c r="AJ92" s="1895"/>
      <c r="AK92" s="577"/>
      <c r="AL92" s="574"/>
      <c r="AM92" s="574"/>
      <c r="AN92" s="569"/>
    </row>
    <row r="93" spans="1:43" s="570" customFormat="1" ht="12.75" customHeight="1">
      <c r="A93" s="572"/>
      <c r="B93" s="573"/>
      <c r="C93" s="573"/>
      <c r="D93" s="573"/>
      <c r="E93" s="1896"/>
      <c r="F93" s="1897"/>
      <c r="G93" s="1897"/>
      <c r="H93" s="1897"/>
      <c r="I93" s="1897"/>
      <c r="J93" s="1897"/>
      <c r="K93" s="1897"/>
      <c r="L93" s="1897"/>
      <c r="M93" s="1897"/>
      <c r="N93" s="1897"/>
      <c r="O93" s="1897"/>
      <c r="P93" s="1897"/>
      <c r="Q93" s="1897"/>
      <c r="R93" s="1897"/>
      <c r="S93" s="1897"/>
      <c r="T93" s="1897"/>
      <c r="U93" s="1897"/>
      <c r="V93" s="1897"/>
      <c r="W93" s="1897"/>
      <c r="X93" s="1897"/>
      <c r="Y93" s="1897"/>
      <c r="Z93" s="1897"/>
      <c r="AA93" s="1897"/>
      <c r="AB93" s="1897"/>
      <c r="AC93" s="1897"/>
      <c r="AD93" s="1897"/>
      <c r="AE93" s="1897"/>
      <c r="AF93" s="1897"/>
      <c r="AG93" s="1897"/>
      <c r="AH93" s="1897"/>
      <c r="AI93" s="1897"/>
      <c r="AJ93" s="1898"/>
      <c r="AK93" s="577"/>
      <c r="AL93" s="574"/>
      <c r="AM93" s="574"/>
      <c r="AN93" s="569"/>
    </row>
    <row r="94" spans="1:43" s="570" customFormat="1" ht="12.75" customHeight="1">
      <c r="A94" s="572"/>
      <c r="B94" s="573"/>
      <c r="C94" s="573"/>
      <c r="D94" s="573"/>
      <c r="E94" s="1896"/>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8"/>
      <c r="AK94" s="577"/>
      <c r="AL94" s="574"/>
      <c r="AM94" s="574"/>
      <c r="AN94" s="569"/>
    </row>
    <row r="95" spans="1:43" s="570" customFormat="1" ht="12.75" customHeight="1">
      <c r="A95" s="572"/>
      <c r="B95" s="573"/>
      <c r="C95" s="573"/>
      <c r="D95" s="573"/>
      <c r="E95" s="1896"/>
      <c r="F95" s="1897"/>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76">
        <f>Application!AC739</f>
        <v>0.42126436781609206</v>
      </c>
      <c r="F97" s="1877"/>
      <c r="G97" s="1877"/>
      <c r="H97" s="1877"/>
      <c r="I97" s="611"/>
      <c r="J97" s="614" t="s">
        <v>1498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76">
        <f ca="1">SUMIF(Application!AC714:AG738,0.2,Application!G714:J738)/Application!G739+SUMIF(Application!AC714:AG738,0.25,Application!G714:J738)/Application!G739+SUMIF(Application!AC714:AG738,0.3,Application!G714:J738)/Application!G739</f>
        <v>0.5</v>
      </c>
      <c r="F98" s="1877"/>
      <c r="G98" s="1877"/>
      <c r="H98" s="1877"/>
      <c r="I98" s="611"/>
      <c r="J98" s="614" t="s">
        <v>1501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1876">
        <f ca="1">SUMIF(Application!AC714:AG738,0.35,Application!G714:J738)/Application!G739+SUMIF(Application!AC714:AG738,0.4,Application!G714:J738)/Application!G739+SUMIF(Application!AC714:AG738,0.45,Application!G714:J738)/Application!G739+SUMIF(Application!AC714:AG738,0.5,Application!G714:J738)/Application!G739</f>
        <v>0.25287356321839083</v>
      </c>
      <c r="F99" s="1877"/>
      <c r="G99" s="1877"/>
      <c r="H99" s="1877"/>
      <c r="I99" s="611"/>
      <c r="J99" s="614" t="s">
        <v>1502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1931">
        <f ca="1">IF(AND(E97&lt;=0.6,E98&gt;=0.1,OR(E99&gt;=0.1,E98&gt;=0.2)),20,0)</f>
        <v>20</v>
      </c>
      <c r="F100" s="1932"/>
      <c r="G100" s="1932"/>
      <c r="H100" s="1932"/>
      <c r="I100" s="587"/>
      <c r="J100" s="621" t="s">
        <v>1500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1480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1503</v>
      </c>
      <c r="AK103" s="1912">
        <f>MAX(AP89,AP100)</f>
        <v>20</v>
      </c>
      <c r="AL103" s="1913"/>
      <c r="AM103" s="191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1504</v>
      </c>
      <c r="B106" s="573" t="s">
        <v>1505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2" t="s">
        <v>1486</v>
      </c>
      <c r="AF106" s="1892"/>
      <c r="AG106" s="1892"/>
      <c r="AH106" s="1892"/>
      <c r="AI106" s="1892"/>
      <c r="AJ106" s="1892"/>
      <c r="AK106" s="1892"/>
      <c r="AL106" s="574"/>
      <c r="AM106" s="574"/>
      <c r="AN106" s="569"/>
      <c r="AO106" s="570" t="str">
        <f>Application!B714</f>
        <v>SRO/Studio</v>
      </c>
      <c r="AQ106" s="570">
        <f>Application!O714</f>
        <v>785</v>
      </c>
    </row>
    <row r="107" spans="1:49" s="570" customFormat="1" ht="12.75" customHeight="1">
      <c r="A107" s="574"/>
      <c r="B107" s="573" t="s">
        <v>1496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SRO/Studio</v>
      </c>
      <c r="AQ107" s="570">
        <f>Application!O715</f>
        <v>785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SRO/Studio</v>
      </c>
      <c r="AQ108" s="570">
        <f>Application!O716</f>
        <v>1080</v>
      </c>
    </row>
    <row r="109" spans="1:49" s="570" customFormat="1" ht="12.75" customHeight="1">
      <c r="A109" s="574"/>
      <c r="B109" s="1882" t="s">
        <v>554</v>
      </c>
      <c r="C109" s="1882"/>
      <c r="D109" s="581" t="s">
        <v>1487</v>
      </c>
      <c r="E109" s="1893" t="s">
        <v>2120</v>
      </c>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c r="AB109" s="1894"/>
      <c r="AC109" s="1894"/>
      <c r="AD109" s="1894"/>
      <c r="AE109" s="1894"/>
      <c r="AF109" s="1894"/>
      <c r="AG109" s="1894"/>
      <c r="AH109" s="1894"/>
      <c r="AI109" s="1894"/>
      <c r="AJ109" s="1895"/>
      <c r="AK109" s="574"/>
      <c r="AL109" s="574"/>
      <c r="AM109" s="574"/>
      <c r="AN109" s="569"/>
      <c r="AO109" s="570" t="str">
        <f>Application!B717</f>
        <v>SRO/Studio</v>
      </c>
      <c r="AQ109" s="570">
        <f>Application!O717</f>
        <v>1375</v>
      </c>
      <c r="AU109" s="570" t="s">
        <v>2102</v>
      </c>
      <c r="AV109" s="629" t="s">
        <v>2103</v>
      </c>
      <c r="AW109" s="570" t="s">
        <v>2104</v>
      </c>
    </row>
    <row r="110" spans="1:49" s="570" customFormat="1" ht="12.75" customHeight="1">
      <c r="A110" s="574"/>
      <c r="B110" s="573"/>
      <c r="C110" s="573"/>
      <c r="D110" s="573"/>
      <c r="E110" s="1896"/>
      <c r="F110" s="1897"/>
      <c r="G110" s="1897"/>
      <c r="H110" s="1897"/>
      <c r="I110" s="1897"/>
      <c r="J110" s="1897"/>
      <c r="K110" s="1897"/>
      <c r="L110" s="1897"/>
      <c r="M110" s="1897"/>
      <c r="N110" s="1897"/>
      <c r="O110" s="1897"/>
      <c r="P110" s="1897"/>
      <c r="Q110" s="1897"/>
      <c r="R110" s="1897"/>
      <c r="S110" s="1897"/>
      <c r="T110" s="1897"/>
      <c r="U110" s="1897"/>
      <c r="V110" s="1897"/>
      <c r="W110" s="1897"/>
      <c r="X110" s="1897"/>
      <c r="Y110" s="1897"/>
      <c r="Z110" s="1897"/>
      <c r="AA110" s="1897"/>
      <c r="AB110" s="1897"/>
      <c r="AC110" s="1897"/>
      <c r="AD110" s="1897"/>
      <c r="AE110" s="1897"/>
      <c r="AF110" s="1897"/>
      <c r="AG110" s="1897"/>
      <c r="AH110" s="1897"/>
      <c r="AI110" s="1897"/>
      <c r="AJ110" s="1898"/>
      <c r="AK110" s="574"/>
      <c r="AL110" s="574"/>
      <c r="AM110" s="574"/>
      <c r="AN110" s="569"/>
      <c r="AO110" s="570" t="str">
        <f>Application!B718</f>
        <v>1 Bedroom</v>
      </c>
      <c r="AQ110" s="570">
        <f>Application!O718</f>
        <v>840</v>
      </c>
      <c r="AU110" s="891" t="str">
        <f>E118</f>
        <v>Studio/SRO</v>
      </c>
      <c r="AV110" s="570">
        <f t="array" ref="AV110">SUM(IF(Application!B714:F738="SRO/Studio",Application!G714:J738))</f>
        <v>39</v>
      </c>
      <c r="AW110" s="1047">
        <f>AV110/AV116</f>
        <v>0.22413793103448276</v>
      </c>
    </row>
    <row r="111" spans="1:49" s="570" customFormat="1" ht="12.75" customHeight="1">
      <c r="A111" s="574"/>
      <c r="B111" s="573"/>
      <c r="C111" s="573"/>
      <c r="D111" s="573"/>
      <c r="E111" s="1896"/>
      <c r="F111" s="1897"/>
      <c r="G111" s="1897"/>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8"/>
      <c r="AK111" s="574"/>
      <c r="AL111" s="574"/>
      <c r="AM111" s="574"/>
      <c r="AN111" s="569"/>
      <c r="AO111" s="570" t="str">
        <f>Application!B719</f>
        <v>1 Bedroom</v>
      </c>
      <c r="AQ111" s="570">
        <f>Application!O719</f>
        <v>840</v>
      </c>
      <c r="AU111" s="891" t="str">
        <f>J118</f>
        <v>1-bedroom</v>
      </c>
      <c r="AV111" s="570">
        <f t="array" ref="AV111">SUM(IF(Application!B714:F738="1 Bedroom",Application!G714:J738))</f>
        <v>47</v>
      </c>
      <c r="AW111" s="1047">
        <f>AV111/AV116</f>
        <v>0.27011494252873564</v>
      </c>
    </row>
    <row r="112" spans="1:49" s="570" customFormat="1" ht="12.75" customHeight="1">
      <c r="A112" s="574"/>
      <c r="B112" s="573"/>
      <c r="C112" s="573"/>
      <c r="D112" s="573"/>
      <c r="E112" s="1896"/>
      <c r="F112" s="1897"/>
      <c r="G112" s="1897"/>
      <c r="H112" s="1897"/>
      <c r="I112" s="1897"/>
      <c r="J112" s="1897"/>
      <c r="K112" s="1897"/>
      <c r="L112" s="1897"/>
      <c r="M112" s="1897"/>
      <c r="N112" s="1897"/>
      <c r="O112" s="1897"/>
      <c r="P112" s="1897"/>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8"/>
      <c r="AK112" s="574"/>
      <c r="AL112" s="574"/>
      <c r="AM112" s="574"/>
      <c r="AN112" s="569"/>
      <c r="AO112" s="570" t="str">
        <f>Application!B720</f>
        <v>1 Bedroom</v>
      </c>
      <c r="AQ112" s="570">
        <f>Application!O720</f>
        <v>1156</v>
      </c>
      <c r="AU112" s="891" t="str">
        <f>O118</f>
        <v>2-bedroom</v>
      </c>
      <c r="AV112" s="570">
        <f t="array" ref="AV112">SUM(IF(Application!B714:F738="2 Bedrooms",Application!G714:J738))</f>
        <v>44</v>
      </c>
      <c r="AW112" s="1047">
        <f>AV112/AV116</f>
        <v>0.25287356321839083</v>
      </c>
    </row>
    <row r="113" spans="1:52" s="570" customFormat="1" ht="12.75" customHeight="1">
      <c r="A113" s="574"/>
      <c r="B113" s="573"/>
      <c r="C113" s="573"/>
      <c r="D113" s="573"/>
      <c r="E113" s="1896"/>
      <c r="F113" s="1897"/>
      <c r="G113" s="1897"/>
      <c r="H113" s="1897"/>
      <c r="I113" s="1897"/>
      <c r="J113" s="1897"/>
      <c r="K113" s="1897"/>
      <c r="L113" s="1897"/>
      <c r="M113" s="1897"/>
      <c r="N113" s="1897"/>
      <c r="O113" s="1897"/>
      <c r="P113" s="1897"/>
      <c r="Q113" s="1897"/>
      <c r="R113" s="1897"/>
      <c r="S113" s="1897"/>
      <c r="T113" s="1897"/>
      <c r="U113" s="1897"/>
      <c r="V113" s="1897"/>
      <c r="W113" s="1897"/>
      <c r="X113" s="1897"/>
      <c r="Y113" s="1897"/>
      <c r="Z113" s="1897"/>
      <c r="AA113" s="1897"/>
      <c r="AB113" s="1897"/>
      <c r="AC113" s="1897"/>
      <c r="AD113" s="1897"/>
      <c r="AE113" s="1897"/>
      <c r="AF113" s="1897"/>
      <c r="AG113" s="1897"/>
      <c r="AH113" s="1897"/>
      <c r="AI113" s="1897"/>
      <c r="AJ113" s="1898"/>
      <c r="AK113" s="574"/>
      <c r="AL113" s="574"/>
      <c r="AM113" s="574"/>
      <c r="AN113" s="569"/>
      <c r="AO113" s="570" t="str">
        <f>Application!B721</f>
        <v>1 Bedroom</v>
      </c>
      <c r="AQ113" s="570">
        <f>Application!O721</f>
        <v>1472</v>
      </c>
      <c r="AU113" s="891" t="str">
        <f>T118</f>
        <v>3-bedroom</v>
      </c>
      <c r="AV113" s="570">
        <f t="array" ref="AV113">SUM(IF(Application!B714:F738="3 Bedrooms",Application!G714:J738))</f>
        <v>44</v>
      </c>
      <c r="AW113" s="1047">
        <f>AV113/AV116</f>
        <v>0.25287356321839083</v>
      </c>
    </row>
    <row r="114" spans="1:52" s="570" customFormat="1" ht="12.75" customHeight="1">
      <c r="A114" s="574"/>
      <c r="B114" s="573"/>
      <c r="C114" s="573"/>
      <c r="D114" s="573"/>
      <c r="E114" s="1896"/>
      <c r="F114" s="1897"/>
      <c r="G114" s="1897"/>
      <c r="H114" s="1897"/>
      <c r="I114" s="1897"/>
      <c r="J114" s="1897"/>
      <c r="K114" s="1897"/>
      <c r="L114" s="1897"/>
      <c r="M114" s="1897"/>
      <c r="N114" s="1897"/>
      <c r="O114" s="1897"/>
      <c r="P114" s="1897"/>
      <c r="Q114" s="1897"/>
      <c r="R114" s="1897"/>
      <c r="S114" s="1897"/>
      <c r="T114" s="1897"/>
      <c r="U114" s="1897"/>
      <c r="V114" s="1897"/>
      <c r="W114" s="1897"/>
      <c r="X114" s="1897"/>
      <c r="Y114" s="1897"/>
      <c r="Z114" s="1897"/>
      <c r="AA114" s="1897"/>
      <c r="AB114" s="1897"/>
      <c r="AC114" s="1897"/>
      <c r="AD114" s="1897"/>
      <c r="AE114" s="1897"/>
      <c r="AF114" s="1897"/>
      <c r="AG114" s="1897"/>
      <c r="AH114" s="1897"/>
      <c r="AI114" s="1897"/>
      <c r="AJ114" s="1898"/>
      <c r="AK114" s="574"/>
      <c r="AL114" s="574"/>
      <c r="AM114" s="574"/>
      <c r="AN114" s="569"/>
      <c r="AO114" s="570" t="str">
        <f>Application!B722</f>
        <v>1 Bedroom</v>
      </c>
      <c r="AQ114" s="570">
        <f>Application!O722</f>
        <v>1788</v>
      </c>
      <c r="AU114" s="891" t="str">
        <f>Y118</f>
        <v>4-bedroom</v>
      </c>
      <c r="AV114" s="570">
        <f t="array" ref="AV114">SUM(IF(Application!B714:F738="4 Bedrooms",Application!G714:J738))</f>
        <v>0</v>
      </c>
      <c r="AW114" s="1047">
        <f>AV114/AV116</f>
        <v>0</v>
      </c>
    </row>
    <row r="115" spans="1:52" s="570" customFormat="1" ht="12.75" customHeight="1">
      <c r="A115" s="574"/>
      <c r="B115" s="573"/>
      <c r="C115" s="573"/>
      <c r="D115" s="573"/>
      <c r="E115" s="1896"/>
      <c r="F115" s="1897"/>
      <c r="G115" s="1897"/>
      <c r="H115" s="1897"/>
      <c r="I115" s="1897"/>
      <c r="J115" s="1897"/>
      <c r="K115" s="1897"/>
      <c r="L115" s="1897"/>
      <c r="M115" s="1897"/>
      <c r="N115" s="1897"/>
      <c r="O115" s="1897"/>
      <c r="P115" s="1897"/>
      <c r="Q115" s="1897"/>
      <c r="R115" s="1897"/>
      <c r="S115" s="1897"/>
      <c r="T115" s="1897"/>
      <c r="U115" s="1897"/>
      <c r="V115" s="1897"/>
      <c r="W115" s="1897"/>
      <c r="X115" s="1897"/>
      <c r="Y115" s="1897"/>
      <c r="Z115" s="1897"/>
      <c r="AA115" s="1897"/>
      <c r="AB115" s="1897"/>
      <c r="AC115" s="1897"/>
      <c r="AD115" s="1897"/>
      <c r="AE115" s="1897"/>
      <c r="AF115" s="1897"/>
      <c r="AG115" s="1897"/>
      <c r="AH115" s="1897"/>
      <c r="AI115" s="1897"/>
      <c r="AJ115" s="1898"/>
      <c r="AK115" s="574"/>
      <c r="AL115" s="574"/>
      <c r="AM115" s="574"/>
      <c r="AN115" s="569"/>
      <c r="AO115" s="570" t="str">
        <f>Application!B723</f>
        <v>2 Bedrooms</v>
      </c>
      <c r="AQ115" s="570">
        <f>Application!O723</f>
        <v>996</v>
      </c>
      <c r="AU115" s="891" t="str">
        <f>AD118</f>
        <v>5-bedroom</v>
      </c>
      <c r="AV115" s="570">
        <f t="array" ref="AV115">SUM(IF(Application!B714:F738="5 Bedrooms",Application!G714:J738))</f>
        <v>0</v>
      </c>
      <c r="AW115" s="1047">
        <f>AV115/AV116</f>
        <v>0</v>
      </c>
    </row>
    <row r="116" spans="1:52" s="570" customFormat="1" ht="12.75" customHeight="1">
      <c r="A116" s="574"/>
      <c r="B116" s="573"/>
      <c r="C116" s="573"/>
      <c r="D116" s="573"/>
      <c r="E116" s="1896"/>
      <c r="F116" s="1897"/>
      <c r="G116" s="1897"/>
      <c r="H116" s="1897"/>
      <c r="I116" s="1897"/>
      <c r="J116" s="1897"/>
      <c r="K116" s="1897"/>
      <c r="L116" s="1897"/>
      <c r="M116" s="1897"/>
      <c r="N116" s="1897"/>
      <c r="O116" s="1897"/>
      <c r="P116" s="1897"/>
      <c r="Q116" s="1897"/>
      <c r="R116" s="1897"/>
      <c r="S116" s="1897"/>
      <c r="T116" s="1897"/>
      <c r="U116" s="1897"/>
      <c r="V116" s="1897"/>
      <c r="W116" s="1897"/>
      <c r="X116" s="1897"/>
      <c r="Y116" s="1897"/>
      <c r="Z116" s="1897"/>
      <c r="AA116" s="1897"/>
      <c r="AB116" s="1897"/>
      <c r="AC116" s="1897"/>
      <c r="AD116" s="1897"/>
      <c r="AE116" s="1897"/>
      <c r="AF116" s="1897"/>
      <c r="AG116" s="1897"/>
      <c r="AH116" s="1897"/>
      <c r="AI116" s="1897"/>
      <c r="AJ116" s="1898"/>
      <c r="AK116" s="574"/>
      <c r="AL116" s="574"/>
      <c r="AM116" s="574"/>
      <c r="AN116" s="569"/>
      <c r="AO116" s="570" t="str">
        <f>Application!B724</f>
        <v>2 Bedrooms</v>
      </c>
      <c r="AQ116" s="570">
        <f>Application!O724</f>
        <v>996</v>
      </c>
      <c r="AV116" s="570">
        <f>SUM(AV110:AV115)</f>
        <v>174</v>
      </c>
      <c r="AW116" s="1047">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Application!B725</f>
        <v>2 Bedrooms</v>
      </c>
      <c r="AQ117" s="570">
        <f>Application!O725</f>
        <v>1375</v>
      </c>
    </row>
    <row r="118" spans="1:52" s="570" customFormat="1" ht="12.75" customHeight="1">
      <c r="A118" s="574"/>
      <c r="B118" s="573"/>
      <c r="C118" s="574"/>
      <c r="D118" s="574"/>
      <c r="E118" s="1876" t="s">
        <v>1765</v>
      </c>
      <c r="F118" s="1877"/>
      <c r="G118" s="1877"/>
      <c r="H118" s="1877"/>
      <c r="I118" s="611"/>
      <c r="J118" s="1877" t="s">
        <v>1810</v>
      </c>
      <c r="K118" s="1877"/>
      <c r="L118" s="1877"/>
      <c r="M118" s="1877"/>
      <c r="N118" s="611"/>
      <c r="O118" s="1877" t="s">
        <v>1811</v>
      </c>
      <c r="P118" s="1877"/>
      <c r="Q118" s="1877"/>
      <c r="R118" s="1877"/>
      <c r="S118" s="611"/>
      <c r="T118" s="1877" t="s">
        <v>1506</v>
      </c>
      <c r="U118" s="1877"/>
      <c r="V118" s="1877"/>
      <c r="W118" s="1877"/>
      <c r="X118" s="611"/>
      <c r="Y118" s="1877" t="s">
        <v>1812</v>
      </c>
      <c r="Z118" s="1877"/>
      <c r="AA118" s="1877"/>
      <c r="AB118" s="1877"/>
      <c r="AC118" s="611"/>
      <c r="AD118" s="1877" t="s">
        <v>1813</v>
      </c>
      <c r="AE118" s="1877"/>
      <c r="AF118" s="1877"/>
      <c r="AG118" s="1877"/>
      <c r="AH118" s="611"/>
      <c r="AI118" s="611"/>
      <c r="AJ118" s="613"/>
      <c r="AK118" s="574"/>
      <c r="AL118" s="574"/>
      <c r="AM118" s="574"/>
      <c r="AN118" s="569"/>
      <c r="AO118" s="570" t="str">
        <f>Application!B726</f>
        <v>2 Bedrooms</v>
      </c>
      <c r="AQ118" s="570">
        <f>Application!O726</f>
        <v>1755</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t="str">
        <f>Application!B727</f>
        <v>2 Bedrooms</v>
      </c>
      <c r="AQ119" s="570">
        <f>Application!O727</f>
        <v>1755</v>
      </c>
    </row>
    <row r="120" spans="1:52" s="570" customFormat="1" ht="12.75" customHeight="1">
      <c r="A120" s="574"/>
      <c r="B120" s="573"/>
      <c r="C120" s="574"/>
      <c r="D120" s="574"/>
      <c r="E120" s="901" t="s">
        <v>1814</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t="str">
        <f>Application!B728</f>
        <v>2 Bedrooms</v>
      </c>
      <c r="AQ120" s="570">
        <f>Application!O728</f>
        <v>2134</v>
      </c>
    </row>
    <row r="121" spans="1:52" s="570" customFormat="1" ht="12.75" customHeight="1">
      <c r="A121" s="574"/>
      <c r="B121" s="573"/>
      <c r="C121" s="574"/>
      <c r="D121" s="574"/>
      <c r="E121" s="1933">
        <v>2615</v>
      </c>
      <c r="F121" s="1934"/>
      <c r="G121" s="1934"/>
      <c r="H121" s="1934"/>
      <c r="I121" s="899"/>
      <c r="J121" s="1934">
        <v>2365</v>
      </c>
      <c r="K121" s="1934"/>
      <c r="L121" s="1934"/>
      <c r="M121" s="1934"/>
      <c r="N121" s="899"/>
      <c r="O121" s="1934">
        <v>3302</v>
      </c>
      <c r="P121" s="1934"/>
      <c r="Q121" s="1934"/>
      <c r="R121" s="1934"/>
      <c r="S121" s="899"/>
      <c r="T121" s="1934">
        <v>4409</v>
      </c>
      <c r="U121" s="1934"/>
      <c r="V121" s="1934"/>
      <c r="W121" s="1934"/>
      <c r="X121" s="899"/>
      <c r="Y121" s="1934"/>
      <c r="Z121" s="1934"/>
      <c r="AA121" s="1934"/>
      <c r="AB121" s="1934"/>
      <c r="AC121" s="899"/>
      <c r="AD121" s="1934"/>
      <c r="AE121" s="1934"/>
      <c r="AF121" s="1934"/>
      <c r="AG121" s="1934"/>
      <c r="AH121" s="611"/>
      <c r="AI121" s="611"/>
      <c r="AJ121" s="613"/>
      <c r="AK121" s="574"/>
      <c r="AL121" s="574"/>
      <c r="AM121" s="574"/>
      <c r="AN121" s="569"/>
      <c r="AO121" s="570" t="str">
        <f>Application!B729</f>
        <v>2 Bedrooms</v>
      </c>
      <c r="AQ121" s="570">
        <f>Application!O729</f>
        <v>2513</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t="str">
        <f>Application!B730</f>
        <v>3 Bedrooms</v>
      </c>
      <c r="AQ122" s="570">
        <f>Application!O730</f>
        <v>1141</v>
      </c>
      <c r="AU122" s="1045"/>
      <c r="AV122" s="1045"/>
      <c r="AW122" s="1045"/>
      <c r="AX122" s="1045"/>
      <c r="AY122" s="1045"/>
      <c r="AZ122" s="1045"/>
    </row>
    <row r="123" spans="1:52" s="570" customFormat="1" ht="12.75" customHeight="1">
      <c r="A123" s="574"/>
      <c r="B123" s="573"/>
      <c r="C123" s="574"/>
      <c r="D123" s="574"/>
      <c r="E123" s="901" t="s">
        <v>2106</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t="str">
        <f>Application!B731</f>
        <v>3 Bedrooms</v>
      </c>
      <c r="AQ123" s="570">
        <f>Application!O731</f>
        <v>1141</v>
      </c>
      <c r="AU123" s="1045"/>
      <c r="AV123" s="1045"/>
      <c r="AW123" s="1045"/>
      <c r="AX123" s="1045"/>
      <c r="AY123" s="1045"/>
      <c r="AZ123" s="1045"/>
    </row>
    <row r="124" spans="1:52" s="570" customFormat="1" ht="12.75" customHeight="1">
      <c r="A124" s="574"/>
      <c r="B124" s="573"/>
      <c r="C124" s="574"/>
      <c r="D124" s="574"/>
      <c r="E124" s="1926">
        <f>Application!DX649</f>
        <v>883.33333333333326</v>
      </c>
      <c r="F124" s="1927"/>
      <c r="G124" s="1927"/>
      <c r="H124" s="1927"/>
      <c r="I124" s="899"/>
      <c r="J124" s="1927">
        <f>Application!EC649</f>
        <v>1135.8297872340424</v>
      </c>
      <c r="K124" s="1927"/>
      <c r="L124" s="1927"/>
      <c r="M124" s="1927"/>
      <c r="N124" s="899"/>
      <c r="O124" s="1927">
        <f>Application!EH649</f>
        <v>1659.840909090909</v>
      </c>
      <c r="P124" s="1927"/>
      <c r="Q124" s="1927"/>
      <c r="R124" s="1927"/>
      <c r="S124" s="903"/>
      <c r="T124" s="1927">
        <f>Application!EM649</f>
        <v>1907.5</v>
      </c>
      <c r="U124" s="1927"/>
      <c r="V124" s="1927"/>
      <c r="W124" s="1927"/>
      <c r="X124" s="903"/>
      <c r="Y124" s="1927">
        <f>Application!ER649</f>
        <v>0</v>
      </c>
      <c r="Z124" s="1927"/>
      <c r="AA124" s="1927"/>
      <c r="AB124" s="1927"/>
      <c r="AC124" s="903"/>
      <c r="AD124" s="1927">
        <f>Application!EW649</f>
        <v>0</v>
      </c>
      <c r="AE124" s="1927"/>
      <c r="AF124" s="1927"/>
      <c r="AG124" s="1927"/>
      <c r="AH124" s="611"/>
      <c r="AI124" s="611"/>
      <c r="AJ124" s="613"/>
      <c r="AK124" s="574"/>
      <c r="AL124" s="574"/>
      <c r="AM124" s="574"/>
      <c r="AN124" s="569"/>
      <c r="AO124" s="570" t="str">
        <f>Application!B732</f>
        <v>3 Bedrooms</v>
      </c>
      <c r="AQ124" s="570">
        <f>Application!O732</f>
        <v>1579</v>
      </c>
      <c r="AU124" s="1045"/>
      <c r="AV124" s="1045"/>
      <c r="AW124" s="1046"/>
      <c r="AX124" s="1046"/>
      <c r="AY124" s="1045"/>
      <c r="AZ124" s="1045"/>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Application!B733</f>
        <v>3 Bedrooms</v>
      </c>
      <c r="AQ125" s="570">
        <f>Application!O733</f>
        <v>2017</v>
      </c>
      <c r="AU125" s="1045"/>
      <c r="AV125" s="1045"/>
      <c r="AW125" s="1046"/>
      <c r="AX125" s="1046"/>
      <c r="AY125" s="1045"/>
      <c r="AZ125" s="1045"/>
    </row>
    <row r="126" spans="1:52" s="570" customFormat="1" ht="12.75" customHeight="1">
      <c r="A126" s="574"/>
      <c r="B126" s="573"/>
      <c r="C126" s="574"/>
      <c r="D126" s="574"/>
      <c r="E126" s="901" t="s">
        <v>2107</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Application!B734</f>
        <v>3 Bedrooms</v>
      </c>
      <c r="AQ126" s="570">
        <f>Application!O734</f>
        <v>2017</v>
      </c>
      <c r="AU126" s="1045"/>
      <c r="AV126" s="1045"/>
      <c r="AW126" s="1046"/>
      <c r="AX126" s="1046"/>
      <c r="AY126" s="1045"/>
      <c r="AZ126" s="1045"/>
    </row>
    <row r="127" spans="1:52" s="570" customFormat="1" ht="12.75" customHeight="1">
      <c r="A127" s="574"/>
      <c r="B127" s="573"/>
      <c r="C127" s="574"/>
      <c r="D127" s="574"/>
      <c r="E127" s="2119">
        <f>(E121-E124)/E121</f>
        <v>0.66220522625876355</v>
      </c>
      <c r="F127" s="1879"/>
      <c r="G127" s="1879"/>
      <c r="H127" s="2120"/>
      <c r="I127" s="611"/>
      <c r="J127" s="2119">
        <f>(J121-J124)/J121</f>
        <v>0.51973370518645134</v>
      </c>
      <c r="K127" s="1879"/>
      <c r="L127" s="1879"/>
      <c r="M127" s="2120"/>
      <c r="N127" s="611"/>
      <c r="O127" s="2119">
        <f>(O121-O124)/O121</f>
        <v>0.49732255933043334</v>
      </c>
      <c r="P127" s="1879"/>
      <c r="Q127" s="1879"/>
      <c r="R127" s="2120"/>
      <c r="S127" s="611"/>
      <c r="T127" s="2119">
        <f>(T121-T124)/T121</f>
        <v>0.56736221365388972</v>
      </c>
      <c r="U127" s="1879"/>
      <c r="V127" s="1879"/>
      <c r="W127" s="2120"/>
      <c r="X127" s="611"/>
      <c r="Y127" s="2119" t="e">
        <f>(Y121-Y124)/Y121</f>
        <v>#DIV/0!</v>
      </c>
      <c r="Z127" s="1879"/>
      <c r="AA127" s="1879"/>
      <c r="AB127" s="2120"/>
      <c r="AC127" s="611"/>
      <c r="AD127" s="2119" t="e">
        <f>(AD121-AD124)/AD121</f>
        <v>#DIV/0!</v>
      </c>
      <c r="AE127" s="1879"/>
      <c r="AF127" s="1879"/>
      <c r="AG127" s="2120"/>
      <c r="AH127" s="611"/>
      <c r="AI127" s="611"/>
      <c r="AJ127" s="613"/>
      <c r="AK127" s="574"/>
      <c r="AL127" s="574"/>
      <c r="AM127" s="574"/>
      <c r="AN127" s="569"/>
      <c r="AO127" s="570" t="str">
        <f>Application!B735</f>
        <v>3 Bedrooms</v>
      </c>
      <c r="AQ127" s="570">
        <f>Application!O735</f>
        <v>2455</v>
      </c>
      <c r="AU127" s="1045"/>
      <c r="AV127" s="1045"/>
      <c r="AW127" s="1046"/>
      <c r="AX127" s="1046"/>
      <c r="AY127" s="1045"/>
      <c r="AZ127" s="1045"/>
    </row>
    <row r="128" spans="1:52" s="570" customFormat="1" ht="12.75" customHeight="1">
      <c r="A128" s="574"/>
      <c r="B128" s="573"/>
      <c r="C128" s="574"/>
      <c r="D128" s="574"/>
      <c r="E128" s="1040"/>
      <c r="F128" s="1039"/>
      <c r="G128" s="1039"/>
      <c r="H128" s="1039"/>
      <c r="I128" s="611"/>
      <c r="J128" s="1039"/>
      <c r="K128" s="1039"/>
      <c r="L128" s="1039"/>
      <c r="M128" s="1039"/>
      <c r="N128" s="611"/>
      <c r="O128" s="1039"/>
      <c r="P128" s="1039"/>
      <c r="Q128" s="1039"/>
      <c r="R128" s="1039"/>
      <c r="S128" s="611"/>
      <c r="T128" s="1039"/>
      <c r="U128" s="1039"/>
      <c r="V128" s="1039"/>
      <c r="W128" s="1039"/>
      <c r="X128" s="611"/>
      <c r="Y128" s="1039"/>
      <c r="Z128" s="1039"/>
      <c r="AA128" s="1039"/>
      <c r="AB128" s="1039"/>
      <c r="AC128" s="611"/>
      <c r="AD128" s="1039"/>
      <c r="AE128" s="1039"/>
      <c r="AF128" s="1039"/>
      <c r="AG128" s="1039"/>
      <c r="AH128" s="611"/>
      <c r="AI128" s="611"/>
      <c r="AJ128" s="613"/>
      <c r="AK128" s="574"/>
      <c r="AL128" s="574"/>
      <c r="AM128" s="574"/>
      <c r="AN128" s="569"/>
      <c r="AO128" s="570" t="str">
        <f>Application!B736</f>
        <v>3 Bedrooms</v>
      </c>
      <c r="AQ128" s="570">
        <f>Application!O736</f>
        <v>2893</v>
      </c>
      <c r="AU128" s="1045"/>
      <c r="AV128" s="1045"/>
      <c r="AW128" s="1046"/>
      <c r="AX128" s="1046"/>
      <c r="AY128" s="1045"/>
      <c r="AZ128" s="1045"/>
    </row>
    <row r="129" spans="1:52" s="570" customFormat="1" ht="12.75" customHeight="1">
      <c r="A129" s="574"/>
      <c r="B129" s="573"/>
      <c r="C129" s="574"/>
      <c r="D129" s="574"/>
      <c r="E129" s="1041" t="s">
        <v>2108</v>
      </c>
      <c r="F129" s="1039"/>
      <c r="G129" s="1039"/>
      <c r="H129" s="1039"/>
      <c r="I129" s="611"/>
      <c r="J129" s="1039"/>
      <c r="K129" s="1039"/>
      <c r="L129" s="1039"/>
      <c r="M129" s="1039"/>
      <c r="N129" s="611"/>
      <c r="O129" s="1039"/>
      <c r="P129" s="1039"/>
      <c r="Q129" s="1039"/>
      <c r="R129" s="1039"/>
      <c r="S129" s="611"/>
      <c r="T129" s="1039"/>
      <c r="U129" s="1039"/>
      <c r="V129" s="1039"/>
      <c r="W129" s="1039"/>
      <c r="X129" s="611"/>
      <c r="Y129" s="1039"/>
      <c r="Z129" s="1039"/>
      <c r="AA129" s="1039"/>
      <c r="AB129" s="1039"/>
      <c r="AC129" s="611"/>
      <c r="AD129" s="1039"/>
      <c r="AE129" s="1039"/>
      <c r="AF129" s="1039"/>
      <c r="AG129" s="1039"/>
      <c r="AH129" s="611"/>
      <c r="AI129" s="611"/>
      <c r="AJ129" s="613"/>
      <c r="AK129" s="574"/>
      <c r="AL129" s="574"/>
      <c r="AM129" s="574"/>
      <c r="AN129" s="569"/>
      <c r="AO129" s="570">
        <f>Application!B737</f>
        <v>0</v>
      </c>
      <c r="AQ129" s="570">
        <f>Application!O737</f>
        <v>0</v>
      </c>
      <c r="AU129" s="1046"/>
      <c r="AV129" s="1045"/>
      <c r="AW129" s="1046"/>
      <c r="AX129" s="1046"/>
      <c r="AY129" s="1045"/>
      <c r="AZ129" s="1045"/>
    </row>
    <row r="130" spans="1:52" s="570" customFormat="1" ht="12.75" customHeight="1">
      <c r="A130" s="574"/>
      <c r="B130" s="573"/>
      <c r="C130" s="574"/>
      <c r="D130" s="574"/>
      <c r="E130" s="1928">
        <f>IF(((E127-0.1)*AW110)&gt;0,((E127-0.1)*AW110),0)</f>
        <v>0.12601151623041251</v>
      </c>
      <c r="F130" s="1929"/>
      <c r="G130" s="1929"/>
      <c r="H130" s="1930"/>
      <c r="I130" s="611"/>
      <c r="J130" s="1928">
        <f>IF(((J127-0.1)*AW111)&gt;0,((J127-0.1)*AW111),0)</f>
        <v>0.11337634565381158</v>
      </c>
      <c r="K130" s="1929"/>
      <c r="L130" s="1929"/>
      <c r="M130" s="1930"/>
      <c r="N130" s="611"/>
      <c r="O130" s="1928">
        <f>IF(((O127-0.1)*AW112)&gt;0,((O127-0.1)*AW112),0)</f>
        <v>0.10047237132493718</v>
      </c>
      <c r="P130" s="1929"/>
      <c r="Q130" s="1929"/>
      <c r="R130" s="1930"/>
      <c r="S130" s="611"/>
      <c r="T130" s="1928">
        <f>IF(((T127-0.1)*AW113)&gt;0,((T127-0.1)*AW113),0)</f>
        <v>0.11818354828029397</v>
      </c>
      <c r="U130" s="1929"/>
      <c r="V130" s="1929"/>
      <c r="W130" s="1930"/>
      <c r="X130" s="611"/>
      <c r="Y130" s="1928" t="e">
        <f>IF(((Y127-0.1)*AW114)&gt;0,((Y127-0.1)*AW114),0)</f>
        <v>#DIV/0!</v>
      </c>
      <c r="Z130" s="1929"/>
      <c r="AA130" s="1929"/>
      <c r="AB130" s="1930"/>
      <c r="AC130" s="611"/>
      <c r="AD130" s="1928" t="e">
        <f>IF(((AD127-0.1)*AW115)&gt;0,((AD127-0.1)*AW115),0)</f>
        <v>#DIV/0!</v>
      </c>
      <c r="AE130" s="1929"/>
      <c r="AF130" s="1929"/>
      <c r="AG130" s="1930"/>
      <c r="AH130" s="611"/>
      <c r="AI130" s="611"/>
      <c r="AJ130" s="613"/>
      <c r="AK130" s="574"/>
      <c r="AL130" s="574"/>
      <c r="AM130" s="574"/>
      <c r="AN130" s="569"/>
      <c r="AO130" s="570">
        <f>Application!B738</f>
        <v>0</v>
      </c>
      <c r="AQ130" s="570">
        <f>Application!O738</f>
        <v>0</v>
      </c>
      <c r="AU130" s="1045"/>
      <c r="AV130" s="1045"/>
      <c r="AW130" s="1045"/>
      <c r="AX130" s="1046"/>
      <c r="AY130" s="1045"/>
      <c r="AZ130" s="1045"/>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5"/>
      <c r="AV131" s="1045"/>
      <c r="AW131" s="1045"/>
      <c r="AX131" s="1045"/>
      <c r="AY131" s="1045"/>
      <c r="AZ131" s="1045"/>
    </row>
    <row r="132" spans="1:52" s="570" customFormat="1" ht="12.75" customHeight="1">
      <c r="A132" s="574"/>
      <c r="B132" s="573"/>
      <c r="C132" s="574"/>
      <c r="D132" s="574"/>
      <c r="E132" s="2119">
        <f>ROUNDDOWN(SUMIF(E130:AG130,"&gt;0"),2)</f>
        <v>0.45</v>
      </c>
      <c r="F132" s="1879"/>
      <c r="G132" s="1879"/>
      <c r="H132" s="2120"/>
      <c r="I132" s="611"/>
      <c r="J132" s="614" t="s">
        <v>2109</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45"/>
      <c r="AV132" s="1045"/>
      <c r="AW132" s="1045"/>
      <c r="AX132" s="1046"/>
      <c r="AY132" s="1045"/>
      <c r="AZ132" s="1045"/>
    </row>
    <row r="133" spans="1:52" s="570" customFormat="1" ht="12.75" customHeight="1">
      <c r="A133" s="574"/>
      <c r="B133" s="573"/>
      <c r="C133" s="574"/>
      <c r="D133" s="574"/>
      <c r="E133" s="1912">
        <f>IF((E132*100)&gt;10,10,E132*100)</f>
        <v>10</v>
      </c>
      <c r="F133" s="1913"/>
      <c r="G133" s="1913"/>
      <c r="H133" s="1914"/>
      <c r="I133" s="611"/>
      <c r="J133" s="614" t="s">
        <v>1500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5"/>
      <c r="AV133" s="1045"/>
      <c r="AW133" s="1045"/>
      <c r="AX133" s="1045"/>
      <c r="AY133" s="1045"/>
      <c r="AZ133" s="1045"/>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8"/>
      <c r="AU134" s="1045"/>
      <c r="AV134" s="1045"/>
      <c r="AW134" s="1046"/>
      <c r="AX134" s="1045"/>
      <c r="AY134" s="1045"/>
      <c r="AZ134" s="1045"/>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5"/>
      <c r="AV135" s="1045"/>
      <c r="AW135" s="1045"/>
      <c r="AX135" s="1045"/>
      <c r="AY135" s="1045"/>
      <c r="AZ135" s="1045"/>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1507</v>
      </c>
      <c r="AK137" s="1912">
        <f>E133</f>
        <v>10</v>
      </c>
      <c r="AL137" s="1913"/>
      <c r="AM137" s="191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1508</v>
      </c>
      <c r="AE140" s="1892" t="s">
        <v>1486</v>
      </c>
      <c r="AF140" s="1892"/>
      <c r="AG140" s="1892"/>
      <c r="AH140" s="1892"/>
      <c r="AI140" s="1892"/>
      <c r="AJ140" s="1892"/>
      <c r="AK140" s="1892"/>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1509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4" t="s">
        <v>1510</v>
      </c>
      <c r="AG142" s="1924"/>
      <c r="AH142" s="1924"/>
      <c r="AI142" s="1924"/>
      <c r="AJ142" s="1924"/>
      <c r="AK142" s="1924"/>
      <c r="AL142" s="192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5" t="s">
        <v>2681</v>
      </c>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309</v>
      </c>
      <c r="AP145" s="579"/>
    </row>
    <row r="146" spans="1:42" s="570" customFormat="1" ht="12.75" customHeight="1">
      <c r="A146" s="572"/>
      <c r="B146" s="573" t="s">
        <v>1511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1512</v>
      </c>
      <c r="AP146" s="523">
        <v>5</v>
      </c>
    </row>
    <row r="147" spans="1:42" s="570" customFormat="1" ht="12.75" customHeight="1">
      <c r="A147" s="572"/>
      <c r="B147" s="1950" t="s">
        <v>1513</v>
      </c>
      <c r="C147" s="1950"/>
      <c r="D147" s="1950"/>
      <c r="E147" s="1950"/>
      <c r="F147" s="1950"/>
      <c r="G147" s="1950"/>
      <c r="H147" s="1950"/>
      <c r="I147" s="1950"/>
      <c r="J147" s="1950"/>
      <c r="K147" s="1950"/>
      <c r="L147" s="1950"/>
      <c r="M147" s="1950"/>
      <c r="N147" s="1950"/>
      <c r="O147" s="1950"/>
      <c r="P147" s="1950"/>
      <c r="Q147" s="1950"/>
      <c r="R147" s="1950"/>
      <c r="S147" s="1950"/>
      <c r="T147" s="1950"/>
      <c r="U147" s="1950"/>
      <c r="V147" s="1950"/>
      <c r="W147" s="1950"/>
      <c r="X147" s="1950"/>
      <c r="Y147" s="1950"/>
      <c r="Z147" s="1950"/>
      <c r="AA147" s="1950"/>
      <c r="AB147" s="1950"/>
      <c r="AC147" s="1950"/>
      <c r="AD147" s="1950"/>
      <c r="AE147" s="1950"/>
      <c r="AF147" s="1950"/>
      <c r="AG147" s="1950"/>
      <c r="AH147" s="1950"/>
      <c r="AI147" s="1950"/>
      <c r="AM147" s="573"/>
      <c r="AN147" s="569"/>
      <c r="AO147" s="510" t="s">
        <v>1513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2414</v>
      </c>
      <c r="AP148" s="523">
        <v>7</v>
      </c>
    </row>
    <row r="149" spans="1:42" s="570" customFormat="1" ht="12.75" customHeight="1">
      <c r="A149" s="572"/>
      <c r="B149" s="573" t="s">
        <v>1514</v>
      </c>
      <c r="AB149" s="1951" t="s">
        <v>600</v>
      </c>
      <c r="AC149" s="195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1515</v>
      </c>
      <c r="AP150" s="523"/>
    </row>
    <row r="151" spans="1:42" s="570" customFormat="1" ht="12.75" customHeight="1">
      <c r="A151" s="572"/>
      <c r="B151" s="572" t="s">
        <v>1516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1517</v>
      </c>
      <c r="AP151" s="523">
        <v>5</v>
      </c>
    </row>
    <row r="152" spans="1:42" s="570" customFormat="1" ht="12.75" customHeight="1">
      <c r="A152" s="572"/>
      <c r="B152" s="1950" t="s">
        <v>1515</v>
      </c>
      <c r="C152" s="1950"/>
      <c r="D152" s="1950"/>
      <c r="E152" s="1950"/>
      <c r="F152" s="1950"/>
      <c r="G152" s="1950"/>
      <c r="H152" s="1950"/>
      <c r="I152" s="1950"/>
      <c r="J152" s="1950"/>
      <c r="K152" s="1950"/>
      <c r="L152" s="1950"/>
      <c r="M152" s="1950"/>
      <c r="N152" s="1950"/>
      <c r="O152" s="1950"/>
      <c r="P152" s="1950"/>
      <c r="Q152" s="1950"/>
      <c r="R152" s="1950"/>
      <c r="S152" s="1950"/>
      <c r="T152" s="1950"/>
      <c r="U152" s="1950"/>
      <c r="V152" s="1950"/>
      <c r="W152" s="1950"/>
      <c r="X152" s="1950"/>
      <c r="Y152" s="1950"/>
      <c r="Z152" s="1950"/>
      <c r="AA152" s="1950"/>
      <c r="AB152" s="1950"/>
      <c r="AC152" s="1950"/>
      <c r="AD152" s="1950"/>
      <c r="AE152" s="1950"/>
      <c r="AF152" s="1950"/>
      <c r="AG152" s="1950"/>
      <c r="AH152" s="1950"/>
      <c r="AI152" s="1950"/>
      <c r="AJ152" s="1950"/>
      <c r="AN152" s="569"/>
      <c r="AO152" s="510" t="s">
        <v>1518</v>
      </c>
      <c r="AP152" s="523">
        <v>7</v>
      </c>
    </row>
    <row r="153" spans="1:42" s="570" customFormat="1" ht="12.75" customHeight="1">
      <c r="B153" s="573" t="s">
        <v>1519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1521</v>
      </c>
      <c r="AJ155" s="1953">
        <f>IF($AB$149="N/A",VLOOKUP($B$147,$AO$145:$AP$148,2,FALSE),VLOOKUP($B$152,$AO$150:$AP$153,2,FALSE))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4" t="s">
        <v>1524</v>
      </c>
      <c r="AG157" s="1924"/>
      <c r="AH157" s="1924"/>
      <c r="AI157" s="1924"/>
      <c r="AJ157" s="1924"/>
      <c r="AK157" s="1924"/>
      <c r="AL157" s="1924"/>
      <c r="AM157" s="637"/>
      <c r="AN157" s="632"/>
    </row>
    <row r="158" spans="1:42" s="584" customFormat="1" ht="12.75" customHeight="1">
      <c r="A158" s="570"/>
      <c r="B158" s="573" t="s">
        <v>1525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0" t="s">
        <v>1522</v>
      </c>
      <c r="D159" s="1950"/>
      <c r="E159" s="1950"/>
      <c r="F159" s="1950"/>
      <c r="G159" s="1950"/>
      <c r="H159" s="1950"/>
      <c r="I159" s="1950"/>
      <c r="J159" s="1950"/>
      <c r="K159" s="1950"/>
      <c r="L159" s="1950"/>
      <c r="M159" s="1950"/>
      <c r="N159" s="1950"/>
      <c r="O159" s="1950"/>
      <c r="P159" s="1950"/>
      <c r="Q159" s="1950"/>
      <c r="R159" s="1950"/>
      <c r="S159" s="1950"/>
      <c r="T159" s="1950"/>
      <c r="U159" s="1950"/>
      <c r="V159" s="1950"/>
      <c r="W159" s="1950"/>
      <c r="X159" s="1950"/>
      <c r="Y159" s="1950"/>
      <c r="Z159" s="1950"/>
      <c r="AA159" s="1950"/>
      <c r="AB159" s="1950"/>
      <c r="AC159" s="1950"/>
      <c r="AD159" s="1950"/>
      <c r="AE159" s="1950"/>
      <c r="AF159" s="1950"/>
      <c r="AG159" s="1950"/>
      <c r="AH159" s="1950"/>
      <c r="AI159" s="1950"/>
      <c r="AJ159" s="570"/>
      <c r="AK159" s="570"/>
      <c r="AL159" s="570"/>
      <c r="AM159" s="637"/>
      <c r="AN159" s="631"/>
      <c r="AO159" s="510" t="s">
        <v>309</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1520</v>
      </c>
      <c r="AP160" s="633">
        <v>2</v>
      </c>
    </row>
    <row r="161" spans="1:73" s="584" customFormat="1" ht="12.75" customHeight="1">
      <c r="A161" s="570"/>
      <c r="B161" s="570"/>
      <c r="C161" s="573" t="s">
        <v>1527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1951" t="s">
        <v>600</v>
      </c>
      <c r="AD161" s="1951"/>
      <c r="AE161" s="570"/>
      <c r="AF161" s="570"/>
      <c r="AG161" s="570"/>
      <c r="AH161" s="570"/>
      <c r="AI161" s="570"/>
      <c r="AJ161" s="570"/>
      <c r="AK161" s="570"/>
      <c r="AL161" s="570"/>
      <c r="AM161" s="637"/>
      <c r="AN161" s="631"/>
      <c r="AO161" s="510" t="s">
        <v>1522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1816</v>
      </c>
      <c r="AP162" s="633">
        <v>3</v>
      </c>
    </row>
    <row r="163" spans="1:73" s="584" customFormat="1" ht="12.75" customHeight="1">
      <c r="A163" s="570"/>
      <c r="B163" s="570"/>
      <c r="C163" s="1950" t="s">
        <v>1515</v>
      </c>
      <c r="D163" s="1950"/>
      <c r="E163" s="1950"/>
      <c r="F163" s="1950"/>
      <c r="G163" s="1950"/>
      <c r="H163" s="1950"/>
      <c r="I163" s="1950"/>
      <c r="J163" s="1950"/>
      <c r="K163" s="1950"/>
      <c r="L163" s="1950"/>
      <c r="M163" s="1950"/>
      <c r="N163" s="1950"/>
      <c r="O163" s="1950"/>
      <c r="P163" s="1950"/>
      <c r="Q163" s="1950"/>
      <c r="R163" s="1950"/>
      <c r="S163" s="1950"/>
      <c r="T163" s="1950"/>
      <c r="U163" s="1950"/>
      <c r="V163" s="1950"/>
      <c r="W163" s="1950"/>
      <c r="X163" s="1950"/>
      <c r="Y163" s="1950"/>
      <c r="Z163" s="1950"/>
      <c r="AA163" s="1950"/>
      <c r="AB163" s="1950"/>
      <c r="AC163" s="1950"/>
      <c r="AD163" s="1950"/>
      <c r="AE163" s="570"/>
      <c r="AF163" s="570"/>
      <c r="AG163" s="570"/>
      <c r="AH163" s="570"/>
      <c r="AI163" s="570"/>
      <c r="AJ163" s="570"/>
      <c r="AK163" s="570"/>
      <c r="AL163" s="570"/>
      <c r="AM163" s="637"/>
      <c r="AN163" s="631"/>
      <c r="AO163" s="636"/>
      <c r="AP163" s="633"/>
    </row>
    <row r="164" spans="1:73" s="584" customFormat="1" ht="12.75" customHeight="1">
      <c r="A164" s="570"/>
      <c r="B164" s="570"/>
      <c r="C164" s="573" t="s">
        <v>1519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1529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1515</v>
      </c>
      <c r="AP166" s="510"/>
    </row>
    <row r="167" spans="1:73" s="584" customFormat="1" ht="12.75" customHeight="1">
      <c r="A167" s="570"/>
      <c r="B167" s="570"/>
      <c r="C167" s="1925" t="s">
        <v>2640</v>
      </c>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c r="AB167" s="1925"/>
      <c r="AC167" s="1925"/>
      <c r="AD167" s="1925"/>
      <c r="AE167" s="570"/>
      <c r="AF167" s="570"/>
      <c r="AG167" s="570"/>
      <c r="AH167" s="570"/>
      <c r="AI167" s="570"/>
      <c r="AJ167" s="570"/>
      <c r="AK167" s="570"/>
      <c r="AL167" s="570"/>
      <c r="AM167" s="637"/>
      <c r="AN167" s="631"/>
      <c r="AO167" s="510" t="s">
        <v>1526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1528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1530</v>
      </c>
      <c r="AJ169" s="1952">
        <f>IF($AC$161="N/A",VLOOKUP($C$159,$AO$159:$AP$162,2,FALSE),VLOOKUP($C$163,$AO$166:$AP$168,2,FALSE))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1531</v>
      </c>
      <c r="AK172" s="1912">
        <f>$AJ$155+$AJ$169</f>
        <v>10</v>
      </c>
      <c r="AL172" s="1913"/>
      <c r="AM172" s="191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1532</v>
      </c>
      <c r="AQ174" s="646">
        <v>0</v>
      </c>
    </row>
    <row r="175" spans="1:73" s="584" customFormat="1" ht="12.75" customHeight="1">
      <c r="A175" s="572" t="s">
        <v>1533</v>
      </c>
      <c r="B175" s="572" t="s">
        <v>1987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2" t="s">
        <v>1486</v>
      </c>
      <c r="AF175" s="1892"/>
      <c r="AG175" s="1892"/>
      <c r="AH175" s="1892"/>
      <c r="AI175" s="1892"/>
      <c r="AJ175" s="1892"/>
      <c r="AK175" s="1892"/>
      <c r="AL175" s="625"/>
      <c r="AN175" s="631"/>
      <c r="AP175" s="584" t="s">
        <v>1102</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1534</v>
      </c>
      <c r="AQ176" s="584">
        <v>10</v>
      </c>
    </row>
    <row r="177" spans="1:45" s="584" customFormat="1" ht="12.75" customHeight="1">
      <c r="A177" s="570"/>
      <c r="B177" s="1948" t="s">
        <v>1102</v>
      </c>
      <c r="C177" s="1948"/>
      <c r="D177" s="1948"/>
      <c r="E177" s="1948"/>
      <c r="F177" s="1948"/>
      <c r="G177" s="1948"/>
      <c r="H177" s="1948"/>
      <c r="I177" s="1948"/>
      <c r="J177" s="1948"/>
      <c r="K177" s="1948"/>
      <c r="L177" s="1948"/>
      <c r="M177" s="1948"/>
      <c r="N177" s="1948"/>
      <c r="O177" s="1948"/>
      <c r="P177" s="1948"/>
      <c r="Q177" s="1948"/>
      <c r="R177" s="1948"/>
      <c r="S177" s="1948"/>
      <c r="T177" s="1948"/>
      <c r="U177" s="1948"/>
      <c r="V177" s="1948"/>
      <c r="W177" s="1948"/>
      <c r="X177" s="1948"/>
      <c r="Y177" s="1948"/>
      <c r="Z177" s="1948"/>
      <c r="AA177" s="1948"/>
      <c r="AB177" s="1948"/>
      <c r="AC177" s="1948"/>
      <c r="AD177" s="570"/>
      <c r="AE177" s="570"/>
      <c r="AF177" s="1924" t="s">
        <v>1535</v>
      </c>
      <c r="AG177" s="1924"/>
      <c r="AH177" s="1924"/>
      <c r="AI177" s="1924"/>
      <c r="AJ177" s="1924"/>
      <c r="AK177" s="1924"/>
      <c r="AL177" s="1924"/>
      <c r="AN177" s="631"/>
      <c r="AP177" s="584" t="s">
        <v>1104</v>
      </c>
      <c r="AQ177" s="584">
        <v>10</v>
      </c>
    </row>
    <row r="178" spans="1:45" s="584" customFormat="1" ht="12.75" customHeight="1">
      <c r="A178" s="570"/>
      <c r="B178" s="1949" t="s">
        <v>1986</v>
      </c>
      <c r="C178" s="1949"/>
      <c r="D178" s="1949"/>
      <c r="E178" s="1949"/>
      <c r="F178" s="1949"/>
      <c r="G178" s="1949"/>
      <c r="H178" s="1949"/>
      <c r="I178" s="1949"/>
      <c r="J178" s="1949"/>
      <c r="K178" s="1949"/>
      <c r="L178" s="1949"/>
      <c r="M178" s="1949"/>
      <c r="N178" s="1949"/>
      <c r="O178" s="1949"/>
      <c r="P178" s="1949"/>
      <c r="Q178" s="1949"/>
      <c r="R178" s="1949"/>
      <c r="S178" s="1949"/>
      <c r="T178" s="1925" t="s">
        <v>600</v>
      </c>
      <c r="U178" s="1925"/>
      <c r="V178" s="1925"/>
      <c r="W178" s="1925"/>
      <c r="X178" s="1925"/>
      <c r="Y178" s="1925"/>
      <c r="Z178" s="1925"/>
      <c r="AA178" s="1925"/>
      <c r="AB178" s="1925"/>
      <c r="AC178" s="1925"/>
      <c r="AD178" s="570"/>
      <c r="AE178" s="570"/>
      <c r="AF178" s="570"/>
      <c r="AG178" s="570"/>
      <c r="AH178" s="570"/>
      <c r="AI178" s="570"/>
      <c r="AJ178" s="577"/>
      <c r="AK178" s="629"/>
      <c r="AL178" s="629"/>
      <c r="AM178" s="629"/>
      <c r="AN178" s="631"/>
      <c r="AP178" s="584" t="s">
        <v>1536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1539</v>
      </c>
      <c r="AQ179" s="584">
        <v>10</v>
      </c>
      <c r="AS179" s="584" t="s">
        <v>1537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1538</v>
      </c>
      <c r="AK180" s="1957">
        <f>IF(AK78&gt;0,VLOOKUP($B$177,AP174:AQ180,2,FALSE),0)</f>
        <v>10</v>
      </c>
      <c r="AL180" s="1958"/>
      <c r="AM180" s="1959"/>
      <c r="AN180" s="569"/>
      <c r="AP180" s="584" t="s">
        <v>1541</v>
      </c>
      <c r="AQ180" s="584">
        <v>10</v>
      </c>
      <c r="AS180" s="584" t="s">
        <v>1540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1542</v>
      </c>
      <c r="B183" s="572" t="s">
        <v>1543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2" t="s">
        <v>1544</v>
      </c>
      <c r="AF183" s="1892"/>
      <c r="AG183" s="1892"/>
      <c r="AH183" s="1892"/>
      <c r="AI183" s="1892"/>
      <c r="AJ183" s="1892"/>
      <c r="AK183" s="189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9" t="s">
        <v>1766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1802</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36" t="s">
        <v>2625</v>
      </c>
      <c r="C188" s="1936"/>
      <c r="D188" s="1936"/>
      <c r="E188" s="1936"/>
      <c r="F188" s="1936"/>
      <c r="G188" s="1936"/>
      <c r="H188" s="1936"/>
      <c r="I188" s="1936"/>
      <c r="J188" s="1936"/>
      <c r="K188" s="1936"/>
      <c r="L188" s="1936"/>
      <c r="M188" s="1936"/>
      <c r="N188" s="1936"/>
      <c r="O188" s="1936"/>
      <c r="P188" s="1936"/>
      <c r="Q188" s="1936"/>
      <c r="R188" s="1936"/>
      <c r="S188" s="1936"/>
      <c r="T188" s="1936"/>
      <c r="U188" s="1936"/>
      <c r="V188" s="1936"/>
      <c r="W188" s="1936"/>
      <c r="X188" s="1936"/>
      <c r="Y188" s="1936"/>
      <c r="Z188" s="1936"/>
      <c r="AA188" s="1936"/>
      <c r="AB188" s="1936"/>
      <c r="AC188" s="881"/>
      <c r="AD188" s="1937">
        <v>12950000</v>
      </c>
      <c r="AE188" s="1937"/>
      <c r="AF188" s="1937"/>
      <c r="AG188" s="1937"/>
      <c r="AH188" s="1937"/>
      <c r="AI188" s="1937"/>
      <c r="AJ188" s="1937"/>
      <c r="AK188" s="644"/>
    </row>
    <row r="189" spans="1:45">
      <c r="A189" s="639"/>
      <c r="B189" s="1936" t="s">
        <v>2627</v>
      </c>
      <c r="C189" s="1936"/>
      <c r="D189" s="1936"/>
      <c r="E189" s="1936"/>
      <c r="F189" s="1936"/>
      <c r="G189" s="1936"/>
      <c r="H189" s="1936"/>
      <c r="I189" s="1936"/>
      <c r="J189" s="1936"/>
      <c r="K189" s="1936"/>
      <c r="L189" s="1936"/>
      <c r="M189" s="1936"/>
      <c r="N189" s="1936"/>
      <c r="O189" s="1936"/>
      <c r="P189" s="1936"/>
      <c r="Q189" s="1936"/>
      <c r="R189" s="1936"/>
      <c r="S189" s="1936"/>
      <c r="T189" s="1936"/>
      <c r="U189" s="1936"/>
      <c r="V189" s="1936"/>
      <c r="W189" s="1936"/>
      <c r="X189" s="1936"/>
      <c r="Y189" s="1936"/>
      <c r="Z189" s="1936"/>
      <c r="AA189" s="1936"/>
      <c r="AB189" s="1936"/>
      <c r="AC189" s="881"/>
      <c r="AD189" s="1937">
        <v>13550000</v>
      </c>
      <c r="AE189" s="1937"/>
      <c r="AF189" s="1937"/>
      <c r="AG189" s="1937"/>
      <c r="AH189" s="1937"/>
      <c r="AI189" s="1937"/>
      <c r="AJ189" s="1937"/>
      <c r="AK189" s="644"/>
    </row>
    <row r="190" spans="1:45">
      <c r="A190" s="639"/>
      <c r="B190" s="1936" t="s">
        <v>2626</v>
      </c>
      <c r="C190" s="1936"/>
      <c r="D190" s="1936"/>
      <c r="E190" s="1936"/>
      <c r="F190" s="1936"/>
      <c r="G190" s="1936"/>
      <c r="H190" s="1936"/>
      <c r="I190" s="1936"/>
      <c r="J190" s="1936"/>
      <c r="K190" s="1936"/>
      <c r="L190" s="1936"/>
      <c r="M190" s="1936"/>
      <c r="N190" s="1936"/>
      <c r="O190" s="1936"/>
      <c r="P190" s="1936"/>
      <c r="Q190" s="1936"/>
      <c r="R190" s="1936"/>
      <c r="S190" s="1936"/>
      <c r="T190" s="1936"/>
      <c r="U190" s="1936"/>
      <c r="V190" s="1936"/>
      <c r="W190" s="1936"/>
      <c r="X190" s="1936"/>
      <c r="Y190" s="1936"/>
      <c r="Z190" s="1936"/>
      <c r="AA190" s="1936"/>
      <c r="AB190" s="1936"/>
      <c r="AC190" s="881"/>
      <c r="AD190" s="1937">
        <v>11200000</v>
      </c>
      <c r="AE190" s="1937"/>
      <c r="AF190" s="1937"/>
      <c r="AG190" s="1937"/>
      <c r="AH190" s="1937"/>
      <c r="AI190" s="1937"/>
      <c r="AJ190" s="1937"/>
      <c r="AK190" s="644"/>
    </row>
    <row r="191" spans="1:45">
      <c r="A191" s="639"/>
      <c r="B191" s="1936"/>
      <c r="C191" s="1936"/>
      <c r="D191" s="1936"/>
      <c r="E191" s="1936"/>
      <c r="F191" s="1936"/>
      <c r="G191" s="1936"/>
      <c r="H191" s="1936"/>
      <c r="I191" s="1936"/>
      <c r="J191" s="1936"/>
      <c r="K191" s="1936"/>
      <c r="L191" s="1936"/>
      <c r="M191" s="1936"/>
      <c r="N191" s="1936"/>
      <c r="O191" s="1936"/>
      <c r="P191" s="1936"/>
      <c r="Q191" s="1936"/>
      <c r="R191" s="1936"/>
      <c r="S191" s="1936"/>
      <c r="T191" s="1936"/>
      <c r="U191" s="1936"/>
      <c r="V191" s="1936"/>
      <c r="W191" s="1936"/>
      <c r="X191" s="1936"/>
      <c r="Y191" s="1936"/>
      <c r="Z191" s="1936"/>
      <c r="AA191" s="1936"/>
      <c r="AB191" s="1936"/>
      <c r="AC191" s="881"/>
      <c r="AD191" s="1937"/>
      <c r="AE191" s="1937"/>
      <c r="AF191" s="1937"/>
      <c r="AG191" s="1937"/>
      <c r="AH191" s="1937"/>
      <c r="AI191" s="1937"/>
      <c r="AJ191" s="1937"/>
      <c r="AK191" s="644"/>
    </row>
    <row r="192" spans="1:45">
      <c r="A192" s="639"/>
      <c r="B192" s="1936"/>
      <c r="C192" s="1936"/>
      <c r="D192" s="1936"/>
      <c r="E192" s="1936"/>
      <c r="F192" s="1936"/>
      <c r="G192" s="1936"/>
      <c r="H192" s="1936"/>
      <c r="I192" s="1936"/>
      <c r="J192" s="1936"/>
      <c r="K192" s="1936"/>
      <c r="L192" s="1936"/>
      <c r="M192" s="1936"/>
      <c r="N192" s="1936"/>
      <c r="O192" s="1936"/>
      <c r="P192" s="1936"/>
      <c r="Q192" s="1936"/>
      <c r="R192" s="1936"/>
      <c r="S192" s="1936"/>
      <c r="T192" s="1936"/>
      <c r="U192" s="1936"/>
      <c r="V192" s="1936"/>
      <c r="W192" s="1936"/>
      <c r="X192" s="1936"/>
      <c r="Y192" s="1936"/>
      <c r="Z192" s="1936"/>
      <c r="AA192" s="1936"/>
      <c r="AB192" s="1936"/>
      <c r="AC192" s="881"/>
      <c r="AD192" s="1937"/>
      <c r="AE192" s="1937"/>
      <c r="AF192" s="1937"/>
      <c r="AG192" s="1937"/>
      <c r="AH192" s="1937"/>
      <c r="AI192" s="1937"/>
      <c r="AJ192" s="1937"/>
      <c r="AK192" s="644"/>
    </row>
    <row r="193" spans="1:37">
      <c r="A193" s="639"/>
      <c r="B193" s="1936"/>
      <c r="C193" s="1936"/>
      <c r="D193" s="1936"/>
      <c r="E193" s="1936"/>
      <c r="F193" s="1936"/>
      <c r="G193" s="1936"/>
      <c r="H193" s="1936"/>
      <c r="I193" s="1936"/>
      <c r="J193" s="1936"/>
      <c r="K193" s="1936"/>
      <c r="L193" s="1936"/>
      <c r="M193" s="1936"/>
      <c r="N193" s="1936"/>
      <c r="O193" s="1936"/>
      <c r="P193" s="1936"/>
      <c r="Q193" s="1936"/>
      <c r="R193" s="1936"/>
      <c r="S193" s="1936"/>
      <c r="T193" s="1936"/>
      <c r="U193" s="1936"/>
      <c r="V193" s="1936"/>
      <c r="W193" s="1936"/>
      <c r="X193" s="1936"/>
      <c r="Y193" s="1936"/>
      <c r="Z193" s="1936"/>
      <c r="AA193" s="1936"/>
      <c r="AB193" s="1936"/>
      <c r="AC193" s="881"/>
      <c r="AD193" s="1937"/>
      <c r="AE193" s="1937"/>
      <c r="AF193" s="1937"/>
      <c r="AG193" s="1937"/>
      <c r="AH193" s="1937"/>
      <c r="AI193" s="1937"/>
      <c r="AJ193" s="1937"/>
      <c r="AK193" s="644"/>
    </row>
    <row r="194" spans="1:37">
      <c r="A194" s="639"/>
      <c r="B194" s="1936"/>
      <c r="C194" s="1936"/>
      <c r="D194" s="1936"/>
      <c r="E194" s="1936"/>
      <c r="F194" s="1936"/>
      <c r="G194" s="1936"/>
      <c r="H194" s="1936"/>
      <c r="I194" s="1936"/>
      <c r="J194" s="1936"/>
      <c r="K194" s="1936"/>
      <c r="L194" s="1936"/>
      <c r="M194" s="1936"/>
      <c r="N194" s="1936"/>
      <c r="O194" s="1936"/>
      <c r="P194" s="1936"/>
      <c r="Q194" s="1936"/>
      <c r="R194" s="1936"/>
      <c r="S194" s="1936"/>
      <c r="T194" s="1936"/>
      <c r="U194" s="1936"/>
      <c r="V194" s="1936"/>
      <c r="W194" s="1936"/>
      <c r="X194" s="1936"/>
      <c r="Y194" s="1936"/>
      <c r="Z194" s="1936"/>
      <c r="AA194" s="1936"/>
      <c r="AB194" s="1936"/>
      <c r="AC194" s="881"/>
      <c r="AD194" s="1937"/>
      <c r="AE194" s="1937"/>
      <c r="AF194" s="1937"/>
      <c r="AG194" s="1937"/>
      <c r="AH194" s="1937"/>
      <c r="AI194" s="1937"/>
      <c r="AJ194" s="1937"/>
      <c r="AK194" s="644"/>
    </row>
    <row r="195" spans="1:37">
      <c r="A195" s="639"/>
      <c r="B195" s="1936"/>
      <c r="C195" s="1936"/>
      <c r="D195" s="1936"/>
      <c r="E195" s="1936"/>
      <c r="F195" s="1936"/>
      <c r="G195" s="1936"/>
      <c r="H195" s="1936"/>
      <c r="I195" s="1936"/>
      <c r="J195" s="1936"/>
      <c r="K195" s="1936"/>
      <c r="L195" s="1936"/>
      <c r="M195" s="1936"/>
      <c r="N195" s="1936"/>
      <c r="O195" s="1936"/>
      <c r="P195" s="1936"/>
      <c r="Q195" s="1936"/>
      <c r="R195" s="1936"/>
      <c r="S195" s="1936"/>
      <c r="T195" s="1936"/>
      <c r="U195" s="1936"/>
      <c r="V195" s="1936"/>
      <c r="W195" s="1936"/>
      <c r="X195" s="1936"/>
      <c r="Y195" s="1936"/>
      <c r="Z195" s="1936"/>
      <c r="AA195" s="1936"/>
      <c r="AB195" s="1936"/>
      <c r="AC195" s="881"/>
      <c r="AD195" s="1937"/>
      <c r="AE195" s="1937"/>
      <c r="AF195" s="1937"/>
      <c r="AG195" s="1937"/>
      <c r="AH195" s="1937"/>
      <c r="AI195" s="1937"/>
      <c r="AJ195" s="1937"/>
      <c r="AK195" s="644"/>
    </row>
    <row r="196" spans="1:37">
      <c r="A196" s="639"/>
      <c r="B196" s="1936"/>
      <c r="C196" s="1936"/>
      <c r="D196" s="1936"/>
      <c r="E196" s="1936"/>
      <c r="F196" s="1936"/>
      <c r="G196" s="1936"/>
      <c r="H196" s="1936"/>
      <c r="I196" s="1936"/>
      <c r="J196" s="1936"/>
      <c r="K196" s="1936"/>
      <c r="L196" s="1936"/>
      <c r="M196" s="1936"/>
      <c r="N196" s="1936"/>
      <c r="O196" s="1936"/>
      <c r="P196" s="1936"/>
      <c r="Q196" s="1936"/>
      <c r="R196" s="1936"/>
      <c r="S196" s="1936"/>
      <c r="T196" s="1936"/>
      <c r="U196" s="1936"/>
      <c r="V196" s="1936"/>
      <c r="W196" s="1936"/>
      <c r="X196" s="1936"/>
      <c r="Y196" s="1936"/>
      <c r="Z196" s="1936"/>
      <c r="AA196" s="1936"/>
      <c r="AB196" s="1936"/>
      <c r="AC196" s="881"/>
      <c r="AD196" s="1937"/>
      <c r="AE196" s="1937"/>
      <c r="AF196" s="1937"/>
      <c r="AG196" s="1937"/>
      <c r="AH196" s="1937"/>
      <c r="AI196" s="1937"/>
      <c r="AJ196" s="1937"/>
      <c r="AK196" s="644"/>
    </row>
    <row r="197" spans="1:37">
      <c r="A197" s="639"/>
      <c r="B197" s="1936"/>
      <c r="C197" s="1936"/>
      <c r="D197" s="1936"/>
      <c r="E197" s="1936"/>
      <c r="F197" s="1936"/>
      <c r="G197" s="1936"/>
      <c r="H197" s="1936"/>
      <c r="I197" s="1936"/>
      <c r="J197" s="1936"/>
      <c r="K197" s="1936"/>
      <c r="L197" s="1936"/>
      <c r="M197" s="1936"/>
      <c r="N197" s="1936"/>
      <c r="O197" s="1936"/>
      <c r="P197" s="1936"/>
      <c r="Q197" s="1936"/>
      <c r="R197" s="1936"/>
      <c r="S197" s="1936"/>
      <c r="T197" s="1936"/>
      <c r="U197" s="1936"/>
      <c r="V197" s="1936"/>
      <c r="W197" s="1936"/>
      <c r="X197" s="1936"/>
      <c r="Y197" s="1936"/>
      <c r="Z197" s="1936"/>
      <c r="AA197" s="1936"/>
      <c r="AB197" s="1936"/>
      <c r="AC197" s="881"/>
      <c r="AD197" s="1937"/>
      <c r="AE197" s="1937"/>
      <c r="AF197" s="1937"/>
      <c r="AG197" s="1937"/>
      <c r="AH197" s="1937"/>
      <c r="AI197" s="1937"/>
      <c r="AJ197" s="1937"/>
      <c r="AK197" s="644"/>
    </row>
    <row r="198" spans="1:37">
      <c r="A198" s="639"/>
      <c r="B198" s="2096" t="s">
        <v>1804</v>
      </c>
      <c r="C198" s="2096"/>
      <c r="D198" s="2096"/>
      <c r="E198" s="2096"/>
      <c r="F198" s="2096"/>
      <c r="G198" s="2096"/>
      <c r="H198" s="2096"/>
      <c r="I198" s="2096"/>
      <c r="J198" s="2096"/>
      <c r="K198" s="2096"/>
      <c r="L198" s="2096"/>
      <c r="M198" s="2096"/>
      <c r="N198" s="2096"/>
      <c r="O198" s="2096"/>
      <c r="P198" s="2096"/>
      <c r="Q198" s="2096"/>
      <c r="R198" s="2096"/>
      <c r="S198" s="2096"/>
      <c r="T198" s="2096"/>
      <c r="U198" s="2096"/>
      <c r="V198" s="2096"/>
      <c r="W198" s="2096"/>
      <c r="X198" s="2096"/>
      <c r="Y198" s="2096"/>
      <c r="Z198" s="2096"/>
      <c r="AA198" s="2096"/>
      <c r="AB198" s="2096"/>
      <c r="AC198" s="570"/>
      <c r="AD198" s="1964">
        <f>AB249</f>
        <v>11777375.710871879</v>
      </c>
      <c r="AE198" s="1964"/>
      <c r="AF198" s="1964"/>
      <c r="AG198" s="1964"/>
      <c r="AH198" s="1964"/>
      <c r="AI198" s="1964"/>
      <c r="AJ198" s="1964"/>
      <c r="AK198" s="644"/>
    </row>
    <row r="199" spans="1:37">
      <c r="A199" s="639"/>
      <c r="B199" s="2094" t="s">
        <v>1767</v>
      </c>
      <c r="C199" s="2094"/>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881"/>
      <c r="AD199" s="1965">
        <f>'Sources and Uses Budget'!B15</f>
        <v>0</v>
      </c>
      <c r="AE199" s="1965"/>
      <c r="AF199" s="1965"/>
      <c r="AG199" s="1965"/>
      <c r="AH199" s="1965"/>
      <c r="AI199" s="1965"/>
      <c r="AJ199" s="196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932</v>
      </c>
      <c r="AC200" s="570"/>
      <c r="AD200" s="1969">
        <f>SUM(AD188:AJ198)-AD199</f>
        <v>49477375.710871875</v>
      </c>
      <c r="AE200" s="1969"/>
      <c r="AF200" s="1969"/>
      <c r="AG200" s="1969"/>
      <c r="AH200" s="1969"/>
      <c r="AI200" s="1969"/>
      <c r="AJ200" s="1969"/>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1772</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1803</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1774</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1775</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2421</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1776</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1777</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c r="A209" s="889"/>
      <c r="B209" s="921" t="s">
        <v>1815</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1940" t="s">
        <v>1784</v>
      </c>
      <c r="J211" s="1940"/>
      <c r="K211" s="1940"/>
      <c r="L211" s="570"/>
      <c r="M211" s="570"/>
      <c r="N211" s="570"/>
      <c r="O211" s="570"/>
      <c r="P211" s="570"/>
      <c r="Q211" s="570"/>
      <c r="R211" s="570"/>
      <c r="S211" s="570"/>
      <c r="T211" s="2122" t="s">
        <v>1778</v>
      </c>
      <c r="U211" s="2122"/>
      <c r="V211" s="2122"/>
      <c r="W211" s="2122"/>
      <c r="X211" s="2122"/>
      <c r="Y211" s="2122"/>
      <c r="Z211" s="884"/>
      <c r="AA211" s="523"/>
      <c r="AB211" s="1935" t="s">
        <v>1779</v>
      </c>
      <c r="AC211" s="1935"/>
      <c r="AD211" s="1935"/>
      <c r="AE211" s="1935"/>
      <c r="AF211" s="1935"/>
      <c r="AG211" s="1935"/>
      <c r="AH211" s="862"/>
      <c r="AI211" s="862"/>
      <c r="AJ211" s="862"/>
      <c r="AK211" s="644"/>
    </row>
    <row r="212" spans="1:37">
      <c r="A212" s="639"/>
      <c r="B212" s="1938" t="s">
        <v>1764</v>
      </c>
      <c r="C212" s="1938"/>
      <c r="D212" s="1938"/>
      <c r="E212" s="1938"/>
      <c r="F212" s="1938"/>
      <c r="G212" s="1938"/>
      <c r="I212" s="1939" t="s">
        <v>1785</v>
      </c>
      <c r="J212" s="1939"/>
      <c r="K212" s="1939"/>
      <c r="L212" s="1044"/>
      <c r="N212" s="1945" t="s">
        <v>1780</v>
      </c>
      <c r="O212" s="1945"/>
      <c r="P212" s="1945"/>
      <c r="Q212" s="1945"/>
      <c r="R212" s="1945"/>
      <c r="T212" s="1945" t="s">
        <v>1781</v>
      </c>
      <c r="U212" s="1945"/>
      <c r="V212" s="1945"/>
      <c r="W212" s="1945"/>
      <c r="X212" s="1945"/>
      <c r="Y212" s="1945"/>
      <c r="Z212" s="885"/>
      <c r="AA212" s="523"/>
      <c r="AB212" s="2097" t="s">
        <v>1782</v>
      </c>
      <c r="AC212" s="2097"/>
      <c r="AD212" s="2097"/>
      <c r="AE212" s="2097"/>
      <c r="AF212" s="2097"/>
      <c r="AG212" s="2097"/>
      <c r="AH212" s="862"/>
      <c r="AI212" s="862"/>
      <c r="AJ212" s="862"/>
      <c r="AK212" s="644"/>
    </row>
    <row r="213" spans="1:37">
      <c r="A213" s="639"/>
      <c r="B213" s="1942" t="s">
        <v>326</v>
      </c>
      <c r="C213" s="1942"/>
      <c r="D213" s="1942"/>
      <c r="E213" s="1942"/>
      <c r="F213" s="1942"/>
      <c r="G213" s="1942"/>
      <c r="H213" s="887"/>
      <c r="I213" s="1941">
        <v>20</v>
      </c>
      <c r="J213" s="1941"/>
      <c r="K213" s="1941"/>
      <c r="L213" s="1044"/>
      <c r="N213" s="1946">
        <v>1080</v>
      </c>
      <c r="O213" s="1946"/>
      <c r="P213" s="1946"/>
      <c r="Q213" s="1946"/>
      <c r="R213" s="1946"/>
      <c r="T213" s="2095">
        <v>2123</v>
      </c>
      <c r="U213" s="2095"/>
      <c r="V213" s="2095"/>
      <c r="W213" s="2095"/>
      <c r="X213" s="2095"/>
      <c r="Y213" s="2095"/>
      <c r="Z213" s="886"/>
      <c r="AA213" s="886"/>
      <c r="AB213" s="1943">
        <f t="shared" ref="AB213:AB222" si="0">MAX(($T213-$N213)*$I213*12,0)</f>
        <v>250320</v>
      </c>
      <c r="AC213" s="1943"/>
      <c r="AD213" s="1943"/>
      <c r="AE213" s="1943"/>
      <c r="AF213" s="1943"/>
      <c r="AG213" s="1943"/>
      <c r="AH213" s="862"/>
      <c r="AI213" s="862"/>
      <c r="AJ213" s="862"/>
      <c r="AK213" s="644"/>
    </row>
    <row r="214" spans="1:37">
      <c r="A214" s="639"/>
      <c r="B214" s="1942" t="s">
        <v>2628</v>
      </c>
      <c r="C214" s="1942"/>
      <c r="D214" s="1942"/>
      <c r="E214" s="1942"/>
      <c r="F214" s="1942"/>
      <c r="G214" s="1942"/>
      <c r="I214" s="1941">
        <v>20</v>
      </c>
      <c r="J214" s="1941"/>
      <c r="K214" s="1941"/>
      <c r="L214" s="1044"/>
      <c r="N214" s="1946">
        <v>1156</v>
      </c>
      <c r="O214" s="1946"/>
      <c r="P214" s="1946"/>
      <c r="Q214" s="1946"/>
      <c r="R214" s="1946"/>
      <c r="T214" s="2095">
        <v>2405</v>
      </c>
      <c r="U214" s="2095"/>
      <c r="V214" s="2095"/>
      <c r="W214" s="2095"/>
      <c r="X214" s="2095"/>
      <c r="Y214" s="2095"/>
      <c r="Z214" s="886"/>
      <c r="AA214" s="886"/>
      <c r="AB214" s="1943">
        <f t="shared" si="0"/>
        <v>299760</v>
      </c>
      <c r="AC214" s="1943"/>
      <c r="AD214" s="1943"/>
      <c r="AE214" s="1943"/>
      <c r="AF214" s="1943"/>
      <c r="AG214" s="1943"/>
      <c r="AH214" s="862"/>
      <c r="AI214" s="862"/>
      <c r="AJ214" s="862"/>
      <c r="AK214" s="644"/>
    </row>
    <row r="215" spans="1:37">
      <c r="A215" s="639"/>
      <c r="B215" s="1942" t="s">
        <v>2629</v>
      </c>
      <c r="C215" s="1942"/>
      <c r="D215" s="1942"/>
      <c r="E215" s="1942"/>
      <c r="F215" s="1942"/>
      <c r="G215" s="1942"/>
      <c r="I215" s="1941">
        <v>18</v>
      </c>
      <c r="J215" s="1941"/>
      <c r="K215" s="1941"/>
      <c r="L215" s="1044"/>
      <c r="N215" s="1946">
        <v>1375</v>
      </c>
      <c r="O215" s="1946"/>
      <c r="P215" s="1946"/>
      <c r="Q215" s="1946"/>
      <c r="R215" s="1946"/>
      <c r="T215" s="2095">
        <v>2800</v>
      </c>
      <c r="U215" s="2095"/>
      <c r="V215" s="2095"/>
      <c r="W215" s="2095"/>
      <c r="X215" s="2095"/>
      <c r="Y215" s="2095"/>
      <c r="Z215" s="886"/>
      <c r="AA215" s="886"/>
      <c r="AB215" s="1943">
        <f t="shared" si="0"/>
        <v>307800</v>
      </c>
      <c r="AC215" s="1943"/>
      <c r="AD215" s="1943"/>
      <c r="AE215" s="1943"/>
      <c r="AF215" s="1943"/>
      <c r="AG215" s="1943"/>
      <c r="AH215" s="862"/>
      <c r="AI215" s="862"/>
      <c r="AJ215" s="862"/>
      <c r="AK215" s="644"/>
    </row>
    <row r="216" spans="1:37">
      <c r="A216" s="639"/>
      <c r="B216" s="1942" t="s">
        <v>2630</v>
      </c>
      <c r="C216" s="1942"/>
      <c r="D216" s="1942"/>
      <c r="E216" s="1942"/>
      <c r="F216" s="1942"/>
      <c r="G216" s="1942"/>
      <c r="I216" s="1941">
        <v>17</v>
      </c>
      <c r="J216" s="1941"/>
      <c r="K216" s="1941"/>
      <c r="L216" s="1044"/>
      <c r="N216" s="1946">
        <v>1579</v>
      </c>
      <c r="O216" s="1946"/>
      <c r="P216" s="1946"/>
      <c r="Q216" s="1946"/>
      <c r="R216" s="1946"/>
      <c r="T216" s="2095">
        <v>3577</v>
      </c>
      <c r="U216" s="2095"/>
      <c r="V216" s="2095"/>
      <c r="W216" s="2095"/>
      <c r="X216" s="2095"/>
      <c r="Y216" s="2095"/>
      <c r="Z216" s="886"/>
      <c r="AA216" s="886"/>
      <c r="AB216" s="1943">
        <f t="shared" si="0"/>
        <v>407592</v>
      </c>
      <c r="AC216" s="1943"/>
      <c r="AD216" s="1943"/>
      <c r="AE216" s="1943"/>
      <c r="AF216" s="1943"/>
      <c r="AG216" s="1943"/>
      <c r="AH216" s="862"/>
      <c r="AI216" s="862"/>
      <c r="AJ216" s="862"/>
      <c r="AK216" s="644"/>
    </row>
    <row r="217" spans="1:37">
      <c r="A217" s="639"/>
      <c r="B217" s="1942" t="s">
        <v>1327</v>
      </c>
      <c r="C217" s="1942"/>
      <c r="D217" s="1942"/>
      <c r="E217" s="1942"/>
      <c r="F217" s="1942"/>
      <c r="G217" s="1942"/>
      <c r="I217" s="1941"/>
      <c r="J217" s="1941"/>
      <c r="K217" s="1941"/>
      <c r="L217" s="1051"/>
      <c r="N217" s="1946"/>
      <c r="O217" s="1946"/>
      <c r="P217" s="1946"/>
      <c r="Q217" s="1946"/>
      <c r="R217" s="1946"/>
      <c r="T217" s="2095"/>
      <c r="U217" s="2095"/>
      <c r="V217" s="2095"/>
      <c r="W217" s="2095"/>
      <c r="X217" s="2095"/>
      <c r="Y217" s="2095"/>
      <c r="Z217" s="886"/>
      <c r="AA217" s="886"/>
      <c r="AB217" s="1943">
        <f t="shared" si="0"/>
        <v>0</v>
      </c>
      <c r="AC217" s="1943"/>
      <c r="AD217" s="1943"/>
      <c r="AE217" s="1943"/>
      <c r="AF217" s="1943"/>
      <c r="AG217" s="1943"/>
      <c r="AH217" s="862"/>
      <c r="AI217" s="862"/>
      <c r="AJ217" s="862"/>
      <c r="AK217" s="644"/>
    </row>
    <row r="218" spans="1:37">
      <c r="A218" s="639"/>
      <c r="B218" s="1942" t="s">
        <v>1327</v>
      </c>
      <c r="C218" s="1942"/>
      <c r="D218" s="1942"/>
      <c r="E218" s="1942"/>
      <c r="F218" s="1942"/>
      <c r="G218" s="1942"/>
      <c r="I218" s="1941"/>
      <c r="J218" s="1941"/>
      <c r="K218" s="1941"/>
      <c r="L218" s="1051"/>
      <c r="N218" s="1946"/>
      <c r="O218" s="1946"/>
      <c r="P218" s="1946"/>
      <c r="Q218" s="1946"/>
      <c r="R218" s="1946"/>
      <c r="T218" s="2095"/>
      <c r="U218" s="2095"/>
      <c r="V218" s="2095"/>
      <c r="W218" s="2095"/>
      <c r="X218" s="2095"/>
      <c r="Y218" s="2095"/>
      <c r="Z218" s="886"/>
      <c r="AA218" s="886"/>
      <c r="AB218" s="1943">
        <f t="shared" si="0"/>
        <v>0</v>
      </c>
      <c r="AC218" s="1943"/>
      <c r="AD218" s="1943"/>
      <c r="AE218" s="1943"/>
      <c r="AF218" s="1943"/>
      <c r="AG218" s="1943"/>
      <c r="AH218" s="862"/>
      <c r="AI218" s="862"/>
      <c r="AJ218" s="862"/>
      <c r="AK218" s="644"/>
    </row>
    <row r="219" spans="1:37">
      <c r="A219" s="639"/>
      <c r="B219" s="1942" t="s">
        <v>1327</v>
      </c>
      <c r="C219" s="1942"/>
      <c r="D219" s="1942"/>
      <c r="E219" s="1942"/>
      <c r="F219" s="1942"/>
      <c r="G219" s="1942"/>
      <c r="I219" s="1941"/>
      <c r="J219" s="1941"/>
      <c r="K219" s="1941"/>
      <c r="L219" s="1051"/>
      <c r="N219" s="1946"/>
      <c r="O219" s="1946"/>
      <c r="P219" s="1946"/>
      <c r="Q219" s="1946"/>
      <c r="R219" s="1946"/>
      <c r="T219" s="2095"/>
      <c r="U219" s="2095"/>
      <c r="V219" s="2095"/>
      <c r="W219" s="2095"/>
      <c r="X219" s="2095"/>
      <c r="Y219" s="2095"/>
      <c r="Z219" s="886"/>
      <c r="AA219" s="886"/>
      <c r="AB219" s="1943">
        <f t="shared" si="0"/>
        <v>0</v>
      </c>
      <c r="AC219" s="1943"/>
      <c r="AD219" s="1943"/>
      <c r="AE219" s="1943"/>
      <c r="AF219" s="1943"/>
      <c r="AG219" s="1943"/>
      <c r="AH219" s="862"/>
      <c r="AI219" s="862"/>
      <c r="AJ219" s="862"/>
      <c r="AK219" s="644"/>
    </row>
    <row r="220" spans="1:37">
      <c r="A220" s="639"/>
      <c r="B220" s="1942" t="s">
        <v>1327</v>
      </c>
      <c r="C220" s="1942"/>
      <c r="D220" s="1942"/>
      <c r="E220" s="1942"/>
      <c r="F220" s="1942"/>
      <c r="G220" s="1942"/>
      <c r="I220" s="1941"/>
      <c r="J220" s="1941"/>
      <c r="K220" s="1941"/>
      <c r="L220" s="1051"/>
      <c r="N220" s="1946"/>
      <c r="O220" s="1946"/>
      <c r="P220" s="1946"/>
      <c r="Q220" s="1946"/>
      <c r="R220" s="1946"/>
      <c r="T220" s="2095"/>
      <c r="U220" s="2095"/>
      <c r="V220" s="2095"/>
      <c r="W220" s="2095"/>
      <c r="X220" s="2095"/>
      <c r="Y220" s="2095"/>
      <c r="Z220" s="886"/>
      <c r="AA220" s="886"/>
      <c r="AB220" s="1943">
        <f t="shared" si="0"/>
        <v>0</v>
      </c>
      <c r="AC220" s="1943"/>
      <c r="AD220" s="1943"/>
      <c r="AE220" s="1943"/>
      <c r="AF220" s="1943"/>
      <c r="AG220" s="1943"/>
      <c r="AH220" s="862"/>
      <c r="AI220" s="862"/>
      <c r="AJ220" s="862"/>
      <c r="AK220" s="644"/>
    </row>
    <row r="221" spans="1:37">
      <c r="A221" s="639"/>
      <c r="B221" s="1942" t="s">
        <v>1327</v>
      </c>
      <c r="C221" s="1942"/>
      <c r="D221" s="1942"/>
      <c r="E221" s="1942"/>
      <c r="F221" s="1942"/>
      <c r="G221" s="1942"/>
      <c r="I221" s="1941"/>
      <c r="J221" s="1941"/>
      <c r="K221" s="1941"/>
      <c r="L221" s="1051"/>
      <c r="N221" s="1946"/>
      <c r="O221" s="1946"/>
      <c r="P221" s="1946"/>
      <c r="Q221" s="1946"/>
      <c r="R221" s="1946"/>
      <c r="T221" s="2095"/>
      <c r="U221" s="2095"/>
      <c r="V221" s="2095"/>
      <c r="W221" s="2095"/>
      <c r="X221" s="2095"/>
      <c r="Y221" s="2095"/>
      <c r="Z221" s="886"/>
      <c r="AA221" s="886"/>
      <c r="AB221" s="1943">
        <f t="shared" si="0"/>
        <v>0</v>
      </c>
      <c r="AC221" s="1943"/>
      <c r="AD221" s="1943"/>
      <c r="AE221" s="1943"/>
      <c r="AF221" s="1943"/>
      <c r="AG221" s="1943"/>
      <c r="AH221" s="862"/>
      <c r="AI221" s="862"/>
      <c r="AJ221" s="862"/>
      <c r="AK221" s="644"/>
    </row>
    <row r="222" spans="1:37">
      <c r="A222" s="639"/>
      <c r="B222" s="1942" t="s">
        <v>1327</v>
      </c>
      <c r="C222" s="1942"/>
      <c r="D222" s="1942"/>
      <c r="E222" s="1942"/>
      <c r="F222" s="1942"/>
      <c r="G222" s="1942"/>
      <c r="I222" s="1944"/>
      <c r="J222" s="1944"/>
      <c r="K222" s="1944"/>
      <c r="L222" s="1051"/>
      <c r="N222" s="1946"/>
      <c r="O222" s="1946"/>
      <c r="P222" s="1946"/>
      <c r="Q222" s="1946"/>
      <c r="R222" s="1946"/>
      <c r="T222" s="2095"/>
      <c r="U222" s="2095"/>
      <c r="V222" s="2095"/>
      <c r="W222" s="2095"/>
      <c r="X222" s="2095"/>
      <c r="Y222" s="2095"/>
      <c r="Z222" s="886"/>
      <c r="AA222" s="886"/>
      <c r="AB222" s="2093">
        <f t="shared" si="0"/>
        <v>0</v>
      </c>
      <c r="AC222" s="2093"/>
      <c r="AD222" s="2093"/>
      <c r="AE222" s="2093"/>
      <c r="AF222" s="2093"/>
      <c r="AG222" s="2093"/>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1783</v>
      </c>
      <c r="AA223" s="888"/>
      <c r="AB223" s="1943">
        <f>SUM(AB213:AB222)</f>
        <v>1265472</v>
      </c>
      <c r="AC223" s="1943"/>
      <c r="AD223" s="1943"/>
      <c r="AE223" s="1943"/>
      <c r="AF223" s="1943"/>
      <c r="AG223" s="1943"/>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86" t="s">
        <v>1773</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1801</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1799</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1793</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2098"/>
      <c r="AC229" s="2098"/>
      <c r="AD229" s="2098"/>
      <c r="AE229" s="2098"/>
      <c r="AF229" s="2098"/>
      <c r="AG229" s="2098"/>
      <c r="AH229" s="644"/>
      <c r="AI229" s="644"/>
      <c r="AJ229" s="644"/>
      <c r="AK229" s="644"/>
    </row>
    <row r="230" spans="1:37">
      <c r="A230" s="639"/>
      <c r="B230" s="872" t="s">
        <v>1798</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1800</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1794</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2098"/>
      <c r="AC232" s="2098"/>
      <c r="AD232" s="2098"/>
      <c r="AE232" s="2098"/>
      <c r="AF232" s="2098"/>
      <c r="AG232" s="2098"/>
      <c r="AH232" s="644"/>
      <c r="AI232" s="644"/>
      <c r="AJ232" s="644"/>
      <c r="AK232" s="644"/>
    </row>
    <row r="233" spans="1:37">
      <c r="A233" s="639"/>
      <c r="B233" s="873" t="s">
        <v>1795</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2121"/>
      <c r="AC233" s="2121"/>
      <c r="AD233" s="2121"/>
      <c r="AE233" s="2121"/>
      <c r="AF233" s="2121"/>
      <c r="AG233" s="2121"/>
      <c r="AH233" s="644"/>
      <c r="AI233" s="644"/>
      <c r="AJ233" s="644"/>
      <c r="AK233" s="644"/>
    </row>
    <row r="234" spans="1:37">
      <c r="A234" s="639"/>
      <c r="B234" s="873" t="s">
        <v>1796</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2104">
        <f>IFERROR(AB232/AB233,0)</f>
        <v>0</v>
      </c>
      <c r="AC234" s="2104"/>
      <c r="AD234" s="2104"/>
      <c r="AE234" s="2104"/>
      <c r="AF234" s="2104"/>
      <c r="AG234" s="2104"/>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1797</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2093">
        <f>MAX(AB229,AB234)</f>
        <v>0</v>
      </c>
      <c r="AC236" s="2093"/>
      <c r="AD236" s="2093"/>
      <c r="AE236" s="2093"/>
      <c r="AF236" s="2093"/>
      <c r="AG236" s="2093"/>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1786</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943">
        <f>AB223+AB236</f>
        <v>1265472</v>
      </c>
      <c r="AC239" s="1943"/>
      <c r="AD239" s="1943"/>
      <c r="AE239" s="1943"/>
      <c r="AF239" s="1943"/>
      <c r="AG239" s="1943"/>
      <c r="AH239" s="644"/>
      <c r="AI239" s="644"/>
      <c r="AJ239" s="644"/>
      <c r="AK239" s="644"/>
    </row>
    <row r="240" spans="1:37">
      <c r="A240" s="639"/>
      <c r="B240" s="510" t="s">
        <v>866</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1973">
        <v>0.05</v>
      </c>
      <c r="AC240" s="1973"/>
      <c r="AD240" s="1973"/>
      <c r="AE240" s="1973"/>
      <c r="AF240" s="1973"/>
      <c r="AG240" s="1973"/>
      <c r="AH240" s="644"/>
      <c r="AI240" s="644"/>
      <c r="AJ240" s="644"/>
      <c r="AK240" s="644"/>
    </row>
    <row r="241" spans="1:37">
      <c r="A241" s="639"/>
      <c r="B241" s="510" t="s">
        <v>1787</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1974">
        <f>AB239-(AB239*AB240)</f>
        <v>1202198.3999999999</v>
      </c>
      <c r="AC241" s="1974"/>
      <c r="AD241" s="1974"/>
      <c r="AE241" s="1974"/>
      <c r="AF241" s="1974"/>
      <c r="AG241" s="1974"/>
      <c r="AH241" s="644"/>
      <c r="AI241" s="644"/>
      <c r="AJ241" s="644"/>
      <c r="AK241" s="644"/>
    </row>
    <row r="242" spans="1:37">
      <c r="A242" s="639"/>
      <c r="B242" s="510" t="s">
        <v>1788</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1789</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943">
        <f>AB241/AB247</f>
        <v>1045389.9130434783</v>
      </c>
      <c r="AC243" s="1943"/>
      <c r="AD243" s="1943"/>
      <c r="AE243" s="1943"/>
      <c r="AF243" s="1943"/>
      <c r="AG243" s="1943"/>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1790</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1935">
        <v>15</v>
      </c>
      <c r="AC245" s="1935"/>
      <c r="AD245" s="1935"/>
      <c r="AE245" s="1935"/>
      <c r="AF245" s="1935"/>
      <c r="AG245" s="1935"/>
      <c r="AH245" s="644"/>
      <c r="AI245" s="644"/>
      <c r="AJ245" s="644"/>
      <c r="AK245" s="644"/>
    </row>
    <row r="246" spans="1:37">
      <c r="A246" s="639"/>
      <c r="B246" s="510" t="s">
        <v>1791</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1975">
        <v>0.04</v>
      </c>
      <c r="AC246" s="1975"/>
      <c r="AD246" s="1975"/>
      <c r="AE246" s="1975"/>
      <c r="AF246" s="1975"/>
      <c r="AG246" s="1975"/>
      <c r="AH246" s="644"/>
      <c r="AI246" s="644"/>
      <c r="AJ246" s="644"/>
      <c r="AK246" s="644"/>
    </row>
    <row r="247" spans="1:37">
      <c r="A247" s="639"/>
      <c r="B247" s="510" t="s">
        <v>878</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1947">
        <v>1.1499999999999999</v>
      </c>
      <c r="AC247" s="1947"/>
      <c r="AD247" s="1947"/>
      <c r="AE247" s="1947"/>
      <c r="AF247" s="1947"/>
      <c r="AG247" s="1947"/>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9" t="s">
        <v>1792</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1966">
        <f>PV(AB246/12,AB245*12,-AB243/12, ,0)</f>
        <v>11777375.710871879</v>
      </c>
      <c r="AC249" s="1967"/>
      <c r="AD249" s="1967"/>
      <c r="AE249" s="1967"/>
      <c r="AF249" s="1967"/>
      <c r="AG249" s="1968"/>
      <c r="AH249" s="644"/>
      <c r="AI249" s="644"/>
      <c r="AJ249" s="644"/>
      <c r="AK249" s="644"/>
    </row>
    <row r="250" spans="1:37">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c r="A252" s="639"/>
      <c r="B252" s="882" t="s">
        <v>1768</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1771</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1770</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1769</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1970">
        <f>IFERROR(('Sources and Uses Budget'!D105/'Sources and Uses Budget'!B105),0)</f>
        <v>0</v>
      </c>
      <c r="AC255" s="1971"/>
      <c r="AD255" s="1971"/>
      <c r="AE255" s="1971"/>
      <c r="AF255" s="1971"/>
      <c r="AG255" s="1972"/>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1545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0">
        <f>AD200*(1-AB255)</f>
        <v>49477375.710871875</v>
      </c>
      <c r="AH257" s="1960"/>
      <c r="AI257" s="1960"/>
      <c r="AJ257" s="1960"/>
      <c r="AK257" s="1960"/>
    </row>
    <row r="258" spans="1:52">
      <c r="A258" s="656"/>
      <c r="B258" s="659" t="s">
        <v>1546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0">
        <f>'Sources and Uses Budget'!C105</f>
        <v>164557781</v>
      </c>
      <c r="AH258" s="1960"/>
      <c r="AI258" s="1960"/>
      <c r="AJ258" s="1960"/>
      <c r="AK258" s="196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1">
        <f>ROUNDDOWN(IF(AND(C281="Yes",AK78=10),((AG257*2)/AG258),AG257/AG258),2)</f>
        <v>0.3</v>
      </c>
      <c r="AH259" s="1961"/>
      <c r="AI259" s="1961"/>
      <c r="AJ259" s="1961"/>
      <c r="AK259" s="1961"/>
    </row>
    <row r="260" spans="1:52">
      <c r="A260" s="656"/>
      <c r="B260" s="1014" t="s">
        <v>2001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3"/>
      <c r="AH260" s="1013"/>
      <c r="AI260" s="1013"/>
      <c r="AJ260" s="1013"/>
      <c r="AK260" s="1013"/>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1547</v>
      </c>
      <c r="AK262" s="1962">
        <f>IFERROR(IF(AG259=0,0,IF((AG259*100)&gt;8,8,(AG259*100))),0)</f>
        <v>8</v>
      </c>
      <c r="AL262" s="1962"/>
      <c r="AM262" s="1963"/>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1548</v>
      </c>
      <c r="B265" s="572" t="s">
        <v>1549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54" t="s">
        <v>554</v>
      </c>
      <c r="D267" s="1954"/>
      <c r="E267" s="581"/>
      <c r="F267" s="2107" t="s">
        <v>2422</v>
      </c>
      <c r="G267" s="2108"/>
      <c r="H267" s="2108"/>
      <c r="I267" s="2108"/>
      <c r="J267" s="2108"/>
      <c r="K267" s="2108"/>
      <c r="L267" s="2108"/>
      <c r="M267" s="2108"/>
      <c r="N267" s="2108"/>
      <c r="O267" s="2108"/>
      <c r="P267" s="2108"/>
      <c r="Q267" s="2108"/>
      <c r="R267" s="2108"/>
      <c r="S267" s="2108"/>
      <c r="T267" s="2108"/>
      <c r="U267" s="2108"/>
      <c r="V267" s="2108"/>
      <c r="W267" s="2108"/>
      <c r="X267" s="2108"/>
      <c r="Y267" s="2108"/>
      <c r="Z267" s="2108"/>
      <c r="AA267" s="2108"/>
      <c r="AB267" s="2108"/>
      <c r="AC267" s="2108"/>
      <c r="AD267" s="2109"/>
      <c r="AE267" s="584"/>
      <c r="AF267" s="669"/>
      <c r="AG267" s="1955" t="s">
        <v>1535</v>
      </c>
      <c r="AH267" s="1955"/>
      <c r="AI267" s="1955"/>
      <c r="AJ267" s="1955"/>
      <c r="AK267" s="584"/>
      <c r="AL267" s="584"/>
      <c r="AM267" s="584"/>
      <c r="AO267" s="584"/>
    </row>
    <row r="268" spans="1:52" ht="13.65" customHeight="1">
      <c r="A268" s="584"/>
      <c r="B268" s="630"/>
      <c r="C268" s="670"/>
      <c r="D268" s="584"/>
      <c r="E268" s="581"/>
      <c r="F268" s="2110"/>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c r="AA268" s="2111"/>
      <c r="AB268" s="2111"/>
      <c r="AC268" s="2111"/>
      <c r="AD268" s="2112"/>
      <c r="AE268" s="584"/>
      <c r="AF268" s="669"/>
      <c r="AG268" s="669"/>
      <c r="AH268" s="669"/>
      <c r="AI268" s="669"/>
      <c r="AJ268" s="584"/>
      <c r="AK268" s="584"/>
      <c r="AL268" s="584"/>
      <c r="AM268" s="584"/>
      <c r="AO268" s="584"/>
    </row>
    <row r="269" spans="1:52">
      <c r="A269" s="584"/>
      <c r="B269" s="630"/>
      <c r="C269" s="670"/>
      <c r="D269" s="584"/>
      <c r="E269" s="581"/>
      <c r="F269" s="2110"/>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c r="AA269" s="2111"/>
      <c r="AB269" s="2111"/>
      <c r="AC269" s="2111"/>
      <c r="AD269" s="2112"/>
      <c r="AE269" s="584"/>
      <c r="AF269" s="669"/>
      <c r="AG269" s="669"/>
      <c r="AH269" s="669"/>
      <c r="AI269" s="669"/>
      <c r="AJ269" s="584"/>
      <c r="AK269" s="584"/>
      <c r="AL269" s="584"/>
      <c r="AM269" s="584"/>
      <c r="AO269" s="584"/>
      <c r="AP269" s="671"/>
    </row>
    <row r="270" spans="1:52">
      <c r="A270" s="584"/>
      <c r="B270" s="630"/>
      <c r="C270" s="670"/>
      <c r="D270" s="584"/>
      <c r="E270" s="581"/>
      <c r="F270" s="2110"/>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c r="AA270" s="2111"/>
      <c r="AB270" s="2111"/>
      <c r="AC270" s="2111"/>
      <c r="AD270" s="2112"/>
      <c r="AE270" s="584"/>
      <c r="AF270" s="669"/>
      <c r="AG270" s="669"/>
      <c r="AH270" s="669"/>
      <c r="AI270" s="669"/>
      <c r="AJ270" s="584"/>
      <c r="AK270" s="584"/>
      <c r="AL270" s="584"/>
      <c r="AM270" s="584"/>
      <c r="AO270" s="584"/>
      <c r="AP270" s="671"/>
    </row>
    <row r="271" spans="1:52" ht="13.65" customHeight="1">
      <c r="A271" s="584"/>
      <c r="B271" s="630"/>
      <c r="C271" s="1956"/>
      <c r="D271" s="1956"/>
      <c r="E271" s="581"/>
      <c r="F271" s="2113"/>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c r="AB271" s="2114"/>
      <c r="AC271" s="2114"/>
      <c r="AD271" s="2115"/>
      <c r="AE271" s="584"/>
      <c r="AF271" s="669"/>
      <c r="AG271" s="1955"/>
      <c r="AH271" s="1955"/>
      <c r="AI271" s="1955"/>
      <c r="AJ271" s="1955"/>
      <c r="AK271" s="584"/>
      <c r="AL271" s="584"/>
      <c r="AM271" s="584"/>
    </row>
    <row r="272" spans="1:52" ht="13.65" hidden="1" customHeight="1">
      <c r="A272" s="584"/>
      <c r="C272" s="637"/>
      <c r="D272" s="637"/>
      <c r="E272" s="637"/>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1551</v>
      </c>
      <c r="AK274" s="1962">
        <f>IF($C$267="yes",10,0)</f>
        <v>10</v>
      </c>
      <c r="AL274" s="1962"/>
      <c r="AM274" s="1963"/>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1552</v>
      </c>
      <c r="B277" s="572" t="s">
        <v>2116</v>
      </c>
      <c r="AH277" s="625" t="s">
        <v>1486</v>
      </c>
    </row>
    <row r="278" spans="1:49" ht="15" customHeight="1">
      <c r="B278" s="573"/>
    </row>
    <row r="279" spans="1:49" ht="15" customHeight="1">
      <c r="B279" s="573" t="s">
        <v>1988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1554</v>
      </c>
      <c r="B281" s="1648"/>
      <c r="C281" s="1951" t="s">
        <v>600</v>
      </c>
      <c r="D281" s="1954"/>
      <c r="E281" s="581"/>
      <c r="F281" s="1982" t="s">
        <v>1555</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676"/>
      <c r="AF281" s="584"/>
      <c r="AG281" s="1985" t="s">
        <v>2415</v>
      </c>
      <c r="AH281" s="1985"/>
      <c r="AI281" s="1985"/>
      <c r="AJ281" s="1985"/>
      <c r="AK281" s="1985"/>
      <c r="AL281" s="584"/>
      <c r="AM281" s="584"/>
      <c r="AN281" s="73"/>
      <c r="AO281" s="14"/>
      <c r="AP281" s="30"/>
      <c r="AS281" s="604"/>
      <c r="AT281" s="604"/>
      <c r="AU281" s="604"/>
      <c r="AV281" s="32"/>
      <c r="AW281" s="32"/>
    </row>
    <row r="282" spans="1:49">
      <c r="A282" s="674"/>
      <c r="B282" s="630"/>
      <c r="F282" s="1976"/>
      <c r="G282" s="1977"/>
      <c r="H282" s="1977"/>
      <c r="I282" s="1977"/>
      <c r="J282" s="1977"/>
      <c r="K282" s="1977"/>
      <c r="L282" s="1977"/>
      <c r="M282" s="1977"/>
      <c r="N282" s="1977"/>
      <c r="O282" s="1977"/>
      <c r="P282" s="1977"/>
      <c r="Q282" s="1977"/>
      <c r="R282" s="1977"/>
      <c r="S282" s="1977"/>
      <c r="T282" s="1977"/>
      <c r="U282" s="1977"/>
      <c r="V282" s="1977"/>
      <c r="W282" s="1977"/>
      <c r="X282" s="1977"/>
      <c r="Y282" s="1977"/>
      <c r="Z282" s="1977"/>
      <c r="AA282" s="1977"/>
      <c r="AB282" s="1977"/>
      <c r="AC282" s="1977"/>
      <c r="AD282" s="197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76"/>
      <c r="G283" s="1977"/>
      <c r="H283" s="1977"/>
      <c r="I283" s="1977"/>
      <c r="J283" s="1977"/>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76" t="s">
        <v>2423</v>
      </c>
      <c r="G284" s="1977"/>
      <c r="H284" s="1977"/>
      <c r="I284" s="1977"/>
      <c r="J284" s="1977"/>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8"/>
      <c r="AE284" s="676"/>
      <c r="AF284" s="585"/>
      <c r="AH284" s="585"/>
      <c r="AI284" s="585"/>
      <c r="AJ284" s="584"/>
      <c r="AK284" s="584"/>
      <c r="AL284" s="584"/>
      <c r="AM284" s="584"/>
      <c r="AN284" s="73"/>
      <c r="AO284" s="14"/>
      <c r="AP284" s="645">
        <f>MAX(AP282,AP283)</f>
        <v>9</v>
      </c>
      <c r="AQ284" s="608" t="s">
        <v>1488</v>
      </c>
      <c r="AS284" s="604"/>
      <c r="AT284" s="604"/>
      <c r="AU284" s="604"/>
      <c r="AV284" s="32"/>
      <c r="AW284" s="32"/>
    </row>
    <row r="285" spans="1:49">
      <c r="A285" s="674"/>
      <c r="B285" s="630"/>
      <c r="F285" s="1976"/>
      <c r="G285" s="1977"/>
      <c r="H285" s="1977"/>
      <c r="I285" s="1977"/>
      <c r="J285" s="1977"/>
      <c r="K285" s="1977"/>
      <c r="L285" s="1977"/>
      <c r="M285" s="1977"/>
      <c r="N285" s="1977"/>
      <c r="O285" s="1977"/>
      <c r="P285" s="1977"/>
      <c r="Q285" s="1977"/>
      <c r="R285" s="1977"/>
      <c r="S285" s="1977"/>
      <c r="T285" s="1977"/>
      <c r="U285" s="1977"/>
      <c r="V285" s="1977"/>
      <c r="W285" s="1977"/>
      <c r="X285" s="1977"/>
      <c r="Y285" s="1977"/>
      <c r="Z285" s="1977"/>
      <c r="AA285" s="1977"/>
      <c r="AB285" s="1977"/>
      <c r="AC285" s="1977"/>
      <c r="AD285" s="197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76" t="s">
        <v>1556</v>
      </c>
      <c r="G286" s="1977"/>
      <c r="H286" s="1977"/>
      <c r="I286" s="1977"/>
      <c r="J286" s="1977"/>
      <c r="K286" s="1977"/>
      <c r="L286" s="1977"/>
      <c r="M286" s="1977"/>
      <c r="N286" s="1977"/>
      <c r="O286" s="1977"/>
      <c r="P286" s="1977"/>
      <c r="Q286" s="1977"/>
      <c r="R286" s="1977"/>
      <c r="S286" s="1977"/>
      <c r="T286" s="1977"/>
      <c r="U286" s="1977"/>
      <c r="V286" s="1977"/>
      <c r="W286" s="1977"/>
      <c r="X286" s="1977"/>
      <c r="Y286" s="1977"/>
      <c r="Z286" s="1977"/>
      <c r="AA286" s="1977"/>
      <c r="AB286" s="1977"/>
      <c r="AC286" s="1977"/>
      <c r="AD286" s="197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76"/>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76" t="s">
        <v>1557</v>
      </c>
      <c r="G288" s="1977"/>
      <c r="H288" s="1977"/>
      <c r="I288" s="1977"/>
      <c r="J288" s="1977"/>
      <c r="K288" s="1977"/>
      <c r="L288" s="1977"/>
      <c r="M288" s="1977"/>
      <c r="N288" s="1977"/>
      <c r="O288" s="1977"/>
      <c r="P288" s="1977"/>
      <c r="Q288" s="1977"/>
      <c r="R288" s="1977"/>
      <c r="S288" s="1977"/>
      <c r="T288" s="1977"/>
      <c r="U288" s="1977"/>
      <c r="V288" s="1977"/>
      <c r="W288" s="1977"/>
      <c r="X288" s="1977"/>
      <c r="Y288" s="1977"/>
      <c r="Z288" s="1977"/>
      <c r="AA288" s="1977"/>
      <c r="AB288" s="1977"/>
      <c r="AC288" s="1977"/>
      <c r="AD288" s="197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79"/>
      <c r="G289" s="1980"/>
      <c r="H289" s="1980"/>
      <c r="I289" s="1980"/>
      <c r="J289" s="1980"/>
      <c r="K289" s="1980"/>
      <c r="L289" s="1980"/>
      <c r="M289" s="1980"/>
      <c r="N289" s="1980"/>
      <c r="O289" s="1980"/>
      <c r="P289" s="1980"/>
      <c r="Q289" s="1980"/>
      <c r="R289" s="1980"/>
      <c r="S289" s="1980"/>
      <c r="T289" s="1980"/>
      <c r="U289" s="1980"/>
      <c r="V289" s="1980"/>
      <c r="W289" s="1980"/>
      <c r="X289" s="1980"/>
      <c r="Y289" s="1980"/>
      <c r="Z289" s="1980"/>
      <c r="AA289" s="1980"/>
      <c r="AB289" s="1980"/>
      <c r="AC289" s="1980"/>
      <c r="AD289" s="198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1558</v>
      </c>
      <c r="B291" s="1648"/>
      <c r="C291" s="1954" t="s">
        <v>554</v>
      </c>
      <c r="D291" s="1954"/>
      <c r="E291" s="581"/>
      <c r="F291" s="678" t="s">
        <v>2416</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1560</v>
      </c>
      <c r="AH291" s="585"/>
      <c r="AI291" s="585"/>
      <c r="AJ291" s="584"/>
      <c r="AK291" s="584"/>
      <c r="AL291" s="584"/>
      <c r="AM291" s="584"/>
      <c r="AN291" s="681"/>
      <c r="AO291" s="14"/>
    </row>
    <row r="292" spans="1:49">
      <c r="A292" s="584"/>
      <c r="B292" s="585"/>
      <c r="C292" s="584"/>
      <c r="D292" s="585"/>
      <c r="E292" s="584"/>
      <c r="F292" s="1889" t="s">
        <v>2417</v>
      </c>
      <c r="G292" s="1890"/>
      <c r="H292" s="1890"/>
      <c r="I292" s="1890"/>
      <c r="J292" s="1890"/>
      <c r="K292" s="1890"/>
      <c r="L292" s="1890"/>
      <c r="M292" s="1890"/>
      <c r="N292" s="1890"/>
      <c r="O292" s="1890"/>
      <c r="P292" s="1890"/>
      <c r="Q292" s="1890"/>
      <c r="R292" s="1890"/>
      <c r="S292" s="1890"/>
      <c r="T292" s="1890"/>
      <c r="U292" s="1890"/>
      <c r="V292" s="1890"/>
      <c r="W292" s="1890"/>
      <c r="X292" s="1890"/>
      <c r="Y292" s="1890"/>
      <c r="Z292" s="1890"/>
      <c r="AA292" s="1890"/>
      <c r="AB292" s="1890"/>
      <c r="AC292" s="1890"/>
      <c r="AD292" s="1891"/>
      <c r="AE292" s="585"/>
      <c r="AF292" s="585"/>
      <c r="AG292" s="585"/>
      <c r="AH292" s="585"/>
      <c r="AI292" s="585"/>
      <c r="AJ292" s="584"/>
      <c r="AK292" s="584"/>
      <c r="AL292" s="584"/>
      <c r="AM292" s="584"/>
      <c r="AR292" s="682"/>
    </row>
    <row r="293" spans="1:49" ht="15" customHeight="1">
      <c r="A293" s="584"/>
      <c r="B293" s="585"/>
      <c r="C293" s="584"/>
      <c r="D293" s="585"/>
      <c r="E293" s="584"/>
      <c r="F293" s="1889"/>
      <c r="G293" s="1890"/>
      <c r="H293" s="1890"/>
      <c r="I293" s="1890"/>
      <c r="J293" s="1890"/>
      <c r="K293" s="1890"/>
      <c r="L293" s="1890"/>
      <c r="M293" s="1890"/>
      <c r="N293" s="1890"/>
      <c r="O293" s="1890"/>
      <c r="P293" s="1890"/>
      <c r="Q293" s="1890"/>
      <c r="R293" s="1890"/>
      <c r="S293" s="1890"/>
      <c r="T293" s="1890"/>
      <c r="U293" s="1890"/>
      <c r="V293" s="1890"/>
      <c r="W293" s="1890"/>
      <c r="X293" s="1890"/>
      <c r="Y293" s="1890"/>
      <c r="Z293" s="1890"/>
      <c r="AA293" s="1890"/>
      <c r="AB293" s="1890"/>
      <c r="AC293" s="1890"/>
      <c r="AD293" s="1891"/>
      <c r="AE293" s="585"/>
      <c r="AF293" s="585"/>
      <c r="AG293" s="585"/>
      <c r="AH293" s="585"/>
      <c r="AI293" s="585"/>
      <c r="AJ293" s="584"/>
      <c r="AK293" s="584"/>
      <c r="AL293" s="584"/>
      <c r="AM293" s="584"/>
      <c r="AR293" s="682"/>
    </row>
    <row r="294" spans="1:49">
      <c r="A294" s="584"/>
      <c r="B294" s="585"/>
      <c r="C294" s="584"/>
      <c r="D294" s="585"/>
      <c r="E294" s="584"/>
      <c r="F294" s="1889"/>
      <c r="G294" s="1890"/>
      <c r="H294" s="1890"/>
      <c r="I294" s="1890"/>
      <c r="J294" s="1890"/>
      <c r="K294" s="1890"/>
      <c r="L294" s="1890"/>
      <c r="M294" s="1890"/>
      <c r="N294" s="1890"/>
      <c r="O294" s="1890"/>
      <c r="P294" s="1890"/>
      <c r="Q294" s="1890"/>
      <c r="R294" s="1890"/>
      <c r="S294" s="1890"/>
      <c r="T294" s="1890"/>
      <c r="U294" s="1890"/>
      <c r="V294" s="1890"/>
      <c r="W294" s="1890"/>
      <c r="X294" s="1890"/>
      <c r="Y294" s="1890"/>
      <c r="Z294" s="1890"/>
      <c r="AA294" s="1890"/>
      <c r="AB294" s="1890"/>
      <c r="AC294" s="1890"/>
      <c r="AD294" s="189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86"/>
      <c r="G295" s="1887"/>
      <c r="H295" s="1887"/>
      <c r="I295" s="1887"/>
      <c r="J295" s="1887"/>
      <c r="K295" s="1887"/>
      <c r="L295" s="1887"/>
      <c r="M295" s="1887"/>
      <c r="N295" s="1887"/>
      <c r="O295" s="1887"/>
      <c r="P295" s="1887"/>
      <c r="Q295" s="1887"/>
      <c r="R295" s="1887"/>
      <c r="S295" s="1887"/>
      <c r="T295" s="1887"/>
      <c r="U295" s="1887"/>
      <c r="V295" s="1887"/>
      <c r="W295" s="1887"/>
      <c r="X295" s="1887"/>
      <c r="Y295" s="1887"/>
      <c r="Z295" s="1887"/>
      <c r="AA295" s="1887"/>
      <c r="AB295" s="1887"/>
      <c r="AC295" s="1887"/>
      <c r="AD295" s="188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1561</v>
      </c>
      <c r="B299" s="1648"/>
      <c r="C299" s="1954" t="s">
        <v>600</v>
      </c>
      <c r="D299" s="1954"/>
      <c r="E299" s="581"/>
      <c r="F299" s="678" t="s">
        <v>1559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1560</v>
      </c>
      <c r="AH299" s="585"/>
      <c r="AI299" s="585"/>
      <c r="AJ299" s="584"/>
      <c r="AK299" s="584"/>
      <c r="AL299" s="584"/>
      <c r="AM299" s="584"/>
      <c r="AN299" s="73"/>
      <c r="AO299" s="14"/>
    </row>
    <row r="300" spans="1:49" hidden="1">
      <c r="A300" s="89"/>
      <c r="B300" s="89"/>
      <c r="C300" s="764"/>
      <c r="D300" s="764"/>
      <c r="E300" s="581"/>
      <c r="F300" s="1976" t="s">
        <v>2424</v>
      </c>
      <c r="G300" s="1977"/>
      <c r="H300" s="1977"/>
      <c r="I300" s="1977"/>
      <c r="J300" s="1977"/>
      <c r="K300" s="1977"/>
      <c r="L300" s="1977"/>
      <c r="M300" s="1977"/>
      <c r="N300" s="1977"/>
      <c r="O300" s="1977"/>
      <c r="P300" s="1977"/>
      <c r="Q300" s="1977"/>
      <c r="R300" s="1977"/>
      <c r="S300" s="1977"/>
      <c r="T300" s="1977"/>
      <c r="U300" s="1977"/>
      <c r="V300" s="1977"/>
      <c r="W300" s="1977"/>
      <c r="X300" s="1977"/>
      <c r="Y300" s="1977"/>
      <c r="Z300" s="1977"/>
      <c r="AA300" s="1977"/>
      <c r="AB300" s="1977"/>
      <c r="AC300" s="1977"/>
      <c r="AD300" s="1978"/>
      <c r="AE300" s="585"/>
      <c r="AF300" s="585"/>
      <c r="AG300" s="573"/>
      <c r="AH300" s="585"/>
      <c r="AI300" s="585"/>
      <c r="AJ300" s="584"/>
      <c r="AK300" s="584"/>
      <c r="AL300" s="584"/>
      <c r="AM300" s="584"/>
      <c r="AN300" s="73"/>
      <c r="AO300" s="14"/>
      <c r="AP300" s="591" t="s">
        <v>1327</v>
      </c>
    </row>
    <row r="301" spans="1:49" hidden="1">
      <c r="F301" s="1976"/>
      <c r="G301" s="1977"/>
      <c r="H301" s="1977"/>
      <c r="I301" s="1977"/>
      <c r="J301" s="1977"/>
      <c r="K301" s="1977"/>
      <c r="L301" s="1977"/>
      <c r="M301" s="1977"/>
      <c r="N301" s="1977"/>
      <c r="O301" s="1977"/>
      <c r="P301" s="1977"/>
      <c r="Q301" s="1977"/>
      <c r="R301" s="1977"/>
      <c r="S301" s="1977"/>
      <c r="T301" s="1977"/>
      <c r="U301" s="1977"/>
      <c r="V301" s="1977"/>
      <c r="W301" s="1977"/>
      <c r="X301" s="1977"/>
      <c r="Y301" s="1977"/>
      <c r="Z301" s="1977"/>
      <c r="AA301" s="1977"/>
      <c r="AB301" s="1977"/>
      <c r="AC301" s="1977"/>
      <c r="AD301" s="1978"/>
      <c r="AE301" s="585"/>
      <c r="AF301" s="585"/>
      <c r="AH301" s="585"/>
      <c r="AI301" s="585"/>
      <c r="AJ301" s="584"/>
      <c r="AK301" s="584"/>
      <c r="AL301" s="584"/>
      <c r="AM301" s="584"/>
      <c r="AN301" s="73"/>
      <c r="AO301" s="14"/>
      <c r="AP301" s="591" t="s">
        <v>1990</v>
      </c>
    </row>
    <row r="302" spans="1:49" hidden="1">
      <c r="A302" s="584"/>
      <c r="B302" s="585"/>
      <c r="C302" s="764"/>
      <c r="D302" s="764"/>
      <c r="E302" s="581"/>
      <c r="F302" s="686" t="s">
        <v>1562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6"/>
      <c r="AE302" s="585"/>
      <c r="AF302" s="585"/>
      <c r="AG302" s="573"/>
      <c r="AH302" s="585"/>
      <c r="AI302" s="585"/>
      <c r="AJ302" s="584"/>
      <c r="AK302" s="584"/>
      <c r="AL302" s="584"/>
      <c r="AM302" s="584"/>
      <c r="AN302" s="73"/>
      <c r="AO302" s="14"/>
      <c r="AP302" s="591" t="s">
        <v>1992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6"/>
      <c r="AE303" s="585"/>
      <c r="AF303" s="585"/>
      <c r="AG303" s="573"/>
      <c r="AH303" s="585"/>
      <c r="AI303" s="585"/>
      <c r="AJ303" s="584"/>
      <c r="AK303" s="584"/>
      <c r="AL303" s="584"/>
      <c r="AM303" s="584"/>
      <c r="AN303" s="73"/>
      <c r="AO303" s="14"/>
      <c r="AP303" s="591" t="s">
        <v>2118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86" t="s">
        <v>1327</v>
      </c>
      <c r="G305" s="1987"/>
      <c r="H305" s="1987"/>
      <c r="I305" s="1987"/>
      <c r="J305" s="1987"/>
      <c r="K305" s="1987"/>
      <c r="L305" s="1987"/>
      <c r="M305" s="1987"/>
      <c r="N305" s="1987"/>
      <c r="O305" s="1987"/>
      <c r="P305" s="1987"/>
      <c r="Q305" s="1987"/>
      <c r="R305" s="1987"/>
      <c r="S305" s="1987"/>
      <c r="T305" s="1987"/>
      <c r="U305" s="1987"/>
      <c r="V305" s="1987"/>
      <c r="W305" s="1987"/>
      <c r="X305" s="1987"/>
      <c r="Y305" s="1987"/>
      <c r="Z305" s="1987"/>
      <c r="AA305" s="1987"/>
      <c r="AB305" s="1987"/>
      <c r="AC305" s="1987"/>
      <c r="AD305" s="1988"/>
      <c r="AE305" s="676"/>
      <c r="AF305" s="676"/>
      <c r="AG305" s="676"/>
      <c r="AH305" s="676"/>
      <c r="AI305" s="676"/>
      <c r="AJ305" s="676"/>
      <c r="AK305" s="676"/>
      <c r="AL305" s="584"/>
      <c r="AM305" s="584"/>
      <c r="AN305" s="73"/>
      <c r="AO305" s="14"/>
      <c r="AP305" s="30"/>
    </row>
    <row r="306" spans="1:42" hidden="1">
      <c r="A306" s="584"/>
      <c r="B306" s="585"/>
      <c r="C306" s="764"/>
      <c r="D306" s="764"/>
      <c r="E306" s="581"/>
      <c r="F306" s="1986"/>
      <c r="G306" s="1987"/>
      <c r="H306" s="1987"/>
      <c r="I306" s="1987"/>
      <c r="J306" s="1987"/>
      <c r="K306" s="1987"/>
      <c r="L306" s="1987"/>
      <c r="M306" s="1987"/>
      <c r="N306" s="1987"/>
      <c r="O306" s="1987"/>
      <c r="P306" s="1987"/>
      <c r="Q306" s="1987"/>
      <c r="R306" s="1987"/>
      <c r="S306" s="1987"/>
      <c r="T306" s="1987"/>
      <c r="U306" s="1987"/>
      <c r="V306" s="1987"/>
      <c r="W306" s="1987"/>
      <c r="X306" s="1987"/>
      <c r="Y306" s="1987"/>
      <c r="Z306" s="1987"/>
      <c r="AA306" s="1987"/>
      <c r="AB306" s="1987"/>
      <c r="AC306" s="1987"/>
      <c r="AD306" s="1988"/>
      <c r="AE306" s="585"/>
      <c r="AF306" s="585"/>
      <c r="AG306" s="573"/>
      <c r="AH306" s="585"/>
      <c r="AI306" s="585"/>
      <c r="AJ306" s="584"/>
      <c r="AK306" s="584"/>
      <c r="AL306" s="584"/>
      <c r="AM306" s="584"/>
      <c r="AN306" s="73"/>
      <c r="AO306" s="14"/>
      <c r="AP306" s="30"/>
    </row>
    <row r="307" spans="1:42" hidden="1">
      <c r="A307" s="584"/>
      <c r="B307" s="585"/>
      <c r="C307" s="764"/>
      <c r="D307" s="764"/>
      <c r="E307" s="581"/>
      <c r="F307" s="1986"/>
      <c r="G307" s="1987"/>
      <c r="H307" s="1987"/>
      <c r="I307" s="1987"/>
      <c r="J307" s="1987"/>
      <c r="K307" s="1987"/>
      <c r="L307" s="1987"/>
      <c r="M307" s="1987"/>
      <c r="N307" s="1987"/>
      <c r="O307" s="1987"/>
      <c r="P307" s="1987"/>
      <c r="Q307" s="1987"/>
      <c r="R307" s="1987"/>
      <c r="S307" s="1987"/>
      <c r="T307" s="1987"/>
      <c r="U307" s="1987"/>
      <c r="V307" s="1987"/>
      <c r="W307" s="1987"/>
      <c r="X307" s="1987"/>
      <c r="Y307" s="1987"/>
      <c r="Z307" s="1987"/>
      <c r="AA307" s="1987"/>
      <c r="AB307" s="1987"/>
      <c r="AC307" s="1987"/>
      <c r="AD307" s="1988"/>
      <c r="AE307" s="585"/>
      <c r="AF307" s="585"/>
      <c r="AG307" s="573"/>
      <c r="AH307" s="585"/>
      <c r="AI307" s="585"/>
      <c r="AJ307" s="584"/>
      <c r="AK307" s="584"/>
      <c r="AL307" s="584"/>
      <c r="AM307" s="584"/>
      <c r="AN307" s="73"/>
      <c r="AO307" s="14"/>
      <c r="AP307" s="30"/>
    </row>
    <row r="308" spans="1:42" hidden="1">
      <c r="A308" s="584"/>
      <c r="B308" s="585"/>
      <c r="C308" s="764"/>
      <c r="D308" s="764"/>
      <c r="E308" s="581"/>
      <c r="F308" s="1986"/>
      <c r="G308" s="1987"/>
      <c r="H308" s="1987"/>
      <c r="I308" s="1987"/>
      <c r="J308" s="1987"/>
      <c r="K308" s="1987"/>
      <c r="L308" s="1987"/>
      <c r="M308" s="1987"/>
      <c r="N308" s="1987"/>
      <c r="O308" s="1987"/>
      <c r="P308" s="1987"/>
      <c r="Q308" s="1987"/>
      <c r="R308" s="1987"/>
      <c r="S308" s="1987"/>
      <c r="T308" s="1987"/>
      <c r="U308" s="1987"/>
      <c r="V308" s="1987"/>
      <c r="W308" s="1987"/>
      <c r="X308" s="1987"/>
      <c r="Y308" s="1987"/>
      <c r="Z308" s="1987"/>
      <c r="AA308" s="1987"/>
      <c r="AB308" s="1987"/>
      <c r="AC308" s="1987"/>
      <c r="AD308" s="1988"/>
      <c r="AE308" s="585"/>
      <c r="AF308" s="585"/>
      <c r="AG308" s="573"/>
      <c r="AH308" s="585"/>
      <c r="AI308" s="585"/>
      <c r="AJ308" s="584"/>
      <c r="AK308" s="584"/>
      <c r="AL308" s="584"/>
      <c r="AM308" s="584"/>
      <c r="AN308" s="73"/>
      <c r="AO308" s="14"/>
      <c r="AP308" s="30"/>
    </row>
    <row r="309" spans="1:42" hidden="1">
      <c r="A309" s="584"/>
      <c r="B309" s="585"/>
      <c r="C309" s="764"/>
      <c r="D309" s="764"/>
      <c r="E309" s="581"/>
      <c r="F309" s="1989"/>
      <c r="G309" s="1990"/>
      <c r="H309" s="1990"/>
      <c r="I309" s="1990"/>
      <c r="J309" s="1990"/>
      <c r="K309" s="1990"/>
      <c r="L309" s="1990"/>
      <c r="M309" s="1990"/>
      <c r="N309" s="1990"/>
      <c r="O309" s="1990"/>
      <c r="P309" s="1990"/>
      <c r="Q309" s="1990"/>
      <c r="R309" s="1990"/>
      <c r="S309" s="1990"/>
      <c r="T309" s="1990"/>
      <c r="U309" s="1990"/>
      <c r="V309" s="1990"/>
      <c r="W309" s="1990"/>
      <c r="X309" s="1990"/>
      <c r="Y309" s="1990"/>
      <c r="Z309" s="1990"/>
      <c r="AA309" s="1990"/>
      <c r="AB309" s="1990"/>
      <c r="AC309" s="1990"/>
      <c r="AD309" s="1991"/>
      <c r="AE309" s="585"/>
      <c r="AF309" s="585"/>
      <c r="AG309" s="573"/>
      <c r="AH309" s="585"/>
      <c r="AI309" s="585"/>
      <c r="AJ309" s="584"/>
      <c r="AK309" s="584"/>
      <c r="AL309" s="584"/>
      <c r="AM309" s="584"/>
      <c r="AN309" s="73"/>
      <c r="AO309" s="14"/>
      <c r="AP309" s="30"/>
    </row>
    <row r="310" spans="1:42" hidden="1">
      <c r="A310" s="584"/>
      <c r="B310" s="585"/>
      <c r="C310" s="764"/>
      <c r="D310" s="764"/>
      <c r="E310" s="581"/>
      <c r="F310" s="1011"/>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1991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1327</v>
      </c>
    </row>
    <row r="313" spans="1:42" ht="12.75" hidden="1" customHeight="1">
      <c r="A313" s="584"/>
      <c r="B313" s="585"/>
      <c r="C313" s="764"/>
      <c r="D313" s="764"/>
      <c r="E313" s="581"/>
      <c r="F313" s="690"/>
      <c r="G313" s="609" t="s">
        <v>697</v>
      </c>
      <c r="H313" s="609"/>
      <c r="I313" s="1992" t="s">
        <v>1327</v>
      </c>
      <c r="J313" s="1992"/>
      <c r="K313" s="1992"/>
      <c r="L313" s="1992"/>
      <c r="M313" s="1992"/>
      <c r="N313" s="1992"/>
      <c r="O313" s="1992"/>
      <c r="P313" s="1992"/>
      <c r="Q313" s="1992"/>
      <c r="R313" s="1992"/>
      <c r="S313" s="1992"/>
      <c r="T313" s="1992"/>
      <c r="U313" s="1992"/>
      <c r="V313" s="1992"/>
      <c r="W313" s="1992"/>
      <c r="X313" s="1992"/>
      <c r="Y313" s="1992"/>
      <c r="Z313" s="1992"/>
      <c r="AA313" s="1992"/>
      <c r="AB313" s="1992"/>
      <c r="AC313" s="1992"/>
      <c r="AD313" s="1993"/>
      <c r="AE313" s="585"/>
      <c r="AF313" s="585"/>
      <c r="AG313" s="573"/>
      <c r="AH313" s="585"/>
      <c r="AI313" s="585"/>
      <c r="AJ313" s="584"/>
      <c r="AK313" s="584"/>
      <c r="AL313" s="584"/>
      <c r="AM313" s="584"/>
      <c r="AN313" s="73"/>
      <c r="AO313" s="14"/>
      <c r="AP313" s="591" t="s">
        <v>1817</v>
      </c>
    </row>
    <row r="314" spans="1:42" hidden="1">
      <c r="A314" s="584"/>
      <c r="B314" s="585"/>
      <c r="C314" s="764"/>
      <c r="D314" s="764"/>
      <c r="E314" s="581"/>
      <c r="F314" s="690"/>
      <c r="G314" s="609"/>
      <c r="H314" s="609"/>
      <c r="I314" s="1992"/>
      <c r="J314" s="1992"/>
      <c r="K314" s="1992"/>
      <c r="L314" s="1992"/>
      <c r="M314" s="1992"/>
      <c r="N314" s="1992"/>
      <c r="O314" s="1992"/>
      <c r="P314" s="1992"/>
      <c r="Q314" s="1992"/>
      <c r="R314" s="1992"/>
      <c r="S314" s="1992"/>
      <c r="T314" s="1992"/>
      <c r="U314" s="1992"/>
      <c r="V314" s="1992"/>
      <c r="W314" s="1992"/>
      <c r="X314" s="1992"/>
      <c r="Y314" s="1992"/>
      <c r="Z314" s="1992"/>
      <c r="AA314" s="1992"/>
      <c r="AB314" s="1992"/>
      <c r="AC314" s="1992"/>
      <c r="AD314" s="1993"/>
      <c r="AE314" s="585"/>
      <c r="AF314" s="585"/>
      <c r="AG314" s="573"/>
      <c r="AH314" s="585"/>
      <c r="AI314" s="585"/>
      <c r="AJ314" s="584"/>
      <c r="AK314" s="584"/>
      <c r="AL314" s="584"/>
      <c r="AM314" s="584"/>
      <c r="AN314" s="73"/>
      <c r="AO314" s="14"/>
      <c r="AP314" s="591" t="s">
        <v>1993</v>
      </c>
    </row>
    <row r="315" spans="1:42" hidden="1">
      <c r="A315" s="584"/>
      <c r="B315" s="585"/>
      <c r="C315" s="685"/>
      <c r="D315" s="685"/>
      <c r="E315" s="581"/>
      <c r="F315" s="690"/>
      <c r="G315" s="609"/>
      <c r="H315" s="609"/>
      <c r="I315" s="1992"/>
      <c r="J315" s="1992"/>
      <c r="K315" s="1992"/>
      <c r="L315" s="1992"/>
      <c r="M315" s="1992"/>
      <c r="N315" s="1992"/>
      <c r="O315" s="1992"/>
      <c r="P315" s="1992"/>
      <c r="Q315" s="1992"/>
      <c r="R315" s="1992"/>
      <c r="S315" s="1992"/>
      <c r="T315" s="1992"/>
      <c r="U315" s="1992"/>
      <c r="V315" s="1992"/>
      <c r="W315" s="1992"/>
      <c r="X315" s="1992"/>
      <c r="Y315" s="1992"/>
      <c r="Z315" s="1992"/>
      <c r="AA315" s="1992"/>
      <c r="AB315" s="1992"/>
      <c r="AC315" s="1992"/>
      <c r="AD315" s="1993"/>
      <c r="AE315" s="585"/>
      <c r="AF315" s="585"/>
      <c r="AG315" s="573"/>
      <c r="AH315" s="585"/>
      <c r="AI315" s="585"/>
      <c r="AJ315" s="584"/>
      <c r="AK315" s="584"/>
      <c r="AL315" s="584"/>
      <c r="AM315" s="584"/>
      <c r="AN315" s="73"/>
      <c r="AO315" s="14"/>
      <c r="AP315" s="591" t="s">
        <v>1995</v>
      </c>
    </row>
    <row r="316" spans="1:42" hidden="1">
      <c r="A316" s="584"/>
      <c r="B316" s="585"/>
      <c r="C316" s="685"/>
      <c r="D316" s="685"/>
      <c r="E316" s="581"/>
      <c r="F316" s="688"/>
      <c r="G316" s="585"/>
      <c r="H316" s="585"/>
      <c r="I316" s="1994"/>
      <c r="J316" s="1994"/>
      <c r="K316" s="1994"/>
      <c r="L316" s="1994"/>
      <c r="M316" s="1994"/>
      <c r="N316" s="1994"/>
      <c r="O316" s="1994"/>
      <c r="P316" s="1994"/>
      <c r="Q316" s="1994"/>
      <c r="R316" s="1994"/>
      <c r="S316" s="1994"/>
      <c r="T316" s="1994"/>
      <c r="U316" s="1994"/>
      <c r="V316" s="1994"/>
      <c r="W316" s="1994"/>
      <c r="X316" s="1994"/>
      <c r="Y316" s="1994"/>
      <c r="Z316" s="1994"/>
      <c r="AA316" s="1994"/>
      <c r="AB316" s="1994"/>
      <c r="AC316" s="1994"/>
      <c r="AD316" s="1995"/>
      <c r="AE316" s="585"/>
      <c r="AF316" s="585"/>
      <c r="AG316" s="573"/>
      <c r="AH316" s="585"/>
      <c r="AI316" s="585"/>
      <c r="AJ316" s="584"/>
      <c r="AK316" s="584"/>
      <c r="AL316" s="584"/>
      <c r="AM316" s="584"/>
      <c r="AN316" s="73"/>
      <c r="AO316" s="14"/>
      <c r="AP316" s="591" t="s">
        <v>1994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2" t="s">
        <v>1327</v>
      </c>
      <c r="J318" s="1992"/>
      <c r="K318" s="1992"/>
      <c r="L318" s="1992"/>
      <c r="M318" s="1992"/>
      <c r="N318" s="1992"/>
      <c r="O318" s="1992"/>
      <c r="P318" s="1992"/>
      <c r="Q318" s="1992"/>
      <c r="R318" s="1992"/>
      <c r="S318" s="1992"/>
      <c r="T318" s="1992"/>
      <c r="U318" s="1992"/>
      <c r="V318" s="1992"/>
      <c r="W318" s="1992"/>
      <c r="X318" s="1992"/>
      <c r="Y318" s="1992"/>
      <c r="Z318" s="1992"/>
      <c r="AA318" s="1992"/>
      <c r="AB318" s="1992"/>
      <c r="AC318" s="1992"/>
      <c r="AD318" s="199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2"/>
      <c r="J319" s="1992"/>
      <c r="K319" s="1992"/>
      <c r="L319" s="1992"/>
      <c r="M319" s="1992"/>
      <c r="N319" s="1992"/>
      <c r="O319" s="1992"/>
      <c r="P319" s="1992"/>
      <c r="Q319" s="1992"/>
      <c r="R319" s="1992"/>
      <c r="S319" s="1992"/>
      <c r="T319" s="1992"/>
      <c r="U319" s="1992"/>
      <c r="V319" s="1992"/>
      <c r="W319" s="1992"/>
      <c r="X319" s="1992"/>
      <c r="Y319" s="1992"/>
      <c r="Z319" s="1992"/>
      <c r="AA319" s="1992"/>
      <c r="AB319" s="1992"/>
      <c r="AC319" s="1992"/>
      <c r="AD319" s="1993"/>
      <c r="AE319" s="585"/>
      <c r="AF319" s="585"/>
      <c r="AG319" s="573"/>
      <c r="AH319" s="585"/>
      <c r="AI319" s="585"/>
      <c r="AJ319" s="584"/>
      <c r="AK319" s="584"/>
      <c r="AL319" s="584"/>
      <c r="AM319" s="584"/>
      <c r="AN319" s="73"/>
      <c r="AO319" s="14"/>
      <c r="AP319" s="591" t="s">
        <v>1327</v>
      </c>
    </row>
    <row r="320" spans="1:42" hidden="1">
      <c r="A320" s="584"/>
      <c r="B320" s="585"/>
      <c r="C320" s="685"/>
      <c r="D320" s="685"/>
      <c r="E320" s="581"/>
      <c r="F320" s="691"/>
      <c r="G320" s="692"/>
      <c r="H320" s="692"/>
      <c r="I320" s="1994"/>
      <c r="J320" s="1994"/>
      <c r="K320" s="1994"/>
      <c r="L320" s="1994"/>
      <c r="M320" s="1994"/>
      <c r="N320" s="1994"/>
      <c r="O320" s="1994"/>
      <c r="P320" s="1994"/>
      <c r="Q320" s="1994"/>
      <c r="R320" s="1994"/>
      <c r="S320" s="1994"/>
      <c r="T320" s="1994"/>
      <c r="U320" s="1994"/>
      <c r="V320" s="1994"/>
      <c r="W320" s="1994"/>
      <c r="X320" s="1994"/>
      <c r="Y320" s="1994"/>
      <c r="Z320" s="1994"/>
      <c r="AA320" s="1994"/>
      <c r="AB320" s="1994"/>
      <c r="AC320" s="1994"/>
      <c r="AD320" s="1995"/>
      <c r="AE320" s="585"/>
      <c r="AF320" s="585"/>
      <c r="AG320" s="573"/>
      <c r="AH320" s="585"/>
      <c r="AI320" s="585"/>
      <c r="AJ320" s="584"/>
      <c r="AK320" s="584"/>
      <c r="AL320" s="584"/>
      <c r="AM320" s="584"/>
      <c r="AN320" s="73"/>
      <c r="AO320" s="14"/>
      <c r="AP320" s="591" t="s">
        <v>1563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1818</v>
      </c>
    </row>
    <row r="322" spans="1:44" ht="12.75" hidden="1" customHeight="1">
      <c r="A322" s="1648" t="s">
        <v>1564</v>
      </c>
      <c r="B322" s="1648"/>
      <c r="C322" s="1954" t="s">
        <v>600</v>
      </c>
      <c r="D322" s="1954"/>
      <c r="E322" s="581"/>
      <c r="F322" s="1883" t="s">
        <v>2425</v>
      </c>
      <c r="G322" s="1884"/>
      <c r="H322" s="1884"/>
      <c r="I322" s="1884"/>
      <c r="J322" s="1884"/>
      <c r="K322" s="1884"/>
      <c r="L322" s="1884"/>
      <c r="M322" s="1884"/>
      <c r="N322" s="1884"/>
      <c r="O322" s="1884"/>
      <c r="P322" s="1884"/>
      <c r="Q322" s="1884"/>
      <c r="R322" s="1884"/>
      <c r="S322" s="1884"/>
      <c r="T322" s="1884"/>
      <c r="U322" s="1884"/>
      <c r="V322" s="1884"/>
      <c r="W322" s="1884"/>
      <c r="X322" s="1884"/>
      <c r="Y322" s="1884"/>
      <c r="Z322" s="1884"/>
      <c r="AA322" s="1884"/>
      <c r="AB322" s="1884"/>
      <c r="AC322" s="1884"/>
      <c r="AD322" s="1885"/>
      <c r="AE322" s="585"/>
      <c r="AF322" s="585"/>
      <c r="AG322" s="573" t="s">
        <v>1560</v>
      </c>
      <c r="AH322" s="585"/>
      <c r="AI322" s="585"/>
      <c r="AJ322" s="584"/>
      <c r="AK322" s="584"/>
      <c r="AL322" s="584"/>
      <c r="AM322" s="584"/>
      <c r="AN322" s="73"/>
      <c r="AO322" s="14"/>
    </row>
    <row r="323" spans="1:44" ht="15" hidden="1" customHeight="1">
      <c r="A323" s="584"/>
      <c r="B323" s="585"/>
      <c r="C323" s="585"/>
      <c r="D323" s="585"/>
      <c r="E323" s="585"/>
      <c r="F323" s="1889"/>
      <c r="G323" s="1890"/>
      <c r="H323" s="1890"/>
      <c r="I323" s="1890"/>
      <c r="J323" s="1890"/>
      <c r="K323" s="1890"/>
      <c r="L323" s="1890"/>
      <c r="M323" s="1890"/>
      <c r="N323" s="1890"/>
      <c r="O323" s="1890"/>
      <c r="P323" s="1890"/>
      <c r="Q323" s="1890"/>
      <c r="R323" s="1890"/>
      <c r="S323" s="1890"/>
      <c r="T323" s="1890"/>
      <c r="U323" s="1890"/>
      <c r="V323" s="1890"/>
      <c r="W323" s="1890"/>
      <c r="X323" s="1890"/>
      <c r="Y323" s="1890"/>
      <c r="Z323" s="1890"/>
      <c r="AA323" s="1890"/>
      <c r="AB323" s="1890"/>
      <c r="AC323" s="1890"/>
      <c r="AD323" s="1891"/>
      <c r="AE323" s="585"/>
      <c r="AF323" s="585"/>
      <c r="AG323" s="585"/>
      <c r="AH323" s="585"/>
      <c r="AI323" s="585"/>
      <c r="AJ323" s="584"/>
      <c r="AK323" s="584"/>
      <c r="AL323" s="584"/>
      <c r="AM323" s="584"/>
      <c r="AN323" s="73"/>
      <c r="AO323" s="14"/>
    </row>
    <row r="324" spans="1:44" ht="15" hidden="1" customHeight="1">
      <c r="A324" s="584"/>
      <c r="B324" s="585"/>
      <c r="C324" s="585"/>
      <c r="D324" s="585"/>
      <c r="E324" s="585"/>
      <c r="F324" s="1889"/>
      <c r="G324" s="1890"/>
      <c r="H324" s="1890"/>
      <c r="I324" s="1890"/>
      <c r="J324" s="1890"/>
      <c r="K324" s="1890"/>
      <c r="L324" s="1890"/>
      <c r="M324" s="1890"/>
      <c r="N324" s="1890"/>
      <c r="O324" s="1890"/>
      <c r="P324" s="1890"/>
      <c r="Q324" s="1890"/>
      <c r="R324" s="1890"/>
      <c r="S324" s="1890"/>
      <c r="T324" s="1890"/>
      <c r="U324" s="1890"/>
      <c r="V324" s="1890"/>
      <c r="W324" s="1890"/>
      <c r="X324" s="1890"/>
      <c r="Y324" s="1890"/>
      <c r="Z324" s="1890"/>
      <c r="AA324" s="1890"/>
      <c r="AB324" s="1890"/>
      <c r="AC324" s="1890"/>
      <c r="AD324" s="1891"/>
      <c r="AE324" s="585"/>
      <c r="AF324" s="585"/>
      <c r="AG324" s="585"/>
      <c r="AH324" s="585"/>
      <c r="AI324" s="585"/>
      <c r="AJ324" s="584"/>
      <c r="AK324" s="584"/>
      <c r="AL324" s="584"/>
      <c r="AM324" s="693"/>
      <c r="AN324" s="14"/>
      <c r="AO324" s="14"/>
    </row>
    <row r="325" spans="1:44" hidden="1">
      <c r="A325" s="584"/>
      <c r="B325" s="585"/>
      <c r="C325" s="584"/>
      <c r="D325" s="585"/>
      <c r="E325" s="584"/>
      <c r="F325" s="694" t="s">
        <v>1565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1624</v>
      </c>
      <c r="AK327" s="1957">
        <f>IF(NOT(OR(Application!M354="Yes",Application!M355="Yes")),0,AP284)</f>
        <v>9</v>
      </c>
      <c r="AL327" s="1958"/>
      <c r="AM327" s="195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1625</v>
      </c>
      <c r="B330" s="573" t="s">
        <v>873</v>
      </c>
      <c r="C330" s="570"/>
      <c r="AC330" s="573"/>
      <c r="AE330" s="1892" t="s">
        <v>1486</v>
      </c>
      <c r="AF330" s="1892"/>
      <c r="AG330" s="1892"/>
      <c r="AH330" s="1892"/>
      <c r="AI330" s="1892"/>
      <c r="AJ330" s="1892"/>
      <c r="AK330" s="189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96" t="s">
        <v>1626</v>
      </c>
      <c r="D332" s="1996"/>
      <c r="E332" s="1996"/>
      <c r="F332" s="1996"/>
      <c r="G332" s="1996"/>
      <c r="H332" s="1996"/>
      <c r="I332" s="1996"/>
      <c r="J332" s="1996"/>
      <c r="K332" s="1996"/>
      <c r="L332" s="1996"/>
      <c r="M332" s="1996"/>
      <c r="N332" s="1996"/>
      <c r="O332" s="1996"/>
      <c r="P332" s="1996"/>
      <c r="Q332" s="1996"/>
      <c r="R332" s="1996"/>
      <c r="S332" s="1996"/>
      <c r="T332" s="1996"/>
      <c r="U332" s="1996"/>
      <c r="V332" s="1996"/>
      <c r="W332" s="1996"/>
      <c r="X332" s="1996"/>
      <c r="Y332" s="1996"/>
      <c r="Z332" s="1996"/>
      <c r="AA332" s="1996"/>
      <c r="AB332" s="1996"/>
      <c r="AC332" s="1996"/>
      <c r="AD332" s="1996"/>
      <c r="AE332" s="1996"/>
      <c r="AF332" s="1996"/>
      <c r="AG332" s="1996"/>
      <c r="AH332" s="1996"/>
      <c r="AI332" s="1996"/>
      <c r="AJ332" s="1996"/>
      <c r="AK332" s="637"/>
      <c r="AL332" s="637"/>
      <c r="AM332" s="637"/>
      <c r="AN332" s="631"/>
    </row>
    <row r="333" spans="1:44" s="584" customFormat="1" ht="12.75" customHeight="1">
      <c r="A333" s="637"/>
      <c r="B333" s="645"/>
      <c r="C333" s="1996"/>
      <c r="D333" s="1996"/>
      <c r="E333" s="1996"/>
      <c r="F333" s="1996"/>
      <c r="G333" s="1996"/>
      <c r="H333" s="1996"/>
      <c r="I333" s="1996"/>
      <c r="J333" s="1996"/>
      <c r="K333" s="1996"/>
      <c r="L333" s="1996"/>
      <c r="M333" s="1996"/>
      <c r="N333" s="1996"/>
      <c r="O333" s="1996"/>
      <c r="P333" s="1996"/>
      <c r="Q333" s="1996"/>
      <c r="R333" s="1996"/>
      <c r="S333" s="1996"/>
      <c r="T333" s="1996"/>
      <c r="U333" s="1996"/>
      <c r="V333" s="1996"/>
      <c r="W333" s="1996"/>
      <c r="X333" s="1996"/>
      <c r="Y333" s="1996"/>
      <c r="Z333" s="1996"/>
      <c r="AA333" s="1996"/>
      <c r="AB333" s="1996"/>
      <c r="AC333" s="1996"/>
      <c r="AD333" s="1996"/>
      <c r="AE333" s="1996"/>
      <c r="AF333" s="1996"/>
      <c r="AG333" s="1996"/>
      <c r="AH333" s="1996"/>
      <c r="AI333" s="1996"/>
      <c r="AJ333" s="1996"/>
      <c r="AK333" s="637"/>
      <c r="AL333" s="637"/>
      <c r="AM333" s="637"/>
      <c r="AN333" s="631"/>
    </row>
    <row r="334" spans="1:44" s="584" customFormat="1" ht="12.75" customHeight="1">
      <c r="A334" s="637"/>
      <c r="B334" s="645"/>
      <c r="C334" s="1996"/>
      <c r="D334" s="1996"/>
      <c r="E334" s="1996"/>
      <c r="F334" s="1996"/>
      <c r="G334" s="1996"/>
      <c r="H334" s="1996"/>
      <c r="I334" s="1996"/>
      <c r="J334" s="1996"/>
      <c r="K334" s="1996"/>
      <c r="L334" s="1996"/>
      <c r="M334" s="1996"/>
      <c r="N334" s="1996"/>
      <c r="O334" s="1996"/>
      <c r="P334" s="1996"/>
      <c r="Q334" s="1996"/>
      <c r="R334" s="1996"/>
      <c r="S334" s="1996"/>
      <c r="T334" s="1996"/>
      <c r="U334" s="1996"/>
      <c r="V334" s="1996"/>
      <c r="W334" s="1996"/>
      <c r="X334" s="1996"/>
      <c r="Y334" s="1996"/>
      <c r="Z334" s="1996"/>
      <c r="AA334" s="1996"/>
      <c r="AB334" s="1996"/>
      <c r="AC334" s="1996"/>
      <c r="AD334" s="1996"/>
      <c r="AE334" s="1996"/>
      <c r="AF334" s="1996"/>
      <c r="AG334" s="1996"/>
      <c r="AH334" s="1996"/>
      <c r="AI334" s="1996"/>
      <c r="AJ334" s="1996"/>
      <c r="AK334" s="637"/>
      <c r="AL334" s="637"/>
      <c r="AM334" s="637"/>
      <c r="AN334" s="631"/>
      <c r="AQ334" s="604"/>
    </row>
    <row r="335" spans="1:44" s="584" customFormat="1" ht="12.75" customHeight="1">
      <c r="A335" s="637"/>
      <c r="B335" s="645"/>
      <c r="C335" s="1996"/>
      <c r="D335" s="1996"/>
      <c r="E335" s="1996"/>
      <c r="F335" s="1996"/>
      <c r="G335" s="1996"/>
      <c r="H335" s="1996"/>
      <c r="I335" s="1996"/>
      <c r="J335" s="1996"/>
      <c r="K335" s="1996"/>
      <c r="L335" s="1996"/>
      <c r="M335" s="1996"/>
      <c r="N335" s="1996"/>
      <c r="O335" s="1996"/>
      <c r="P335" s="1996"/>
      <c r="Q335" s="1996"/>
      <c r="R335" s="1996"/>
      <c r="S335" s="1996"/>
      <c r="T335" s="1996"/>
      <c r="U335" s="1996"/>
      <c r="V335" s="1996"/>
      <c r="W335" s="1996"/>
      <c r="X335" s="1996"/>
      <c r="Y335" s="1996"/>
      <c r="Z335" s="1996"/>
      <c r="AA335" s="1996"/>
      <c r="AB335" s="1996"/>
      <c r="AC335" s="1996"/>
      <c r="AD335" s="1996"/>
      <c r="AE335" s="1996"/>
      <c r="AF335" s="1996"/>
      <c r="AG335" s="1996"/>
      <c r="AH335" s="1996"/>
      <c r="AI335" s="1996"/>
      <c r="AJ335" s="1996"/>
      <c r="AK335" s="637"/>
      <c r="AL335" s="637"/>
      <c r="AM335" s="637"/>
      <c r="AN335" s="631"/>
      <c r="AQ335" s="604"/>
    </row>
    <row r="336" spans="1:44" s="584" customFormat="1" ht="12.6" customHeight="1">
      <c r="A336" s="637"/>
      <c r="B336" s="645"/>
      <c r="C336" s="1996"/>
      <c r="D336" s="1996"/>
      <c r="E336" s="1996"/>
      <c r="F336" s="1996"/>
      <c r="G336" s="1996"/>
      <c r="H336" s="1996"/>
      <c r="I336" s="1996"/>
      <c r="J336" s="1996"/>
      <c r="K336" s="1996"/>
      <c r="L336" s="1996"/>
      <c r="M336" s="1996"/>
      <c r="N336" s="1996"/>
      <c r="O336" s="1996"/>
      <c r="P336" s="1996"/>
      <c r="Q336" s="1996"/>
      <c r="R336" s="1996"/>
      <c r="S336" s="1996"/>
      <c r="T336" s="1996"/>
      <c r="U336" s="1996"/>
      <c r="V336" s="1996"/>
      <c r="W336" s="1996"/>
      <c r="X336" s="1996"/>
      <c r="Y336" s="1996"/>
      <c r="Z336" s="1996"/>
      <c r="AA336" s="1996"/>
      <c r="AB336" s="1996"/>
      <c r="AC336" s="1996"/>
      <c r="AD336" s="1996"/>
      <c r="AE336" s="1996"/>
      <c r="AF336" s="1996"/>
      <c r="AG336" s="1996"/>
      <c r="AH336" s="1996"/>
      <c r="AI336" s="1996"/>
      <c r="AJ336" s="1996"/>
      <c r="AK336" s="637"/>
      <c r="AL336" s="637"/>
      <c r="AM336" s="637"/>
      <c r="AN336" s="631"/>
      <c r="AQ336" s="604"/>
      <c r="AR336" s="604"/>
    </row>
    <row r="337" spans="1:46" s="584" customFormat="1" ht="45.75" customHeight="1">
      <c r="A337" s="637"/>
      <c r="B337" s="645"/>
      <c r="C337" s="1996" t="s">
        <v>2516</v>
      </c>
      <c r="D337" s="1996"/>
      <c r="E337" s="1996"/>
      <c r="F337" s="1996"/>
      <c r="G337" s="1996"/>
      <c r="H337" s="1996"/>
      <c r="I337" s="1996"/>
      <c r="J337" s="1996"/>
      <c r="K337" s="1996"/>
      <c r="L337" s="1996"/>
      <c r="M337" s="1996"/>
      <c r="N337" s="1996"/>
      <c r="O337" s="1996"/>
      <c r="P337" s="1996"/>
      <c r="Q337" s="1996"/>
      <c r="R337" s="1996"/>
      <c r="S337" s="1996"/>
      <c r="T337" s="1996"/>
      <c r="U337" s="1996"/>
      <c r="V337" s="1996"/>
      <c r="W337" s="1996"/>
      <c r="X337" s="1996"/>
      <c r="Y337" s="1996"/>
      <c r="Z337" s="1996"/>
      <c r="AA337" s="1996"/>
      <c r="AB337" s="1996"/>
      <c r="AC337" s="1996"/>
      <c r="AD337" s="1996"/>
      <c r="AE337" s="1996"/>
      <c r="AF337" s="1996"/>
      <c r="AG337" s="1996"/>
      <c r="AH337" s="1996"/>
      <c r="AI337" s="1996"/>
      <c r="AJ337" s="1996"/>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96" t="s">
        <v>2127</v>
      </c>
      <c r="D339" s="1996"/>
      <c r="E339" s="1996"/>
      <c r="F339" s="1996"/>
      <c r="G339" s="1996"/>
      <c r="H339" s="1996"/>
      <c r="I339" s="1996"/>
      <c r="J339" s="1996"/>
      <c r="K339" s="1996"/>
      <c r="L339" s="1996"/>
      <c r="M339" s="1996"/>
      <c r="N339" s="1996"/>
      <c r="O339" s="1996"/>
      <c r="P339" s="1996"/>
      <c r="Q339" s="1996"/>
      <c r="R339" s="1996"/>
      <c r="S339" s="1996"/>
      <c r="T339" s="1996"/>
      <c r="U339" s="1996"/>
      <c r="V339" s="1996"/>
      <c r="W339" s="1996"/>
      <c r="X339" s="1996"/>
      <c r="Y339" s="1996"/>
      <c r="Z339" s="1996"/>
      <c r="AA339" s="1996"/>
      <c r="AB339" s="1996"/>
      <c r="AC339" s="1996"/>
      <c r="AD339" s="1996"/>
      <c r="AE339" s="1996"/>
      <c r="AF339" s="1996"/>
      <c r="AG339" s="1996"/>
      <c r="AH339" s="1996"/>
      <c r="AI339" s="1996"/>
      <c r="AJ339" s="1996"/>
      <c r="AK339" s="637"/>
      <c r="AL339" s="637"/>
      <c r="AM339" s="637"/>
      <c r="AN339" s="631"/>
      <c r="AQ339" s="604"/>
      <c r="AR339" s="604"/>
    </row>
    <row r="340" spans="1:46" s="584" customFormat="1" ht="30" customHeight="1">
      <c r="A340" s="637"/>
      <c r="B340" s="645"/>
      <c r="C340" s="1996"/>
      <c r="D340" s="1996"/>
      <c r="E340" s="1996"/>
      <c r="F340" s="1996"/>
      <c r="G340" s="1996"/>
      <c r="H340" s="1996"/>
      <c r="I340" s="1996"/>
      <c r="J340" s="1996"/>
      <c r="K340" s="1996"/>
      <c r="L340" s="1996"/>
      <c r="M340" s="1996"/>
      <c r="N340" s="1996"/>
      <c r="O340" s="1996"/>
      <c r="P340" s="1996"/>
      <c r="Q340" s="1996"/>
      <c r="R340" s="1996"/>
      <c r="S340" s="1996"/>
      <c r="T340" s="1996"/>
      <c r="U340" s="1996"/>
      <c r="V340" s="1996"/>
      <c r="W340" s="1996"/>
      <c r="X340" s="1996"/>
      <c r="Y340" s="1996"/>
      <c r="Z340" s="1996"/>
      <c r="AA340" s="1996"/>
      <c r="AB340" s="1996"/>
      <c r="AC340" s="1996"/>
      <c r="AD340" s="1996"/>
      <c r="AE340" s="1996"/>
      <c r="AF340" s="1996"/>
      <c r="AG340" s="1996"/>
      <c r="AH340" s="1996"/>
      <c r="AI340" s="1996"/>
      <c r="AJ340" s="1996"/>
      <c r="AK340" s="637"/>
      <c r="AL340" s="637"/>
      <c r="AM340" s="637"/>
      <c r="AN340" s="631"/>
      <c r="AR340" s="604"/>
    </row>
    <row r="341" spans="1:46" s="584" customFormat="1" ht="12.75" customHeight="1">
      <c r="A341" s="637"/>
      <c r="B341" s="645"/>
      <c r="C341" s="1996"/>
      <c r="D341" s="1996"/>
      <c r="E341" s="1996"/>
      <c r="F341" s="1996"/>
      <c r="G341" s="1996"/>
      <c r="H341" s="1996"/>
      <c r="I341" s="1996"/>
      <c r="J341" s="1996"/>
      <c r="K341" s="1996"/>
      <c r="L341" s="1996"/>
      <c r="M341" s="1996"/>
      <c r="N341" s="1996"/>
      <c r="O341" s="1996"/>
      <c r="P341" s="1996"/>
      <c r="Q341" s="1996"/>
      <c r="R341" s="1996"/>
      <c r="S341" s="1996"/>
      <c r="T341" s="1996"/>
      <c r="U341" s="1996"/>
      <c r="V341" s="1996"/>
      <c r="W341" s="1996"/>
      <c r="X341" s="1996"/>
      <c r="Y341" s="1996"/>
      <c r="Z341" s="1996"/>
      <c r="AA341" s="1996"/>
      <c r="AB341" s="1996"/>
      <c r="AC341" s="1996"/>
      <c r="AD341" s="1996"/>
      <c r="AE341" s="1996"/>
      <c r="AF341" s="1996"/>
      <c r="AG341" s="1996"/>
      <c r="AH341" s="1996"/>
      <c r="AI341" s="1996"/>
      <c r="AJ341" s="1996"/>
      <c r="AK341" s="637"/>
      <c r="AL341" s="637"/>
      <c r="AM341" s="637"/>
      <c r="AN341" s="631"/>
      <c r="AR341" s="604"/>
    </row>
    <row r="342" spans="1:46" s="584" customFormat="1" ht="12.75" customHeight="1">
      <c r="A342" s="637"/>
      <c r="B342" s="645"/>
      <c r="C342" s="1996" t="s">
        <v>1627</v>
      </c>
      <c r="D342" s="1996"/>
      <c r="E342" s="1996"/>
      <c r="F342" s="1996"/>
      <c r="G342" s="1996"/>
      <c r="H342" s="1996"/>
      <c r="I342" s="1996"/>
      <c r="J342" s="1996"/>
      <c r="K342" s="1996"/>
      <c r="L342" s="1996"/>
      <c r="M342" s="1996"/>
      <c r="N342" s="1996"/>
      <c r="O342" s="1996"/>
      <c r="P342" s="1996"/>
      <c r="Q342" s="1996"/>
      <c r="R342" s="1996"/>
      <c r="S342" s="1996"/>
      <c r="T342" s="1996"/>
      <c r="U342" s="1996"/>
      <c r="V342" s="1996"/>
      <c r="W342" s="1996"/>
      <c r="X342" s="1996"/>
      <c r="Y342" s="1996"/>
      <c r="Z342" s="1996"/>
      <c r="AA342" s="1996"/>
      <c r="AB342" s="1996"/>
      <c r="AC342" s="1996"/>
      <c r="AD342" s="1996"/>
      <c r="AE342" s="1996"/>
      <c r="AF342" s="1996"/>
      <c r="AG342" s="1996"/>
      <c r="AH342" s="1996"/>
      <c r="AI342" s="1996"/>
      <c r="AJ342" s="1996"/>
      <c r="AK342" s="637"/>
      <c r="AL342" s="637"/>
      <c r="AM342" s="637"/>
      <c r="AN342" s="631"/>
      <c r="AQ342" s="604"/>
      <c r="AR342" s="604"/>
    </row>
    <row r="343" spans="1:46" s="584" customFormat="1" ht="12.75" customHeight="1">
      <c r="A343" s="637"/>
      <c r="B343" s="645"/>
      <c r="C343" s="1996"/>
      <c r="D343" s="1996"/>
      <c r="E343" s="1996"/>
      <c r="F343" s="1996"/>
      <c r="G343" s="1996"/>
      <c r="H343" s="1996"/>
      <c r="I343" s="1996"/>
      <c r="J343" s="1996"/>
      <c r="K343" s="1996"/>
      <c r="L343" s="1996"/>
      <c r="M343" s="1996"/>
      <c r="N343" s="1996"/>
      <c r="O343" s="1996"/>
      <c r="P343" s="1996"/>
      <c r="Q343" s="1996"/>
      <c r="R343" s="1996"/>
      <c r="S343" s="1996"/>
      <c r="T343" s="1996"/>
      <c r="U343" s="1996"/>
      <c r="V343" s="1996"/>
      <c r="W343" s="1996"/>
      <c r="X343" s="1996"/>
      <c r="Y343" s="1996"/>
      <c r="Z343" s="1996"/>
      <c r="AA343" s="1996"/>
      <c r="AB343" s="1996"/>
      <c r="AC343" s="1996"/>
      <c r="AD343" s="1996"/>
      <c r="AE343" s="1996"/>
      <c r="AF343" s="1996"/>
      <c r="AG343" s="1996"/>
      <c r="AH343" s="1996"/>
      <c r="AI343" s="1996"/>
      <c r="AJ343" s="1996"/>
      <c r="AK343" s="637"/>
      <c r="AL343" s="637"/>
      <c r="AM343" s="637"/>
      <c r="AN343" s="631"/>
      <c r="AQ343" s="604"/>
      <c r="AR343" s="604"/>
    </row>
    <row r="344" spans="1:46" s="584" customFormat="1" ht="13.35" customHeight="1">
      <c r="A344" s="637"/>
      <c r="B344" s="645"/>
      <c r="C344" s="1996"/>
      <c r="D344" s="1996"/>
      <c r="E344" s="1996"/>
      <c r="F344" s="1996"/>
      <c r="G344" s="1996"/>
      <c r="H344" s="1996"/>
      <c r="I344" s="1996"/>
      <c r="J344" s="1996"/>
      <c r="K344" s="1996"/>
      <c r="L344" s="1996"/>
      <c r="M344" s="1996"/>
      <c r="N344" s="1996"/>
      <c r="O344" s="1996"/>
      <c r="P344" s="1996"/>
      <c r="Q344" s="1996"/>
      <c r="R344" s="1996"/>
      <c r="S344" s="1996"/>
      <c r="T344" s="1996"/>
      <c r="U344" s="1996"/>
      <c r="V344" s="1996"/>
      <c r="W344" s="1996"/>
      <c r="X344" s="1996"/>
      <c r="Y344" s="1996"/>
      <c r="Z344" s="1996"/>
      <c r="AA344" s="1996"/>
      <c r="AB344" s="1996"/>
      <c r="AC344" s="1996"/>
      <c r="AD344" s="1996"/>
      <c r="AE344" s="1996"/>
      <c r="AF344" s="1996"/>
      <c r="AG344" s="1996"/>
      <c r="AH344" s="1996"/>
      <c r="AI344" s="1996"/>
      <c r="AJ344" s="1996"/>
      <c r="AK344" s="637"/>
      <c r="AL344" s="637"/>
      <c r="AM344" s="637"/>
      <c r="AN344" s="631"/>
      <c r="AQ344" s="604"/>
      <c r="AR344" s="604"/>
    </row>
    <row r="345" spans="1:46" s="584" customFormat="1" ht="12.75" customHeight="1">
      <c r="A345" s="637"/>
      <c r="B345" s="645"/>
      <c r="C345" s="1996"/>
      <c r="D345" s="1996"/>
      <c r="E345" s="1996"/>
      <c r="F345" s="1996"/>
      <c r="G345" s="1996"/>
      <c r="H345" s="1996"/>
      <c r="I345" s="1996"/>
      <c r="J345" s="1996"/>
      <c r="K345" s="1996"/>
      <c r="L345" s="1996"/>
      <c r="M345" s="1996"/>
      <c r="N345" s="1996"/>
      <c r="O345" s="1996"/>
      <c r="P345" s="1996"/>
      <c r="Q345" s="1996"/>
      <c r="R345" s="1996"/>
      <c r="S345" s="1996"/>
      <c r="T345" s="1996"/>
      <c r="U345" s="1996"/>
      <c r="V345" s="1996"/>
      <c r="W345" s="1996"/>
      <c r="X345" s="1996"/>
      <c r="Y345" s="1996"/>
      <c r="Z345" s="1996"/>
      <c r="AA345" s="1996"/>
      <c r="AB345" s="1996"/>
      <c r="AC345" s="1996"/>
      <c r="AD345" s="1996"/>
      <c r="AE345" s="1996"/>
      <c r="AF345" s="1996"/>
      <c r="AG345" s="1996"/>
      <c r="AH345" s="1996"/>
      <c r="AI345" s="1996"/>
      <c r="AJ345" s="1996"/>
      <c r="AK345" s="637"/>
      <c r="AL345" s="637"/>
      <c r="AM345" s="637"/>
      <c r="AN345" s="631"/>
      <c r="AO345" s="728"/>
      <c r="AP345" s="728"/>
      <c r="AQ345" s="604"/>
    </row>
    <row r="346" spans="1:46" s="584" customFormat="1" ht="11.85" customHeight="1">
      <c r="A346" s="637"/>
      <c r="B346" s="645"/>
      <c r="C346" s="1996"/>
      <c r="D346" s="1996"/>
      <c r="E346" s="1996"/>
      <c r="F346" s="1996"/>
      <c r="G346" s="1996"/>
      <c r="H346" s="1996"/>
      <c r="I346" s="1996"/>
      <c r="J346" s="1996"/>
      <c r="K346" s="1996"/>
      <c r="L346" s="1996"/>
      <c r="M346" s="1996"/>
      <c r="N346" s="1996"/>
      <c r="O346" s="1996"/>
      <c r="P346" s="1996"/>
      <c r="Q346" s="1996"/>
      <c r="R346" s="1996"/>
      <c r="S346" s="1996"/>
      <c r="T346" s="1996"/>
      <c r="U346" s="1996"/>
      <c r="V346" s="1996"/>
      <c r="W346" s="1996"/>
      <c r="X346" s="1996"/>
      <c r="Y346" s="1996"/>
      <c r="Z346" s="1996"/>
      <c r="AA346" s="1996"/>
      <c r="AB346" s="1996"/>
      <c r="AC346" s="1996"/>
      <c r="AD346" s="1996"/>
      <c r="AE346" s="1996"/>
      <c r="AF346" s="1996"/>
      <c r="AG346" s="1996"/>
      <c r="AH346" s="1996"/>
      <c r="AI346" s="1996"/>
      <c r="AJ346" s="1996"/>
      <c r="AK346" s="637"/>
      <c r="AL346" s="637"/>
      <c r="AM346" s="637"/>
      <c r="AN346" s="631"/>
      <c r="AO346" s="729" t="s">
        <v>113</v>
      </c>
      <c r="AP346" s="730">
        <f>IF(C370="Yes",5,0)</f>
        <v>5</v>
      </c>
      <c r="AS346" s="573" t="s">
        <v>1628</v>
      </c>
    </row>
    <row r="347" spans="1:46" s="584" customFormat="1" ht="12.75" customHeight="1">
      <c r="A347" s="637"/>
      <c r="B347" s="645"/>
      <c r="C347" s="1996"/>
      <c r="D347" s="1996"/>
      <c r="E347" s="1996"/>
      <c r="F347" s="1996"/>
      <c r="G347" s="1996"/>
      <c r="H347" s="1996"/>
      <c r="I347" s="1996"/>
      <c r="J347" s="1996"/>
      <c r="K347" s="1996"/>
      <c r="L347" s="1996"/>
      <c r="M347" s="1996"/>
      <c r="N347" s="1996"/>
      <c r="O347" s="1996"/>
      <c r="P347" s="1996"/>
      <c r="Q347" s="1996"/>
      <c r="R347" s="1996"/>
      <c r="S347" s="1996"/>
      <c r="T347" s="1996"/>
      <c r="U347" s="1996"/>
      <c r="V347" s="1996"/>
      <c r="W347" s="1996"/>
      <c r="X347" s="1996"/>
      <c r="Y347" s="1996"/>
      <c r="Z347" s="1996"/>
      <c r="AA347" s="1996"/>
      <c r="AB347" s="1996"/>
      <c r="AC347" s="1996"/>
      <c r="AD347" s="1996"/>
      <c r="AE347" s="1996"/>
      <c r="AF347" s="1996"/>
      <c r="AG347" s="1996"/>
      <c r="AH347" s="1996"/>
      <c r="AI347" s="1996"/>
      <c r="AJ347" s="1996"/>
      <c r="AK347" s="637"/>
      <c r="AL347" s="637"/>
      <c r="AM347" s="637"/>
      <c r="AN347" s="631"/>
      <c r="AO347" s="729" t="s">
        <v>114</v>
      </c>
      <c r="AP347" s="730">
        <f>IF(C378="Yes",5,0)</f>
        <v>0</v>
      </c>
      <c r="AS347" s="2013">
        <f>IF(Application!D210="Non-Targeted",(SUM(AQ355+AQ364)),AS351)</f>
        <v>10</v>
      </c>
      <c r="AT347" s="2013"/>
    </row>
    <row r="348" spans="1:46" s="584" customFormat="1" ht="12.75" customHeight="1">
      <c r="A348" s="637"/>
      <c r="B348" s="645"/>
      <c r="C348" s="1996"/>
      <c r="D348" s="1996"/>
      <c r="E348" s="1996"/>
      <c r="F348" s="1996"/>
      <c r="G348" s="1996"/>
      <c r="H348" s="1996"/>
      <c r="I348" s="1996"/>
      <c r="J348" s="1996"/>
      <c r="K348" s="1996"/>
      <c r="L348" s="1996"/>
      <c r="M348" s="1996"/>
      <c r="N348" s="1996"/>
      <c r="O348" s="1996"/>
      <c r="P348" s="1996"/>
      <c r="Q348" s="1996"/>
      <c r="R348" s="1996"/>
      <c r="S348" s="1996"/>
      <c r="T348" s="1996"/>
      <c r="U348" s="1996"/>
      <c r="V348" s="1996"/>
      <c r="W348" s="1996"/>
      <c r="X348" s="1996"/>
      <c r="Y348" s="1996"/>
      <c r="Z348" s="1996"/>
      <c r="AA348" s="1996"/>
      <c r="AB348" s="1996"/>
      <c r="AC348" s="1996"/>
      <c r="AD348" s="1996"/>
      <c r="AE348" s="1996"/>
      <c r="AF348" s="1996"/>
      <c r="AG348" s="1996"/>
      <c r="AH348" s="1996"/>
      <c r="AI348" s="1996"/>
      <c r="AJ348" s="1996"/>
      <c r="AK348" s="637"/>
      <c r="AL348" s="637"/>
      <c r="AM348" s="637"/>
      <c r="AN348" s="631"/>
      <c r="AO348" s="729" t="s">
        <v>120</v>
      </c>
      <c r="AP348" s="730">
        <f>IF(C386="Yes",7,0)</f>
        <v>0</v>
      </c>
      <c r="AS348" s="573" t="s">
        <v>1629</v>
      </c>
    </row>
    <row r="349" spans="1:46" s="584" customFormat="1" ht="12.75" customHeight="1">
      <c r="A349" s="637"/>
      <c r="B349" s="645"/>
      <c r="C349" s="1996"/>
      <c r="D349" s="1996"/>
      <c r="E349" s="1996"/>
      <c r="F349" s="1996"/>
      <c r="G349" s="1996"/>
      <c r="H349" s="1996"/>
      <c r="I349" s="1996"/>
      <c r="J349" s="1996"/>
      <c r="K349" s="1996"/>
      <c r="L349" s="1996"/>
      <c r="M349" s="1996"/>
      <c r="N349" s="1996"/>
      <c r="O349" s="1996"/>
      <c r="P349" s="1996"/>
      <c r="Q349" s="1996"/>
      <c r="R349" s="1996"/>
      <c r="S349" s="1996"/>
      <c r="T349" s="1996"/>
      <c r="U349" s="1996"/>
      <c r="V349" s="1996"/>
      <c r="W349" s="1996"/>
      <c r="X349" s="1996"/>
      <c r="Y349" s="1996"/>
      <c r="Z349" s="1996"/>
      <c r="AA349" s="1996"/>
      <c r="AB349" s="1996"/>
      <c r="AC349" s="1996"/>
      <c r="AD349" s="1996"/>
      <c r="AE349" s="1996"/>
      <c r="AF349" s="1996"/>
      <c r="AG349" s="1996"/>
      <c r="AH349" s="1996"/>
      <c r="AI349" s="1996"/>
      <c r="AJ349" s="1996"/>
      <c r="AK349" s="637"/>
      <c r="AL349" s="637"/>
      <c r="AM349" s="637"/>
      <c r="AN349" s="631"/>
      <c r="AO349" s="631"/>
      <c r="AP349" s="730">
        <f>IF(C388="Yes",5,0)</f>
        <v>5</v>
      </c>
      <c r="AS349" s="2013">
        <f>IF(AND(AQ355&gt;0,AQ364&gt;0),(AQ355+AQ364)/2,0)</f>
        <v>0</v>
      </c>
      <c r="AT349" s="2013"/>
    </row>
    <row r="350" spans="1:46" s="584" customFormat="1" ht="12.75" customHeight="1">
      <c r="A350" s="637"/>
      <c r="B350" s="645"/>
      <c r="C350" s="1996"/>
      <c r="D350" s="1996"/>
      <c r="E350" s="1996"/>
      <c r="F350" s="1996"/>
      <c r="G350" s="1996"/>
      <c r="H350" s="1996"/>
      <c r="I350" s="1996"/>
      <c r="J350" s="1996"/>
      <c r="K350" s="1996"/>
      <c r="L350" s="1996"/>
      <c r="M350" s="1996"/>
      <c r="N350" s="1996"/>
      <c r="O350" s="1996"/>
      <c r="P350" s="1996"/>
      <c r="Q350" s="1996"/>
      <c r="R350" s="1996"/>
      <c r="S350" s="1996"/>
      <c r="T350" s="1996"/>
      <c r="U350" s="1996"/>
      <c r="V350" s="1996"/>
      <c r="W350" s="1996"/>
      <c r="X350" s="1996"/>
      <c r="Y350" s="1996"/>
      <c r="Z350" s="1996"/>
      <c r="AA350" s="1996"/>
      <c r="AB350" s="1996"/>
      <c r="AC350" s="1996"/>
      <c r="AD350" s="1996"/>
      <c r="AE350" s="1996"/>
      <c r="AF350" s="1996"/>
      <c r="AG350" s="1996"/>
      <c r="AH350" s="1996"/>
      <c r="AI350" s="1996"/>
      <c r="AJ350" s="1996"/>
      <c r="AK350" s="637"/>
      <c r="AL350" s="637"/>
      <c r="AM350" s="637"/>
      <c r="AN350" s="631"/>
      <c r="AO350" s="729" t="s">
        <v>590</v>
      </c>
      <c r="AP350" s="730">
        <f>IF(C396="Yes",5,0)</f>
        <v>0</v>
      </c>
      <c r="AS350" s="573" t="s">
        <v>2144</v>
      </c>
    </row>
    <row r="351" spans="1:46" s="584" customFormat="1" ht="12.75" customHeight="1">
      <c r="A351" s="637"/>
      <c r="B351" s="645"/>
      <c r="C351" s="2014" t="s">
        <v>1630</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7"/>
      <c r="AL351" s="637"/>
      <c r="AM351" s="637"/>
      <c r="AN351" s="631"/>
      <c r="AO351" s="631"/>
      <c r="AP351" s="730">
        <f>IF(C398="Yes",3,0)</f>
        <v>0</v>
      </c>
      <c r="AS351" s="2013">
        <f>IF(AQ355=0,AQ364,AQ355)</f>
        <v>10</v>
      </c>
      <c r="AT351" s="2013"/>
    </row>
    <row r="352" spans="1:46" s="584" customFormat="1" ht="12.75" customHeight="1">
      <c r="A352" s="637"/>
      <c r="B352" s="645"/>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7"/>
      <c r="AL352" s="637"/>
      <c r="AM352" s="637"/>
      <c r="AN352" s="631"/>
      <c r="AO352" s="729" t="s">
        <v>787</v>
      </c>
      <c r="AP352" s="730">
        <f>IF(C401="Yes",5,0)</f>
        <v>0</v>
      </c>
    </row>
    <row r="353" spans="1:81" s="584" customFormat="1" ht="12.75" customHeight="1">
      <c r="A353" s="637"/>
      <c r="B353" s="645"/>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7"/>
      <c r="AL353" s="637"/>
      <c r="AM353" s="637"/>
      <c r="AN353" s="631"/>
      <c r="AO353" s="729" t="s">
        <v>593</v>
      </c>
      <c r="AP353" s="730">
        <f>IF(C410="Yes",5,0)</f>
        <v>0</v>
      </c>
    </row>
    <row r="354" spans="1:81" s="584" customFormat="1" ht="11.85" customHeight="1">
      <c r="A354" s="637"/>
      <c r="B354" s="645"/>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7"/>
      <c r="AL354" s="637"/>
      <c r="AM354" s="637"/>
      <c r="AN354" s="631"/>
      <c r="AO354" s="731"/>
      <c r="AP354" s="732">
        <f>IF(C412="Yes",3,0)</f>
        <v>0</v>
      </c>
    </row>
    <row r="355" spans="1:81" s="584" customFormat="1" ht="12.6" customHeight="1">
      <c r="A355" s="637"/>
      <c r="B355" s="645"/>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7"/>
      <c r="AL355" s="637"/>
      <c r="AM355" s="637"/>
      <c r="AN355" s="631"/>
      <c r="AO355" s="733" t="s">
        <v>229</v>
      </c>
      <c r="AP355" s="734">
        <f>SUM(AP346:AP354)</f>
        <v>10</v>
      </c>
      <c r="AQ355" s="2015">
        <f>IF(AP355&gt;0,AP355,0)</f>
        <v>10</v>
      </c>
      <c r="AR355" s="2015"/>
    </row>
    <row r="356" spans="1:81" s="584" customFormat="1" ht="12.75" customHeight="1">
      <c r="A356" s="637"/>
      <c r="B356" s="645"/>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96" t="s">
        <v>1631</v>
      </c>
      <c r="D358" s="1996"/>
      <c r="E358" s="1996"/>
      <c r="F358" s="1996"/>
      <c r="G358" s="1996"/>
      <c r="H358" s="1996"/>
      <c r="I358" s="1996"/>
      <c r="J358" s="1996"/>
      <c r="K358" s="1996"/>
      <c r="L358" s="1996"/>
      <c r="M358" s="1996"/>
      <c r="N358" s="1996"/>
      <c r="O358" s="1996"/>
      <c r="P358" s="1996"/>
      <c r="Q358" s="1996"/>
      <c r="R358" s="1996"/>
      <c r="S358" s="1996"/>
      <c r="T358" s="1996"/>
      <c r="U358" s="1996"/>
      <c r="V358" s="1996"/>
      <c r="W358" s="1996"/>
      <c r="X358" s="1996"/>
      <c r="Y358" s="1996"/>
      <c r="Z358" s="1996"/>
      <c r="AA358" s="1996"/>
      <c r="AB358" s="1996"/>
      <c r="AC358" s="1996"/>
      <c r="AD358" s="1996"/>
      <c r="AE358" s="1996"/>
      <c r="AF358" s="1996"/>
      <c r="AG358" s="1996"/>
      <c r="AH358" s="1996"/>
      <c r="AI358" s="1996"/>
      <c r="AJ358" s="1996"/>
      <c r="AK358" s="637"/>
      <c r="AL358" s="637"/>
      <c r="AM358" s="637"/>
      <c r="AN358" s="631"/>
      <c r="AO358" s="729" t="s">
        <v>465</v>
      </c>
      <c r="AP358" s="730">
        <f>IF(C431="Yes",5,0)</f>
        <v>0</v>
      </c>
    </row>
    <row r="359" spans="1:81" s="584" customFormat="1" ht="12.75" customHeight="1">
      <c r="A359" s="637"/>
      <c r="B359" s="645"/>
      <c r="C359" s="1996"/>
      <c r="D359" s="1996"/>
      <c r="E359" s="1996"/>
      <c r="F359" s="1996"/>
      <c r="G359" s="1996"/>
      <c r="H359" s="1996"/>
      <c r="I359" s="1996"/>
      <c r="J359" s="1996"/>
      <c r="K359" s="1996"/>
      <c r="L359" s="1996"/>
      <c r="M359" s="1996"/>
      <c r="N359" s="1996"/>
      <c r="O359" s="1996"/>
      <c r="P359" s="1996"/>
      <c r="Q359" s="1996"/>
      <c r="R359" s="1996"/>
      <c r="S359" s="1996"/>
      <c r="T359" s="1996"/>
      <c r="U359" s="1996"/>
      <c r="V359" s="1996"/>
      <c r="W359" s="1996"/>
      <c r="X359" s="1996"/>
      <c r="Y359" s="1996"/>
      <c r="Z359" s="1996"/>
      <c r="AA359" s="1996"/>
      <c r="AB359" s="1996"/>
      <c r="AC359" s="1996"/>
      <c r="AD359" s="1996"/>
      <c r="AE359" s="1996"/>
      <c r="AF359" s="1996"/>
      <c r="AG359" s="1996"/>
      <c r="AH359" s="1996"/>
      <c r="AI359" s="1996"/>
      <c r="AJ359" s="1996"/>
      <c r="AK359" s="637"/>
      <c r="AL359" s="637"/>
      <c r="AM359" s="637"/>
      <c r="AN359" s="631"/>
      <c r="AO359" s="729" t="s">
        <v>470</v>
      </c>
      <c r="AP359" s="730">
        <f>IF(C438="Yes",5,0)</f>
        <v>0</v>
      </c>
    </row>
    <row r="360" spans="1:81" s="584" customFormat="1" ht="68.099999999999994" customHeight="1">
      <c r="A360" s="637"/>
      <c r="B360" s="645"/>
      <c r="C360" s="1996"/>
      <c r="D360" s="1996"/>
      <c r="E360" s="1996"/>
      <c r="F360" s="1996"/>
      <c r="G360" s="1996"/>
      <c r="H360" s="1996"/>
      <c r="I360" s="1996"/>
      <c r="J360" s="1996"/>
      <c r="K360" s="1996"/>
      <c r="L360" s="1996"/>
      <c r="M360" s="1996"/>
      <c r="N360" s="1996"/>
      <c r="O360" s="1996"/>
      <c r="P360" s="1996"/>
      <c r="Q360" s="1996"/>
      <c r="R360" s="1996"/>
      <c r="S360" s="1996"/>
      <c r="T360" s="1996"/>
      <c r="U360" s="1996"/>
      <c r="V360" s="1996"/>
      <c r="W360" s="1996"/>
      <c r="X360" s="1996"/>
      <c r="Y360" s="1996"/>
      <c r="Z360" s="1996"/>
      <c r="AA360" s="1996"/>
      <c r="AB360" s="1996"/>
      <c r="AC360" s="1996"/>
      <c r="AD360" s="1996"/>
      <c r="AE360" s="1996"/>
      <c r="AF360" s="1996"/>
      <c r="AG360" s="1996"/>
      <c r="AH360" s="1996"/>
      <c r="AI360" s="1996"/>
      <c r="AJ360" s="1996"/>
      <c r="AK360" s="637"/>
      <c r="AL360" s="637"/>
      <c r="AM360" s="637"/>
      <c r="AN360" s="631"/>
      <c r="AO360" s="729" t="s">
        <v>655</v>
      </c>
      <c r="AP360" s="735">
        <f>IF(C442="Yes",5,0)</f>
        <v>0</v>
      </c>
    </row>
    <row r="361" spans="1:81" s="584" customFormat="1" ht="12.6" customHeight="1">
      <c r="A361" s="637"/>
      <c r="B361" s="645"/>
      <c r="C361" s="584" t="s">
        <v>1632</v>
      </c>
      <c r="AF361" s="637"/>
      <c r="AG361" s="637"/>
      <c r="AH361" s="637"/>
      <c r="AI361" s="637"/>
      <c r="AJ361" s="637"/>
      <c r="AK361" s="637"/>
      <c r="AL361" s="637"/>
      <c r="AM361" s="637"/>
      <c r="AN361" s="631"/>
      <c r="AO361" s="729" t="s">
        <v>364</v>
      </c>
      <c r="AP361" s="730">
        <f>IF(C446="Yes",5,0)</f>
        <v>0</v>
      </c>
    </row>
    <row r="362" spans="1:81" s="584" customFormat="1" ht="12.75" customHeight="1">
      <c r="A362" s="637"/>
      <c r="B362" s="645"/>
      <c r="C362" s="736" t="s">
        <v>1633</v>
      </c>
      <c r="D362" s="737"/>
      <c r="E362" s="737"/>
      <c r="F362" s="737"/>
      <c r="G362" s="737"/>
      <c r="H362" s="737"/>
      <c r="I362" s="737"/>
      <c r="J362" s="737"/>
      <c r="K362" s="737"/>
      <c r="L362" s="737"/>
      <c r="M362" s="701"/>
      <c r="N362" s="701"/>
      <c r="O362" s="738"/>
      <c r="P362" s="737"/>
      <c r="Q362" s="737"/>
      <c r="R362" s="701"/>
      <c r="S362" s="701"/>
      <c r="T362" s="737"/>
      <c r="U362" s="2101">
        <f>Application!CS649-U363</f>
        <v>306</v>
      </c>
      <c r="V362" s="2101"/>
      <c r="W362" s="2101"/>
      <c r="X362" s="737"/>
      <c r="Y362" s="737"/>
      <c r="Z362" s="737"/>
      <c r="AA362" s="739"/>
      <c r="AB362" s="740"/>
      <c r="AC362" s="740"/>
      <c r="AD362" s="740"/>
      <c r="AE362" s="637"/>
      <c r="AF362" s="637"/>
      <c r="AG362" s="637"/>
      <c r="AH362" s="637"/>
      <c r="AI362" s="637"/>
      <c r="AJ362" s="637"/>
      <c r="AK362" s="637"/>
      <c r="AL362" s="637"/>
      <c r="AM362" s="637"/>
      <c r="AN362" s="631"/>
      <c r="AO362" s="729" t="s">
        <v>365</v>
      </c>
      <c r="AP362" s="730">
        <f>IF(C455="Yes",5,0)</f>
        <v>0</v>
      </c>
    </row>
    <row r="363" spans="1:81" s="584" customFormat="1" ht="12.75" customHeight="1">
      <c r="A363" s="637"/>
      <c r="B363" s="645"/>
      <c r="C363" s="741" t="s">
        <v>1634</v>
      </c>
      <c r="D363" s="728"/>
      <c r="E363" s="728"/>
      <c r="F363" s="728"/>
      <c r="G363" s="728"/>
      <c r="H363" s="728"/>
      <c r="I363" s="728"/>
      <c r="J363" s="728"/>
      <c r="K363" s="728"/>
      <c r="L363" s="728"/>
      <c r="M363" s="728"/>
      <c r="N363" s="728"/>
      <c r="O363" s="728"/>
      <c r="P363" s="728"/>
      <c r="Q363" s="728"/>
      <c r="R363" s="728"/>
      <c r="S363" s="728"/>
      <c r="T363" s="728"/>
      <c r="U363" s="2102">
        <f>Application!AG742</f>
        <v>0</v>
      </c>
      <c r="V363" s="2102"/>
      <c r="W363" s="210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229</v>
      </c>
      <c r="AP364" s="745">
        <f>SUM(AP357:AP362)</f>
        <v>0</v>
      </c>
      <c r="AQ364" s="2015">
        <f>IF(AP364&gt;0,AP364,0)</f>
        <v>0</v>
      </c>
      <c r="AR364" s="2015"/>
    </row>
    <row r="365" spans="1:81" s="584" customFormat="1" ht="12.75" customHeight="1">
      <c r="A365" s="637"/>
      <c r="B365" s="14"/>
      <c r="C365" s="746" t="s">
        <v>1635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1487</v>
      </c>
      <c r="F366" s="2000" t="s">
        <v>1636</v>
      </c>
      <c r="G366" s="2000"/>
      <c r="H366" s="2000"/>
      <c r="I366" s="2000"/>
      <c r="J366" s="2000"/>
      <c r="K366" s="2000"/>
      <c r="L366" s="2000"/>
      <c r="M366" s="2000"/>
      <c r="N366" s="2000"/>
      <c r="O366" s="2000"/>
      <c r="P366" s="2000"/>
      <c r="Q366" s="2000"/>
      <c r="R366" s="2000"/>
      <c r="S366" s="2000"/>
      <c r="T366" s="2000"/>
      <c r="U366" s="2000"/>
      <c r="V366" s="2000"/>
      <c r="W366" s="2000"/>
      <c r="X366" s="2000"/>
      <c r="Y366" s="2000"/>
      <c r="Z366" s="2000"/>
      <c r="AA366" s="2000"/>
      <c r="AB366" s="2000"/>
      <c r="AC366" s="2000"/>
      <c r="AD366" s="2000"/>
      <c r="AE366" s="2000"/>
      <c r="AF366" s="200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1"/>
      <c r="G367" s="2001"/>
      <c r="H367" s="2001"/>
      <c r="I367" s="2001"/>
      <c r="J367" s="2001"/>
      <c r="K367" s="2001"/>
      <c r="L367" s="2001"/>
      <c r="M367" s="2001"/>
      <c r="N367" s="2001"/>
      <c r="O367" s="2001"/>
      <c r="P367" s="2001"/>
      <c r="Q367" s="2001"/>
      <c r="R367" s="2001"/>
      <c r="S367" s="2001"/>
      <c r="T367" s="2001"/>
      <c r="U367" s="2001"/>
      <c r="V367" s="2001"/>
      <c r="W367" s="2001"/>
      <c r="X367" s="2001"/>
      <c r="Y367" s="2001"/>
      <c r="Z367" s="2001"/>
      <c r="AA367" s="2001"/>
      <c r="AB367" s="2001"/>
      <c r="AC367" s="2001"/>
      <c r="AD367" s="2001"/>
      <c r="AE367" s="2001"/>
      <c r="AF367" s="200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1"/>
      <c r="G368" s="2001"/>
      <c r="H368" s="2001"/>
      <c r="I368" s="2001"/>
      <c r="J368" s="2001"/>
      <c r="K368" s="2001"/>
      <c r="L368" s="2001"/>
      <c r="M368" s="2001"/>
      <c r="N368" s="2001"/>
      <c r="O368" s="2001"/>
      <c r="P368" s="2001"/>
      <c r="Q368" s="2001"/>
      <c r="R368" s="2001"/>
      <c r="S368" s="2001"/>
      <c r="T368" s="2001"/>
      <c r="U368" s="2001"/>
      <c r="V368" s="2001"/>
      <c r="W368" s="2001"/>
      <c r="X368" s="2001"/>
      <c r="Y368" s="2001"/>
      <c r="Z368" s="2001"/>
      <c r="AA368" s="2001"/>
      <c r="AB368" s="2001"/>
      <c r="AC368" s="2001"/>
      <c r="AD368" s="2001"/>
      <c r="AE368" s="2001"/>
      <c r="AF368" s="200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1"/>
      <c r="G369" s="2001"/>
      <c r="H369" s="2001"/>
      <c r="I369" s="2001"/>
      <c r="J369" s="2001"/>
      <c r="K369" s="2001"/>
      <c r="L369" s="2001"/>
      <c r="M369" s="2001"/>
      <c r="N369" s="2001"/>
      <c r="O369" s="2001"/>
      <c r="P369" s="2001"/>
      <c r="Q369" s="2001"/>
      <c r="R369" s="2001"/>
      <c r="S369" s="2001"/>
      <c r="T369" s="2001"/>
      <c r="U369" s="2001"/>
      <c r="V369" s="2001"/>
      <c r="W369" s="2001"/>
      <c r="X369" s="2001"/>
      <c r="Y369" s="2001"/>
      <c r="Z369" s="2001"/>
      <c r="AA369" s="2001"/>
      <c r="AB369" s="2001"/>
      <c r="AC369" s="2001"/>
      <c r="AD369" s="2001"/>
      <c r="AE369" s="2001"/>
      <c r="AF369" s="200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97" t="s">
        <v>554</v>
      </c>
      <c r="D370" s="1954"/>
      <c r="E370" s="753"/>
      <c r="F370" s="755" t="s">
        <v>1637</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98" t="s">
        <v>1638</v>
      </c>
      <c r="AG370" s="1998"/>
      <c r="AH370" s="1998"/>
      <c r="AI370" s="1998"/>
      <c r="AJ370" s="1998"/>
      <c r="AK370" s="1998"/>
      <c r="AL370" s="1999"/>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1489</v>
      </c>
      <c r="F373" s="2000" t="s">
        <v>1639</v>
      </c>
      <c r="G373" s="2000"/>
      <c r="H373" s="2000"/>
      <c r="I373" s="2000"/>
      <c r="J373" s="2000"/>
      <c r="K373" s="2000"/>
      <c r="L373" s="2000"/>
      <c r="M373" s="2000"/>
      <c r="N373" s="2000"/>
      <c r="O373" s="2000"/>
      <c r="P373" s="2000"/>
      <c r="Q373" s="2000"/>
      <c r="R373" s="2000"/>
      <c r="S373" s="2000"/>
      <c r="T373" s="2000"/>
      <c r="U373" s="2000"/>
      <c r="V373" s="2000"/>
      <c r="W373" s="2000"/>
      <c r="X373" s="2000"/>
      <c r="Y373" s="2000"/>
      <c r="Z373" s="2000"/>
      <c r="AA373" s="2000"/>
      <c r="AB373" s="2000"/>
      <c r="AC373" s="2000"/>
      <c r="AD373" s="2000"/>
      <c r="AE373" s="2000"/>
      <c r="AF373" s="200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1"/>
      <c r="G374" s="2001"/>
      <c r="H374" s="2001"/>
      <c r="I374" s="2001"/>
      <c r="J374" s="2001"/>
      <c r="K374" s="2001"/>
      <c r="L374" s="2001"/>
      <c r="M374" s="2001"/>
      <c r="N374" s="2001"/>
      <c r="O374" s="2001"/>
      <c r="P374" s="2001"/>
      <c r="Q374" s="2001"/>
      <c r="R374" s="2001"/>
      <c r="S374" s="2001"/>
      <c r="T374" s="2001"/>
      <c r="U374" s="2001"/>
      <c r="V374" s="2001"/>
      <c r="W374" s="2001"/>
      <c r="X374" s="2001"/>
      <c r="Y374" s="2001"/>
      <c r="Z374" s="2001"/>
      <c r="AA374" s="2001"/>
      <c r="AB374" s="2001"/>
      <c r="AC374" s="2001"/>
      <c r="AD374" s="2001"/>
      <c r="AE374" s="2001"/>
      <c r="AF374" s="200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1"/>
      <c r="G375" s="2001"/>
      <c r="H375" s="2001"/>
      <c r="I375" s="2001"/>
      <c r="J375" s="2001"/>
      <c r="K375" s="2001"/>
      <c r="L375" s="2001"/>
      <c r="M375" s="2001"/>
      <c r="N375" s="2001"/>
      <c r="O375" s="2001"/>
      <c r="P375" s="2001"/>
      <c r="Q375" s="2001"/>
      <c r="R375" s="2001"/>
      <c r="S375" s="2001"/>
      <c r="T375" s="2001"/>
      <c r="U375" s="2001"/>
      <c r="V375" s="2001"/>
      <c r="W375" s="2001"/>
      <c r="X375" s="2001"/>
      <c r="Y375" s="2001"/>
      <c r="Z375" s="2001"/>
      <c r="AA375" s="2001"/>
      <c r="AB375" s="2001"/>
      <c r="AC375" s="2001"/>
      <c r="AD375" s="2001"/>
      <c r="AE375" s="2001"/>
      <c r="AF375" s="200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1"/>
      <c r="G376" s="2001"/>
      <c r="H376" s="2001"/>
      <c r="I376" s="2001"/>
      <c r="J376" s="2001"/>
      <c r="K376" s="2001"/>
      <c r="L376" s="2001"/>
      <c r="M376" s="2001"/>
      <c r="N376" s="2001"/>
      <c r="O376" s="2001"/>
      <c r="P376" s="2001"/>
      <c r="Q376" s="2001"/>
      <c r="R376" s="2001"/>
      <c r="S376" s="2001"/>
      <c r="T376" s="2001"/>
      <c r="U376" s="2001"/>
      <c r="V376" s="2001"/>
      <c r="W376" s="2001"/>
      <c r="X376" s="2001"/>
      <c r="Y376" s="2001"/>
      <c r="Z376" s="2001"/>
      <c r="AA376" s="2001"/>
      <c r="AB376" s="2001"/>
      <c r="AC376" s="2001"/>
      <c r="AD376" s="2001"/>
      <c r="AE376" s="2001"/>
      <c r="AF376" s="200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1"/>
      <c r="G377" s="2001"/>
      <c r="H377" s="2001"/>
      <c r="I377" s="2001"/>
      <c r="J377" s="2001"/>
      <c r="K377" s="2001"/>
      <c r="L377" s="2001"/>
      <c r="M377" s="2001"/>
      <c r="N377" s="2001"/>
      <c r="O377" s="2001"/>
      <c r="P377" s="2001"/>
      <c r="Q377" s="2001"/>
      <c r="R377" s="2001"/>
      <c r="S377" s="2001"/>
      <c r="T377" s="2001"/>
      <c r="U377" s="2001"/>
      <c r="V377" s="2001"/>
      <c r="W377" s="2001"/>
      <c r="X377" s="2001"/>
      <c r="Y377" s="2001"/>
      <c r="Z377" s="2001"/>
      <c r="AA377" s="2001"/>
      <c r="AB377" s="2001"/>
      <c r="AC377" s="2001"/>
      <c r="AD377" s="2001"/>
      <c r="AE377" s="2001"/>
      <c r="AF377" s="2001"/>
      <c r="AL377" s="766"/>
      <c r="AN377" s="631"/>
      <c r="BS377" s="30"/>
      <c r="BT377" s="30"/>
      <c r="BU377" s="14"/>
      <c r="BV377" s="14"/>
      <c r="BW377" s="14"/>
      <c r="BX377" s="14"/>
      <c r="BY377" s="14"/>
      <c r="BZ377" s="14"/>
      <c r="CA377" s="14"/>
      <c r="CB377" s="14"/>
      <c r="CC377" s="14"/>
    </row>
    <row r="378" spans="1:81" s="584" customFormat="1" ht="12.75" customHeight="1">
      <c r="A378" s="570"/>
      <c r="B378" s="14"/>
      <c r="C378" s="1997" t="s">
        <v>600</v>
      </c>
      <c r="D378" s="1954"/>
      <c r="E378" s="725"/>
      <c r="F378" s="755" t="s">
        <v>1640</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98" t="s">
        <v>1638</v>
      </c>
      <c r="AG378" s="1998"/>
      <c r="AH378" s="1998"/>
      <c r="AI378" s="1998"/>
      <c r="AJ378" s="1998"/>
      <c r="AK378" s="1998"/>
      <c r="AL378" s="199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1492</v>
      </c>
      <c r="F381" s="2000" t="s">
        <v>1641</v>
      </c>
      <c r="G381" s="2000"/>
      <c r="H381" s="2000"/>
      <c r="I381" s="2000"/>
      <c r="J381" s="2000"/>
      <c r="K381" s="2000"/>
      <c r="L381" s="2000"/>
      <c r="M381" s="2000"/>
      <c r="N381" s="2000"/>
      <c r="O381" s="2000"/>
      <c r="P381" s="2000"/>
      <c r="Q381" s="2000"/>
      <c r="R381" s="2000"/>
      <c r="S381" s="2000"/>
      <c r="T381" s="2000"/>
      <c r="U381" s="2000"/>
      <c r="V381" s="2000"/>
      <c r="W381" s="2000"/>
      <c r="X381" s="2000"/>
      <c r="Y381" s="2000"/>
      <c r="Z381" s="2000"/>
      <c r="AA381" s="2000"/>
      <c r="AB381" s="2000"/>
      <c r="AC381" s="2000"/>
      <c r="AD381" s="2000"/>
      <c r="AE381" s="2000"/>
      <c r="AF381" s="200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1"/>
      <c r="G382" s="2001"/>
      <c r="H382" s="2001"/>
      <c r="I382" s="2001"/>
      <c r="J382" s="2001"/>
      <c r="K382" s="2001"/>
      <c r="L382" s="2001"/>
      <c r="M382" s="2001"/>
      <c r="N382" s="2001"/>
      <c r="O382" s="2001"/>
      <c r="P382" s="2001"/>
      <c r="Q382" s="2001"/>
      <c r="R382" s="2001"/>
      <c r="S382" s="2001"/>
      <c r="T382" s="2001"/>
      <c r="U382" s="2001"/>
      <c r="V382" s="2001"/>
      <c r="W382" s="2001"/>
      <c r="X382" s="2001"/>
      <c r="Y382" s="2001"/>
      <c r="Z382" s="2001"/>
      <c r="AA382" s="2001"/>
      <c r="AB382" s="2001"/>
      <c r="AC382" s="2001"/>
      <c r="AD382" s="2001"/>
      <c r="AE382" s="2001"/>
      <c r="AF382" s="200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1"/>
      <c r="G383" s="2001"/>
      <c r="H383" s="2001"/>
      <c r="I383" s="2001"/>
      <c r="J383" s="2001"/>
      <c r="K383" s="2001"/>
      <c r="L383" s="2001"/>
      <c r="M383" s="2001"/>
      <c r="N383" s="2001"/>
      <c r="O383" s="2001"/>
      <c r="P383" s="2001"/>
      <c r="Q383" s="2001"/>
      <c r="R383" s="2001"/>
      <c r="S383" s="2001"/>
      <c r="T383" s="2001"/>
      <c r="U383" s="2001"/>
      <c r="V383" s="2001"/>
      <c r="W383" s="2001"/>
      <c r="X383" s="2001"/>
      <c r="Y383" s="2001"/>
      <c r="Z383" s="2001"/>
      <c r="AA383" s="2001"/>
      <c r="AB383" s="2001"/>
      <c r="AC383" s="2001"/>
      <c r="AD383" s="2001"/>
      <c r="AE383" s="2001"/>
      <c r="AF383" s="200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1"/>
      <c r="G384" s="2001"/>
      <c r="H384" s="2001"/>
      <c r="I384" s="2001"/>
      <c r="J384" s="2001"/>
      <c r="K384" s="2001"/>
      <c r="L384" s="2001"/>
      <c r="M384" s="2001"/>
      <c r="N384" s="2001"/>
      <c r="O384" s="2001"/>
      <c r="P384" s="2001"/>
      <c r="Q384" s="2001"/>
      <c r="R384" s="2001"/>
      <c r="S384" s="2001"/>
      <c r="T384" s="2001"/>
      <c r="U384" s="2001"/>
      <c r="V384" s="2001"/>
      <c r="W384" s="2001"/>
      <c r="X384" s="2001"/>
      <c r="Y384" s="2001"/>
      <c r="Z384" s="2001"/>
      <c r="AA384" s="2001"/>
      <c r="AB384" s="2001"/>
      <c r="AC384" s="2001"/>
      <c r="AD384" s="2001"/>
      <c r="AE384" s="2001"/>
      <c r="AF384" s="200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1"/>
      <c r="G385" s="2001"/>
      <c r="H385" s="2001"/>
      <c r="I385" s="2001"/>
      <c r="J385" s="2001"/>
      <c r="K385" s="2001"/>
      <c r="L385" s="2001"/>
      <c r="M385" s="2001"/>
      <c r="N385" s="2001"/>
      <c r="O385" s="2001"/>
      <c r="P385" s="2001"/>
      <c r="Q385" s="2001"/>
      <c r="R385" s="2001"/>
      <c r="S385" s="2001"/>
      <c r="T385" s="2001"/>
      <c r="U385" s="2001"/>
      <c r="V385" s="2001"/>
      <c r="W385" s="2001"/>
      <c r="X385" s="2001"/>
      <c r="Y385" s="2001"/>
      <c r="Z385" s="2001"/>
      <c r="AA385" s="2001"/>
      <c r="AB385" s="2001"/>
      <c r="AC385" s="2001"/>
      <c r="AD385" s="2001"/>
      <c r="AE385" s="2001"/>
      <c r="AF385" s="200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97" t="s">
        <v>600</v>
      </c>
      <c r="D386" s="1954"/>
      <c r="E386" s="725"/>
      <c r="F386" s="755" t="s">
        <v>1642</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98" t="s">
        <v>1643</v>
      </c>
      <c r="AG386" s="1998"/>
      <c r="AH386" s="1998"/>
      <c r="AI386" s="1998"/>
      <c r="AJ386" s="1998"/>
      <c r="AK386" s="1998"/>
      <c r="AL386" s="199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97" t="s">
        <v>554</v>
      </c>
      <c r="D388" s="1954"/>
      <c r="E388" s="725"/>
      <c r="F388" s="772" t="s">
        <v>1644</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98" t="s">
        <v>1638</v>
      </c>
      <c r="AG388" s="1998"/>
      <c r="AH388" s="1998"/>
      <c r="AI388" s="1998"/>
      <c r="AJ388" s="1998"/>
      <c r="AK388" s="1998"/>
      <c r="AL388" s="199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1645</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1646</v>
      </c>
      <c r="F392" s="2000" t="s">
        <v>1647</v>
      </c>
      <c r="G392" s="2000"/>
      <c r="H392" s="2000"/>
      <c r="I392" s="2000"/>
      <c r="J392" s="2000"/>
      <c r="K392" s="2000"/>
      <c r="L392" s="2000"/>
      <c r="M392" s="2000"/>
      <c r="N392" s="2000"/>
      <c r="O392" s="2000"/>
      <c r="P392" s="2000"/>
      <c r="Q392" s="2000"/>
      <c r="R392" s="2000"/>
      <c r="S392" s="2000"/>
      <c r="T392" s="2000"/>
      <c r="U392" s="2000"/>
      <c r="V392" s="2000"/>
      <c r="W392" s="2000"/>
      <c r="X392" s="2000"/>
      <c r="Y392" s="2000"/>
      <c r="Z392" s="2000"/>
      <c r="AA392" s="2000"/>
      <c r="AB392" s="2000"/>
      <c r="AC392" s="2000"/>
      <c r="AD392" s="2000"/>
      <c r="AE392" s="2000"/>
      <c r="AF392" s="200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1"/>
      <c r="G393" s="2001"/>
      <c r="H393" s="2001"/>
      <c r="I393" s="2001"/>
      <c r="J393" s="2001"/>
      <c r="K393" s="2001"/>
      <c r="L393" s="2001"/>
      <c r="M393" s="2001"/>
      <c r="N393" s="2001"/>
      <c r="O393" s="2001"/>
      <c r="P393" s="2001"/>
      <c r="Q393" s="2001"/>
      <c r="R393" s="2001"/>
      <c r="S393" s="2001"/>
      <c r="T393" s="2001"/>
      <c r="U393" s="2001"/>
      <c r="V393" s="2001"/>
      <c r="W393" s="2001"/>
      <c r="X393" s="2001"/>
      <c r="Y393" s="2001"/>
      <c r="Z393" s="2001"/>
      <c r="AA393" s="2001"/>
      <c r="AB393" s="2001"/>
      <c r="AC393" s="2001"/>
      <c r="AD393" s="2001"/>
      <c r="AE393" s="2001"/>
      <c r="AF393" s="200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1"/>
      <c r="G394" s="2001"/>
      <c r="H394" s="2001"/>
      <c r="I394" s="2001"/>
      <c r="J394" s="2001"/>
      <c r="K394" s="2001"/>
      <c r="L394" s="2001"/>
      <c r="M394" s="2001"/>
      <c r="N394" s="2001"/>
      <c r="O394" s="2001"/>
      <c r="P394" s="2001"/>
      <c r="Q394" s="2001"/>
      <c r="R394" s="2001"/>
      <c r="S394" s="2001"/>
      <c r="T394" s="2001"/>
      <c r="U394" s="2001"/>
      <c r="V394" s="2001"/>
      <c r="W394" s="2001"/>
      <c r="X394" s="2001"/>
      <c r="Y394" s="2001"/>
      <c r="Z394" s="2001"/>
      <c r="AA394" s="2001"/>
      <c r="AB394" s="2001"/>
      <c r="AC394" s="2001"/>
      <c r="AD394" s="2001"/>
      <c r="AE394" s="2001"/>
      <c r="AF394" s="200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1"/>
      <c r="G395" s="2001"/>
      <c r="H395" s="2001"/>
      <c r="I395" s="2001"/>
      <c r="J395" s="2001"/>
      <c r="K395" s="2001"/>
      <c r="L395" s="2001"/>
      <c r="M395" s="2001"/>
      <c r="N395" s="2001"/>
      <c r="O395" s="2001"/>
      <c r="P395" s="2001"/>
      <c r="Q395" s="2001"/>
      <c r="R395" s="2001"/>
      <c r="S395" s="2001"/>
      <c r="T395" s="2001"/>
      <c r="U395" s="2001"/>
      <c r="V395" s="2001"/>
      <c r="W395" s="2001"/>
      <c r="X395" s="2001"/>
      <c r="Y395" s="2001"/>
      <c r="Z395" s="2001"/>
      <c r="AA395" s="2001"/>
      <c r="AB395" s="2001"/>
      <c r="AC395" s="2001"/>
      <c r="AD395" s="2001"/>
      <c r="AE395" s="2001"/>
      <c r="AF395" s="200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97" t="s">
        <v>600</v>
      </c>
      <c r="D396" s="1954"/>
      <c r="E396" s="725"/>
      <c r="F396" s="755" t="s">
        <v>1648</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98" t="s">
        <v>1638</v>
      </c>
      <c r="AG396" s="1998"/>
      <c r="AH396" s="1998"/>
      <c r="AI396" s="1998"/>
      <c r="AJ396" s="1998"/>
      <c r="AK396" s="1998"/>
      <c r="AL396" s="199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97" t="s">
        <v>600</v>
      </c>
      <c r="D398" s="1954"/>
      <c r="E398" s="753"/>
      <c r="F398" s="755" t="s">
        <v>1649</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98" t="s">
        <v>1650</v>
      </c>
      <c r="AG398" s="1998"/>
      <c r="AH398" s="1998"/>
      <c r="AI398" s="1998"/>
      <c r="AJ398" s="1998"/>
      <c r="AK398" s="1998"/>
      <c r="AL398" s="199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97" t="s">
        <v>600</v>
      </c>
      <c r="D401" s="1954"/>
      <c r="E401" s="749" t="s">
        <v>1651</v>
      </c>
      <c r="F401" s="2000" t="s">
        <v>1652</v>
      </c>
      <c r="G401" s="2000"/>
      <c r="H401" s="2000"/>
      <c r="I401" s="2000"/>
      <c r="J401" s="2000"/>
      <c r="K401" s="2000"/>
      <c r="L401" s="2000"/>
      <c r="M401" s="2000"/>
      <c r="N401" s="2000"/>
      <c r="O401" s="2000"/>
      <c r="P401" s="2000"/>
      <c r="Q401" s="2000"/>
      <c r="R401" s="2000"/>
      <c r="S401" s="2000"/>
      <c r="T401" s="2000"/>
      <c r="U401" s="2000"/>
      <c r="V401" s="2000"/>
      <c r="W401" s="2000"/>
      <c r="X401" s="2000"/>
      <c r="Y401" s="2000"/>
      <c r="Z401" s="2000"/>
      <c r="AA401" s="2000"/>
      <c r="AB401" s="2000"/>
      <c r="AC401" s="2000"/>
      <c r="AD401" s="2000"/>
      <c r="AE401" s="200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1"/>
      <c r="G402" s="2001"/>
      <c r="H402" s="2001"/>
      <c r="I402" s="2001"/>
      <c r="J402" s="2001"/>
      <c r="K402" s="2001"/>
      <c r="L402" s="2001"/>
      <c r="M402" s="2001"/>
      <c r="N402" s="2001"/>
      <c r="O402" s="2001"/>
      <c r="P402" s="2001"/>
      <c r="Q402" s="2001"/>
      <c r="R402" s="2001"/>
      <c r="S402" s="2001"/>
      <c r="T402" s="2001"/>
      <c r="U402" s="2001"/>
      <c r="V402" s="2001"/>
      <c r="W402" s="2001"/>
      <c r="X402" s="2001"/>
      <c r="Y402" s="2001"/>
      <c r="Z402" s="2001"/>
      <c r="AA402" s="2001"/>
      <c r="AB402" s="2001"/>
      <c r="AC402" s="2001"/>
      <c r="AD402" s="2001"/>
      <c r="AE402" s="2001"/>
      <c r="AF402" s="1924" t="s">
        <v>1638</v>
      </c>
      <c r="AG402" s="1924"/>
      <c r="AH402" s="1924"/>
      <c r="AI402" s="1924"/>
      <c r="AJ402" s="1924"/>
      <c r="AK402" s="1924"/>
      <c r="AL402" s="2002"/>
      <c r="AM402" s="604"/>
      <c r="AN402" s="631"/>
      <c r="BS402" s="604"/>
      <c r="BT402" s="604"/>
      <c r="BY402" s="604"/>
      <c r="BZ402" s="604"/>
      <c r="CA402" s="604"/>
      <c r="CB402" s="604"/>
      <c r="CC402" s="604"/>
    </row>
    <row r="403" spans="1:81" s="584" customFormat="1" ht="12.75" customHeight="1">
      <c r="A403" s="570"/>
      <c r="B403" s="14"/>
      <c r="C403" s="765"/>
      <c r="D403" s="14"/>
      <c r="E403" s="725"/>
      <c r="F403" s="2001"/>
      <c r="G403" s="2001"/>
      <c r="H403" s="2001"/>
      <c r="I403" s="2001"/>
      <c r="J403" s="2001"/>
      <c r="K403" s="2001"/>
      <c r="L403" s="2001"/>
      <c r="M403" s="2001"/>
      <c r="N403" s="2001"/>
      <c r="O403" s="2001"/>
      <c r="P403" s="2001"/>
      <c r="Q403" s="2001"/>
      <c r="R403" s="2001"/>
      <c r="S403" s="2001"/>
      <c r="T403" s="2001"/>
      <c r="U403" s="2001"/>
      <c r="V403" s="2001"/>
      <c r="W403" s="2001"/>
      <c r="X403" s="2001"/>
      <c r="Y403" s="2001"/>
      <c r="Z403" s="2001"/>
      <c r="AA403" s="2001"/>
      <c r="AB403" s="2001"/>
      <c r="AC403" s="2001"/>
      <c r="AD403" s="2001"/>
      <c r="AE403" s="200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1653</v>
      </c>
      <c r="F406" s="2000" t="s">
        <v>1654</v>
      </c>
      <c r="G406" s="2000"/>
      <c r="H406" s="2000"/>
      <c r="I406" s="2000"/>
      <c r="J406" s="2000"/>
      <c r="K406" s="2000"/>
      <c r="L406" s="2000"/>
      <c r="M406" s="2000"/>
      <c r="N406" s="2000"/>
      <c r="O406" s="2000"/>
      <c r="P406" s="2000"/>
      <c r="Q406" s="2000"/>
      <c r="R406" s="2000"/>
      <c r="S406" s="2000"/>
      <c r="T406" s="2000"/>
      <c r="U406" s="2000"/>
      <c r="V406" s="2000"/>
      <c r="W406" s="2000"/>
      <c r="X406" s="2000"/>
      <c r="Y406" s="2000"/>
      <c r="Z406" s="2000"/>
      <c r="AA406" s="2000"/>
      <c r="AB406" s="2000"/>
      <c r="AC406" s="2000"/>
      <c r="AD406" s="2000"/>
      <c r="AE406" s="2000"/>
      <c r="AF406" s="781"/>
      <c r="AG406" s="781"/>
      <c r="AH406" s="781"/>
      <c r="AI406" s="781"/>
      <c r="AJ406" s="781"/>
      <c r="AK406" s="781"/>
      <c r="AL406" s="782"/>
      <c r="AM406" s="604"/>
    </row>
    <row r="407" spans="1:81">
      <c r="A407" s="570"/>
      <c r="C407" s="765"/>
      <c r="E407" s="725"/>
      <c r="F407" s="2001"/>
      <c r="G407" s="2001"/>
      <c r="H407" s="2001"/>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2001"/>
      <c r="AD407" s="2001"/>
      <c r="AE407" s="2001"/>
      <c r="AF407" s="573"/>
      <c r="AG407" s="570"/>
      <c r="AH407" s="584"/>
      <c r="AI407" s="584"/>
      <c r="AJ407" s="584"/>
      <c r="AK407" s="584"/>
      <c r="AL407" s="766"/>
      <c r="AM407" s="604"/>
    </row>
    <row r="408" spans="1:81" s="584" customFormat="1" ht="12.75" customHeight="1">
      <c r="A408" s="570"/>
      <c r="B408" s="14"/>
      <c r="C408" s="765"/>
      <c r="D408" s="14"/>
      <c r="E408" s="725"/>
      <c r="F408" s="2001"/>
      <c r="G408" s="2001"/>
      <c r="H408" s="2001"/>
      <c r="I408" s="2001"/>
      <c r="J408" s="2001"/>
      <c r="K408" s="2001"/>
      <c r="L408" s="2001"/>
      <c r="M408" s="2001"/>
      <c r="N408" s="2001"/>
      <c r="O408" s="2001"/>
      <c r="P408" s="2001"/>
      <c r="Q408" s="2001"/>
      <c r="R408" s="2001"/>
      <c r="S408" s="2001"/>
      <c r="T408" s="2001"/>
      <c r="U408" s="2001"/>
      <c r="V408" s="2001"/>
      <c r="W408" s="2001"/>
      <c r="X408" s="2001"/>
      <c r="Y408" s="2001"/>
      <c r="Z408" s="2001"/>
      <c r="AA408" s="2001"/>
      <c r="AB408" s="2001"/>
      <c r="AC408" s="2001"/>
      <c r="AD408" s="2001"/>
      <c r="AE408" s="2001"/>
      <c r="AL408" s="766"/>
      <c r="AM408" s="604"/>
      <c r="AN408" s="631"/>
    </row>
    <row r="409" spans="1:81" s="584" customFormat="1" ht="12.75" customHeight="1">
      <c r="A409" s="570"/>
      <c r="B409" s="14"/>
      <c r="C409" s="773"/>
      <c r="F409" s="2001"/>
      <c r="G409" s="2001"/>
      <c r="H409" s="2001"/>
      <c r="I409" s="2001"/>
      <c r="J409" s="2001"/>
      <c r="K409" s="2001"/>
      <c r="L409" s="2001"/>
      <c r="M409" s="2001"/>
      <c r="N409" s="2001"/>
      <c r="O409" s="2001"/>
      <c r="P409" s="2001"/>
      <c r="Q409" s="2001"/>
      <c r="R409" s="2001"/>
      <c r="S409" s="2001"/>
      <c r="T409" s="2001"/>
      <c r="U409" s="2001"/>
      <c r="V409" s="2001"/>
      <c r="W409" s="2001"/>
      <c r="X409" s="2001"/>
      <c r="Y409" s="2001"/>
      <c r="Z409" s="2001"/>
      <c r="AA409" s="2001"/>
      <c r="AB409" s="2001"/>
      <c r="AC409" s="2001"/>
      <c r="AD409" s="2001"/>
      <c r="AE409" s="2001"/>
      <c r="AL409" s="766"/>
      <c r="AM409" s="604"/>
      <c r="AN409" s="631"/>
    </row>
    <row r="410" spans="1:81" s="584" customFormat="1" ht="12.75" customHeight="1">
      <c r="A410" s="570"/>
      <c r="B410" s="14"/>
      <c r="C410" s="1997" t="s">
        <v>600</v>
      </c>
      <c r="D410" s="1954"/>
      <c r="E410" s="725"/>
      <c r="F410" s="755" t="s">
        <v>1655</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4" t="s">
        <v>1638</v>
      </c>
      <c r="AG410" s="1924"/>
      <c r="AH410" s="1924"/>
      <c r="AI410" s="1924"/>
      <c r="AJ410" s="1924"/>
      <c r="AK410" s="1924"/>
      <c r="AL410" s="2002"/>
      <c r="AM410" s="604"/>
      <c r="AN410" s="631"/>
    </row>
    <row r="411" spans="1:81" s="584" customFormat="1" ht="12.75" customHeight="1">
      <c r="A411" s="570"/>
      <c r="B411" s="14"/>
      <c r="C411" s="773"/>
      <c r="AL411" s="766"/>
      <c r="AM411" s="604"/>
      <c r="AN411" s="631"/>
    </row>
    <row r="412" spans="1:81" s="584" customFormat="1" ht="12.75" customHeight="1">
      <c r="A412" s="570"/>
      <c r="B412" s="14"/>
      <c r="C412" s="1997" t="s">
        <v>600</v>
      </c>
      <c r="D412" s="1954"/>
      <c r="E412" s="753"/>
      <c r="F412" s="755" t="s">
        <v>1656</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4" t="s">
        <v>1650</v>
      </c>
      <c r="AG412" s="1924"/>
      <c r="AH412" s="1924"/>
      <c r="AI412" s="1924"/>
      <c r="AJ412" s="1924"/>
      <c r="AK412" s="1924"/>
      <c r="AL412" s="200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1658</v>
      </c>
      <c r="F416" s="2000" t="s">
        <v>1659</v>
      </c>
      <c r="G416" s="2000"/>
      <c r="H416" s="2000"/>
      <c r="I416" s="2000"/>
      <c r="J416" s="2000"/>
      <c r="K416" s="2000"/>
      <c r="L416" s="2000"/>
      <c r="M416" s="2000"/>
      <c r="N416" s="2000"/>
      <c r="O416" s="2000"/>
      <c r="P416" s="2000"/>
      <c r="Q416" s="2000"/>
      <c r="R416" s="2000"/>
      <c r="S416" s="2000"/>
      <c r="T416" s="2000"/>
      <c r="U416" s="2000"/>
      <c r="V416" s="2000"/>
      <c r="W416" s="2000"/>
      <c r="X416" s="2000"/>
      <c r="Y416" s="2000"/>
      <c r="Z416" s="2000"/>
      <c r="AA416" s="2000"/>
      <c r="AB416" s="2000"/>
      <c r="AC416" s="2000"/>
      <c r="AD416" s="2000"/>
      <c r="AE416" s="2000"/>
      <c r="AF416" s="748"/>
      <c r="AG416" s="748"/>
      <c r="AH416" s="748"/>
      <c r="AI416" s="748"/>
      <c r="AJ416" s="748"/>
      <c r="AK416" s="748"/>
      <c r="AL416" s="779"/>
      <c r="AM416" s="604"/>
      <c r="AN416" s="631"/>
    </row>
    <row r="417" spans="1:60" s="584" customFormat="1" ht="12.75" customHeight="1">
      <c r="A417" s="570"/>
      <c r="B417" s="14"/>
      <c r="C417" s="765"/>
      <c r="D417" s="14"/>
      <c r="E417" s="725"/>
      <c r="F417" s="2001"/>
      <c r="G417" s="2001"/>
      <c r="H417" s="2001"/>
      <c r="I417" s="2001"/>
      <c r="J417" s="2001"/>
      <c r="K417" s="2001"/>
      <c r="L417" s="2001"/>
      <c r="M417" s="2001"/>
      <c r="N417" s="2001"/>
      <c r="O417" s="2001"/>
      <c r="P417" s="2001"/>
      <c r="Q417" s="2001"/>
      <c r="R417" s="2001"/>
      <c r="S417" s="2001"/>
      <c r="T417" s="2001"/>
      <c r="U417" s="2001"/>
      <c r="V417" s="2001"/>
      <c r="W417" s="2001"/>
      <c r="X417" s="2001"/>
      <c r="Y417" s="2001"/>
      <c r="Z417" s="2001"/>
      <c r="AA417" s="2001"/>
      <c r="AB417" s="2001"/>
      <c r="AC417" s="2001"/>
      <c r="AD417" s="2001"/>
      <c r="AE417" s="2001"/>
      <c r="AF417" s="573"/>
      <c r="AG417" s="570"/>
      <c r="AL417" s="766"/>
      <c r="AM417" s="604"/>
      <c r="AN417" s="631"/>
    </row>
    <row r="418" spans="1:60" s="584" customFormat="1" ht="12.6" customHeight="1">
      <c r="A418" s="570"/>
      <c r="B418" s="14"/>
      <c r="C418" s="765"/>
      <c r="D418" s="14"/>
      <c r="E418" s="725"/>
      <c r="F418" s="2001"/>
      <c r="G418" s="2001"/>
      <c r="H418" s="2001"/>
      <c r="I418" s="2001"/>
      <c r="J418" s="2001"/>
      <c r="K418" s="2001"/>
      <c r="L418" s="2001"/>
      <c r="M418" s="2001"/>
      <c r="N418" s="2001"/>
      <c r="O418" s="2001"/>
      <c r="P418" s="2001"/>
      <c r="Q418" s="2001"/>
      <c r="R418" s="2001"/>
      <c r="S418" s="2001"/>
      <c r="T418" s="2001"/>
      <c r="U418" s="2001"/>
      <c r="V418" s="2001"/>
      <c r="W418" s="2001"/>
      <c r="X418" s="2001"/>
      <c r="Y418" s="2001"/>
      <c r="Z418" s="2001"/>
      <c r="AA418" s="2001"/>
      <c r="AB418" s="2001"/>
      <c r="AC418" s="2001"/>
      <c r="AD418" s="2001"/>
      <c r="AE418" s="2001"/>
      <c r="AL418" s="766"/>
      <c r="AM418" s="604"/>
      <c r="AN418" s="631"/>
    </row>
    <row r="419" spans="1:60" s="584" customFormat="1" ht="12.75" customHeight="1">
      <c r="A419" s="570"/>
      <c r="B419" s="14"/>
      <c r="C419" s="1997" t="s">
        <v>600</v>
      </c>
      <c r="D419" s="1954"/>
      <c r="E419" s="725"/>
      <c r="F419" s="755" t="s">
        <v>1660</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1924" t="s">
        <v>1638</v>
      </c>
      <c r="AG419" s="1924"/>
      <c r="AH419" s="1924"/>
      <c r="AI419" s="1924"/>
      <c r="AJ419" s="1924"/>
      <c r="AK419" s="1924"/>
      <c r="AL419" s="200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1661</v>
      </c>
      <c r="F422" s="2000" t="s">
        <v>1662</v>
      </c>
      <c r="G422" s="2000"/>
      <c r="H422" s="2000"/>
      <c r="I422" s="2000"/>
      <c r="J422" s="2000"/>
      <c r="K422" s="2000"/>
      <c r="L422" s="2000"/>
      <c r="M422" s="2000"/>
      <c r="N422" s="2000"/>
      <c r="O422" s="2000"/>
      <c r="P422" s="2000"/>
      <c r="Q422" s="2000"/>
      <c r="R422" s="2000"/>
      <c r="S422" s="2000"/>
      <c r="T422" s="2000"/>
      <c r="U422" s="2000"/>
      <c r="V422" s="2000"/>
      <c r="W422" s="2000"/>
      <c r="X422" s="2000"/>
      <c r="Y422" s="2000"/>
      <c r="Z422" s="2000"/>
      <c r="AA422" s="2000"/>
      <c r="AB422" s="2000"/>
      <c r="AC422" s="2000"/>
      <c r="AD422" s="2000"/>
      <c r="AE422" s="2000"/>
      <c r="AF422" s="781"/>
      <c r="AG422" s="781"/>
      <c r="AH422" s="781"/>
      <c r="AI422" s="781"/>
      <c r="AJ422" s="781"/>
      <c r="AK422" s="781"/>
      <c r="AL422" s="782"/>
      <c r="AM422" s="604"/>
      <c r="AO422" s="584"/>
      <c r="AP422" s="584"/>
      <c r="BD422" s="14"/>
      <c r="BE422" s="14"/>
      <c r="BF422" s="14"/>
      <c r="BG422" s="14"/>
      <c r="BH422" s="14"/>
    </row>
    <row r="423" spans="1:60">
      <c r="A423" s="570"/>
      <c r="C423" s="765"/>
      <c r="E423" s="725"/>
      <c r="F423" s="2001"/>
      <c r="G423" s="2001"/>
      <c r="H423" s="2001"/>
      <c r="I423" s="2001"/>
      <c r="J423" s="2001"/>
      <c r="K423" s="2001"/>
      <c r="L423" s="2001"/>
      <c r="M423" s="2001"/>
      <c r="N423" s="2001"/>
      <c r="O423" s="2001"/>
      <c r="P423" s="2001"/>
      <c r="Q423" s="2001"/>
      <c r="R423" s="2001"/>
      <c r="S423" s="2001"/>
      <c r="T423" s="2001"/>
      <c r="U423" s="2001"/>
      <c r="V423" s="2001"/>
      <c r="W423" s="2001"/>
      <c r="X423" s="2001"/>
      <c r="Y423" s="2001"/>
      <c r="Z423" s="2001"/>
      <c r="AA423" s="2001"/>
      <c r="AB423" s="2001"/>
      <c r="AC423" s="2001"/>
      <c r="AD423" s="2001"/>
      <c r="AE423" s="2001"/>
      <c r="AF423" s="628"/>
      <c r="AG423" s="628"/>
      <c r="AH423" s="628"/>
      <c r="AI423" s="628"/>
      <c r="AJ423" s="628"/>
      <c r="AK423" s="628"/>
      <c r="AL423" s="785"/>
      <c r="AM423" s="604"/>
      <c r="AO423" s="584"/>
      <c r="AP423" s="584"/>
    </row>
    <row r="424" spans="1:60" s="584" customFormat="1" ht="12.75" customHeight="1">
      <c r="A424" s="570"/>
      <c r="B424" s="14"/>
      <c r="C424" s="765"/>
      <c r="D424" s="14"/>
      <c r="E424" s="725"/>
      <c r="F424" s="2001"/>
      <c r="G424" s="2001"/>
      <c r="H424" s="2001"/>
      <c r="I424" s="2001"/>
      <c r="J424" s="2001"/>
      <c r="K424" s="2001"/>
      <c r="L424" s="2001"/>
      <c r="M424" s="2001"/>
      <c r="N424" s="2001"/>
      <c r="O424" s="2001"/>
      <c r="P424" s="2001"/>
      <c r="Q424" s="2001"/>
      <c r="R424" s="2001"/>
      <c r="S424" s="2001"/>
      <c r="T424" s="2001"/>
      <c r="U424" s="2001"/>
      <c r="V424" s="2001"/>
      <c r="W424" s="2001"/>
      <c r="X424" s="2001"/>
      <c r="Y424" s="2001"/>
      <c r="Z424" s="2001"/>
      <c r="AA424" s="2001"/>
      <c r="AB424" s="2001"/>
      <c r="AC424" s="2001"/>
      <c r="AD424" s="2001"/>
      <c r="AE424" s="2001"/>
      <c r="AF424" s="628"/>
      <c r="AG424" s="628"/>
      <c r="AH424" s="628"/>
      <c r="AI424" s="628"/>
      <c r="AJ424" s="628"/>
      <c r="AK424" s="628"/>
      <c r="AL424" s="785"/>
      <c r="AM424" s="604"/>
      <c r="AN424" s="631"/>
    </row>
    <row r="425" spans="1:60" s="584" customFormat="1" ht="12.75" customHeight="1">
      <c r="A425" s="570"/>
      <c r="B425" s="14"/>
      <c r="C425" s="786"/>
      <c r="D425" s="764"/>
      <c r="E425" s="753"/>
      <c r="F425" s="2001"/>
      <c r="G425" s="2001"/>
      <c r="H425" s="2001"/>
      <c r="I425" s="2001"/>
      <c r="J425" s="2001"/>
      <c r="K425" s="2001"/>
      <c r="L425" s="2001"/>
      <c r="M425" s="2001"/>
      <c r="N425" s="2001"/>
      <c r="O425" s="2001"/>
      <c r="P425" s="2001"/>
      <c r="Q425" s="2001"/>
      <c r="R425" s="2001"/>
      <c r="S425" s="2001"/>
      <c r="T425" s="2001"/>
      <c r="U425" s="2001"/>
      <c r="V425" s="2001"/>
      <c r="W425" s="2001"/>
      <c r="X425" s="2001"/>
      <c r="Y425" s="2001"/>
      <c r="Z425" s="2001"/>
      <c r="AA425" s="2001"/>
      <c r="AB425" s="2001"/>
      <c r="AC425" s="2001"/>
      <c r="AD425" s="2001"/>
      <c r="AE425" s="2001"/>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2001"/>
      <c r="G426" s="2001"/>
      <c r="H426" s="2001"/>
      <c r="I426" s="2001"/>
      <c r="J426" s="2001"/>
      <c r="K426" s="2001"/>
      <c r="L426" s="2001"/>
      <c r="M426" s="2001"/>
      <c r="N426" s="2001"/>
      <c r="O426" s="2001"/>
      <c r="P426" s="2001"/>
      <c r="Q426" s="2001"/>
      <c r="R426" s="2001"/>
      <c r="S426" s="2001"/>
      <c r="T426" s="2001"/>
      <c r="U426" s="2001"/>
      <c r="V426" s="2001"/>
      <c r="W426" s="2001"/>
      <c r="X426" s="2001"/>
      <c r="Y426" s="2001"/>
      <c r="Z426" s="2001"/>
      <c r="AA426" s="2001"/>
      <c r="AB426" s="2001"/>
      <c r="AC426" s="2001"/>
      <c r="AD426" s="2001"/>
      <c r="AE426" s="2001"/>
      <c r="AF426" s="628"/>
      <c r="AG426" s="628"/>
      <c r="AH426" s="628"/>
      <c r="AI426" s="628"/>
      <c r="AJ426" s="628"/>
      <c r="AK426" s="628"/>
      <c r="AL426" s="785"/>
      <c r="AM426" s="604"/>
      <c r="AN426" s="631"/>
    </row>
    <row r="427" spans="1:60" s="584" customFormat="1" ht="12.75" customHeight="1">
      <c r="A427" s="570"/>
      <c r="B427" s="14"/>
      <c r="C427" s="786"/>
      <c r="D427" s="764"/>
      <c r="E427" s="753"/>
      <c r="F427" s="2001"/>
      <c r="G427" s="2001"/>
      <c r="H427" s="2001"/>
      <c r="I427" s="2001"/>
      <c r="J427" s="2001"/>
      <c r="K427" s="2001"/>
      <c r="L427" s="2001"/>
      <c r="M427" s="2001"/>
      <c r="N427" s="2001"/>
      <c r="O427" s="2001"/>
      <c r="P427" s="2001"/>
      <c r="Q427" s="2001"/>
      <c r="R427" s="2001"/>
      <c r="S427" s="2001"/>
      <c r="T427" s="2001"/>
      <c r="U427" s="2001"/>
      <c r="V427" s="2001"/>
      <c r="W427" s="2001"/>
      <c r="X427" s="2001"/>
      <c r="Y427" s="2001"/>
      <c r="Z427" s="2001"/>
      <c r="AA427" s="2001"/>
      <c r="AB427" s="2001"/>
      <c r="AC427" s="2001"/>
      <c r="AD427" s="2001"/>
      <c r="AE427" s="2001"/>
      <c r="AF427" s="628"/>
      <c r="AG427" s="628"/>
      <c r="AH427" s="628"/>
      <c r="AI427" s="628"/>
      <c r="AJ427" s="628"/>
      <c r="AK427" s="628"/>
      <c r="AL427" s="785"/>
      <c r="AM427" s="604"/>
      <c r="AN427" s="631"/>
    </row>
    <row r="428" spans="1:60" s="584" customFormat="1" ht="12.75" customHeight="1">
      <c r="A428" s="570"/>
      <c r="B428" s="14"/>
      <c r="C428" s="786"/>
      <c r="D428" s="764"/>
      <c r="E428" s="753"/>
      <c r="F428" s="2001"/>
      <c r="G428" s="2001"/>
      <c r="H428" s="2001"/>
      <c r="I428" s="2001"/>
      <c r="J428" s="2001"/>
      <c r="K428" s="2001"/>
      <c r="L428" s="2001"/>
      <c r="M428" s="2001"/>
      <c r="N428" s="2001"/>
      <c r="O428" s="2001"/>
      <c r="P428" s="2001"/>
      <c r="Q428" s="2001"/>
      <c r="R428" s="2001"/>
      <c r="S428" s="2001"/>
      <c r="T428" s="2001"/>
      <c r="U428" s="2001"/>
      <c r="V428" s="2001"/>
      <c r="W428" s="2001"/>
      <c r="X428" s="2001"/>
      <c r="Y428" s="2001"/>
      <c r="Z428" s="2001"/>
      <c r="AA428" s="2001"/>
      <c r="AB428" s="2001"/>
      <c r="AC428" s="2001"/>
      <c r="AD428" s="2001"/>
      <c r="AE428" s="2001"/>
      <c r="AF428" s="628"/>
      <c r="AG428" s="628"/>
      <c r="AH428" s="628"/>
      <c r="AI428" s="628"/>
      <c r="AJ428" s="628"/>
      <c r="AK428" s="628"/>
      <c r="AL428" s="785"/>
      <c r="AM428" s="604"/>
      <c r="AN428" s="631"/>
    </row>
    <row r="429" spans="1:60" s="584" customFormat="1" ht="12.75" customHeight="1">
      <c r="A429" s="570"/>
      <c r="B429" s="14"/>
      <c r="C429" s="786"/>
      <c r="D429" s="764"/>
      <c r="E429" s="753"/>
      <c r="F429" s="2001"/>
      <c r="G429" s="2001"/>
      <c r="H429" s="2001"/>
      <c r="I429" s="2001"/>
      <c r="J429" s="2001"/>
      <c r="K429" s="2001"/>
      <c r="L429" s="2001"/>
      <c r="M429" s="2001"/>
      <c r="N429" s="2001"/>
      <c r="O429" s="2001"/>
      <c r="P429" s="2001"/>
      <c r="Q429" s="2001"/>
      <c r="R429" s="2001"/>
      <c r="S429" s="2001"/>
      <c r="T429" s="2001"/>
      <c r="U429" s="2001"/>
      <c r="V429" s="2001"/>
      <c r="W429" s="2001"/>
      <c r="X429" s="2001"/>
      <c r="Y429" s="2001"/>
      <c r="Z429" s="2001"/>
      <c r="AA429" s="2001"/>
      <c r="AB429" s="2001"/>
      <c r="AC429" s="2001"/>
      <c r="AD429" s="2001"/>
      <c r="AE429" s="2001"/>
      <c r="AF429" s="628"/>
      <c r="AG429" s="628"/>
      <c r="AH429" s="628"/>
      <c r="AI429" s="628"/>
      <c r="AJ429" s="628"/>
      <c r="AK429" s="628"/>
      <c r="AL429" s="785"/>
      <c r="AM429" s="604"/>
      <c r="AN429" s="631"/>
    </row>
    <row r="430" spans="1:60" s="584" customFormat="1" ht="17.25" customHeight="1">
      <c r="A430" s="570"/>
      <c r="B430" s="14"/>
      <c r="C430" s="786"/>
      <c r="D430" s="764"/>
      <c r="E430" s="753"/>
      <c r="F430" s="2001"/>
      <c r="G430" s="2001"/>
      <c r="H430" s="2001"/>
      <c r="I430" s="2001"/>
      <c r="J430" s="2001"/>
      <c r="K430" s="2001"/>
      <c r="L430" s="2001"/>
      <c r="M430" s="2001"/>
      <c r="N430" s="2001"/>
      <c r="O430" s="2001"/>
      <c r="P430" s="2001"/>
      <c r="Q430" s="2001"/>
      <c r="R430" s="2001"/>
      <c r="S430" s="2001"/>
      <c r="T430" s="2001"/>
      <c r="U430" s="2001"/>
      <c r="V430" s="2001"/>
      <c r="W430" s="2001"/>
      <c r="X430" s="2001"/>
      <c r="Y430" s="2001"/>
      <c r="Z430" s="2001"/>
      <c r="AA430" s="2001"/>
      <c r="AB430" s="2001"/>
      <c r="AC430" s="2001"/>
      <c r="AD430" s="2001"/>
      <c r="AE430" s="2001"/>
      <c r="AL430" s="766"/>
      <c r="AM430" s="604"/>
      <c r="AN430" s="631"/>
    </row>
    <row r="431" spans="1:60" s="584" customFormat="1" ht="12.75" customHeight="1">
      <c r="A431" s="570"/>
      <c r="B431" s="14"/>
      <c r="C431" s="1997" t="s">
        <v>600</v>
      </c>
      <c r="D431" s="1954"/>
      <c r="E431" s="753"/>
      <c r="F431" s="630" t="s">
        <v>1663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4" t="s">
        <v>1638</v>
      </c>
      <c r="AG431" s="1924"/>
      <c r="AH431" s="1924"/>
      <c r="AI431" s="1924"/>
      <c r="AJ431" s="1924"/>
      <c r="AK431" s="1924"/>
      <c r="AL431" s="200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1664</v>
      </c>
      <c r="F434" s="2000" t="s">
        <v>1665</v>
      </c>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748"/>
      <c r="AG434" s="748"/>
      <c r="AH434" s="748"/>
      <c r="AI434" s="748"/>
      <c r="AJ434" s="748"/>
      <c r="AK434" s="748"/>
      <c r="AL434" s="779"/>
      <c r="AM434" s="604"/>
      <c r="AN434" s="631"/>
      <c r="AO434" s="584" t="s">
        <v>600</v>
      </c>
      <c r="AP434" s="584">
        <v>0</v>
      </c>
      <c r="AQ434" s="787"/>
    </row>
    <row r="435" spans="1:54" s="584" customFormat="1" ht="12.75" customHeight="1">
      <c r="A435" s="570"/>
      <c r="B435" s="14"/>
      <c r="C435" s="786"/>
      <c r="D435" s="764"/>
      <c r="E435" s="753"/>
      <c r="F435" s="2001"/>
      <c r="G435" s="2001"/>
      <c r="H435" s="2001"/>
      <c r="I435" s="2001"/>
      <c r="J435" s="2001"/>
      <c r="K435" s="2001"/>
      <c r="L435" s="2001"/>
      <c r="M435" s="2001"/>
      <c r="N435" s="2001"/>
      <c r="O435" s="2001"/>
      <c r="P435" s="2001"/>
      <c r="Q435" s="2001"/>
      <c r="R435" s="2001"/>
      <c r="S435" s="2001"/>
      <c r="T435" s="2001"/>
      <c r="U435" s="2001"/>
      <c r="V435" s="2001"/>
      <c r="W435" s="2001"/>
      <c r="X435" s="2001"/>
      <c r="Y435" s="2001"/>
      <c r="Z435" s="2001"/>
      <c r="AA435" s="2001"/>
      <c r="AB435" s="2001"/>
      <c r="AC435" s="2001"/>
      <c r="AD435" s="2001"/>
      <c r="AE435" s="2001"/>
      <c r="AF435" s="625"/>
      <c r="AG435" s="625"/>
      <c r="AH435" s="625"/>
      <c r="AI435" s="625"/>
      <c r="AJ435" s="625"/>
      <c r="AK435" s="625"/>
      <c r="AL435" s="754"/>
      <c r="AM435" s="604"/>
      <c r="AN435" s="631"/>
      <c r="AO435" s="584" t="s">
        <v>1666</v>
      </c>
      <c r="AP435" s="584">
        <v>5</v>
      </c>
      <c r="AQ435" s="787"/>
    </row>
    <row r="436" spans="1:54" s="584" customFormat="1" ht="12.75" customHeight="1">
      <c r="A436" s="570"/>
      <c r="B436" s="14"/>
      <c r="C436" s="786"/>
      <c r="D436" s="764"/>
      <c r="E436" s="753"/>
      <c r="F436" s="2001"/>
      <c r="G436" s="2001"/>
      <c r="H436" s="2001"/>
      <c r="I436" s="2001"/>
      <c r="J436" s="2001"/>
      <c r="K436" s="2001"/>
      <c r="L436" s="2001"/>
      <c r="M436" s="2001"/>
      <c r="N436" s="2001"/>
      <c r="O436" s="2001"/>
      <c r="P436" s="2001"/>
      <c r="Q436" s="2001"/>
      <c r="R436" s="2001"/>
      <c r="S436" s="2001"/>
      <c r="T436" s="2001"/>
      <c r="U436" s="2001"/>
      <c r="V436" s="2001"/>
      <c r="W436" s="2001"/>
      <c r="X436" s="2001"/>
      <c r="Y436" s="2001"/>
      <c r="Z436" s="2001"/>
      <c r="AA436" s="2001"/>
      <c r="AB436" s="2001"/>
      <c r="AC436" s="2001"/>
      <c r="AD436" s="2001"/>
      <c r="AE436" s="2001"/>
      <c r="AF436" s="625"/>
      <c r="AG436" s="625"/>
      <c r="AH436" s="625"/>
      <c r="AI436" s="625"/>
      <c r="AJ436" s="625"/>
      <c r="AK436" s="625"/>
      <c r="AL436" s="754"/>
      <c r="AM436" s="604"/>
      <c r="AN436" s="631"/>
      <c r="AO436" s="584" t="s">
        <v>1667</v>
      </c>
      <c r="AP436" s="584">
        <v>5</v>
      </c>
      <c r="AQ436" s="787"/>
    </row>
    <row r="437" spans="1:54" s="584" customFormat="1" ht="12.75" customHeight="1">
      <c r="A437" s="570"/>
      <c r="B437" s="14"/>
      <c r="C437" s="786"/>
      <c r="D437" s="764"/>
      <c r="E437" s="753"/>
      <c r="F437" s="2001"/>
      <c r="G437" s="2001"/>
      <c r="H437" s="2001"/>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2001"/>
      <c r="AD437" s="2001"/>
      <c r="AE437" s="2001"/>
      <c r="AL437" s="766"/>
      <c r="AM437" s="604"/>
      <c r="AN437" s="631"/>
      <c r="AO437" s="584" t="s">
        <v>1668</v>
      </c>
      <c r="AP437" s="584">
        <v>5</v>
      </c>
      <c r="AQ437" s="570"/>
    </row>
    <row r="438" spans="1:54" s="584" customFormat="1" ht="12.75" customHeight="1">
      <c r="A438" s="570"/>
      <c r="B438" s="14"/>
      <c r="C438" s="1997" t="s">
        <v>600</v>
      </c>
      <c r="D438" s="1954"/>
      <c r="E438" s="753"/>
      <c r="F438" s="755" t="s">
        <v>1669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4" t="s">
        <v>1638</v>
      </c>
      <c r="AG438" s="1924"/>
      <c r="AH438" s="1924"/>
      <c r="AI438" s="1924"/>
      <c r="AJ438" s="1924"/>
      <c r="AK438" s="1924"/>
      <c r="AL438" s="2002"/>
      <c r="AM438" s="604"/>
      <c r="AN438" s="788"/>
      <c r="AO438" s="584" t="s">
        <v>1670</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1671</v>
      </c>
      <c r="AP439" s="584">
        <v>5</v>
      </c>
    </row>
    <row r="440" spans="1:54" s="584" customFormat="1" ht="12.75" customHeight="1">
      <c r="A440" s="570"/>
      <c r="B440" s="14"/>
      <c r="C440" s="774"/>
      <c r="D440" s="767"/>
      <c r="E440" s="768"/>
      <c r="F440" s="761" t="s">
        <v>1645</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1672</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1673</v>
      </c>
      <c r="AP441" s="584">
        <v>5</v>
      </c>
    </row>
    <row r="442" spans="1:54" s="584" customFormat="1" ht="12.75" customHeight="1">
      <c r="A442" s="570"/>
      <c r="B442" s="14"/>
      <c r="C442" s="2003" t="s">
        <v>600</v>
      </c>
      <c r="D442" s="2004"/>
      <c r="E442" s="749" t="s">
        <v>1674</v>
      </c>
      <c r="F442" s="2000" t="s">
        <v>1675</v>
      </c>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17" t="s">
        <v>1638</v>
      </c>
      <c r="AG442" s="2017"/>
      <c r="AH442" s="2017"/>
      <c r="AI442" s="2017"/>
      <c r="AJ442" s="2017"/>
      <c r="AK442" s="2017"/>
      <c r="AL442" s="2018"/>
      <c r="AM442" s="604"/>
      <c r="AN442" s="788"/>
      <c r="AO442" s="584" t="s">
        <v>1676</v>
      </c>
      <c r="AP442" s="584">
        <v>1</v>
      </c>
    </row>
    <row r="443" spans="1:54" s="584" customFormat="1" ht="12.75" customHeight="1">
      <c r="A443" s="570"/>
      <c r="B443" s="14"/>
      <c r="C443" s="786"/>
      <c r="D443" s="764"/>
      <c r="E443" s="753"/>
      <c r="F443" s="2001"/>
      <c r="G443" s="2001"/>
      <c r="H443" s="2001"/>
      <c r="I443" s="2001"/>
      <c r="J443" s="2001"/>
      <c r="K443" s="2001"/>
      <c r="L443" s="2001"/>
      <c r="M443" s="2001"/>
      <c r="N443" s="2001"/>
      <c r="O443" s="2001"/>
      <c r="P443" s="2001"/>
      <c r="Q443" s="2001"/>
      <c r="R443" s="2001"/>
      <c r="S443" s="2001"/>
      <c r="T443" s="2001"/>
      <c r="U443" s="2001"/>
      <c r="V443" s="2001"/>
      <c r="W443" s="2001"/>
      <c r="X443" s="2001"/>
      <c r="Y443" s="2001"/>
      <c r="Z443" s="2001"/>
      <c r="AA443" s="2001"/>
      <c r="AB443" s="2001"/>
      <c r="AC443" s="2001"/>
      <c r="AD443" s="2001"/>
      <c r="AE443" s="2001"/>
      <c r="AF443" s="625"/>
      <c r="AG443" s="625"/>
      <c r="AH443" s="625"/>
      <c r="AI443" s="625"/>
      <c r="AJ443" s="625"/>
      <c r="AK443" s="625"/>
      <c r="AL443" s="754"/>
      <c r="AM443" s="604"/>
      <c r="AN443" s="789"/>
      <c r="AS443" s="790"/>
      <c r="AW443" s="790" t="s">
        <v>1677</v>
      </c>
      <c r="BA443" s="790" t="s">
        <v>1678</v>
      </c>
    </row>
    <row r="444" spans="1:54" s="584" customFormat="1" ht="17.850000000000001" customHeight="1">
      <c r="A444" s="570"/>
      <c r="B444" s="14"/>
      <c r="C444" s="791"/>
      <c r="D444" s="757"/>
      <c r="E444" s="758"/>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2"/>
      <c r="AG444" s="762"/>
      <c r="AH444" s="762"/>
      <c r="AI444" s="762"/>
      <c r="AJ444" s="762"/>
      <c r="AK444" s="762"/>
      <c r="AL444" s="792"/>
      <c r="AM444" s="604"/>
      <c r="AN444" s="569"/>
      <c r="AO444" s="584" t="s">
        <v>600</v>
      </c>
      <c r="AP444" s="671">
        <v>0</v>
      </c>
      <c r="AR444" s="584" t="s">
        <v>600</v>
      </c>
      <c r="AS444" s="671">
        <v>0</v>
      </c>
      <c r="AT444" s="627"/>
      <c r="AW444" s="584" t="s">
        <v>600</v>
      </c>
      <c r="AX444" s="627">
        <v>0</v>
      </c>
      <c r="BA444" s="584" t="s">
        <v>600</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1679</v>
      </c>
      <c r="AS445" s="671">
        <v>3</v>
      </c>
      <c r="AT445" s="627"/>
      <c r="AW445" s="793">
        <v>0.4</v>
      </c>
      <c r="AX445" s="627">
        <v>3</v>
      </c>
      <c r="BA445" s="793">
        <v>0.4</v>
      </c>
      <c r="BB445" s="627">
        <v>4</v>
      </c>
    </row>
    <row r="446" spans="1:54" s="584" customFormat="1" ht="12.75" customHeight="1">
      <c r="A446" s="570"/>
      <c r="B446" s="14"/>
      <c r="C446" s="1997" t="s">
        <v>600</v>
      </c>
      <c r="D446" s="1954"/>
      <c r="E446" s="749" t="s">
        <v>1680</v>
      </c>
      <c r="F446" s="2000" t="s">
        <v>1681</v>
      </c>
      <c r="G446" s="2000"/>
      <c r="H446" s="2000"/>
      <c r="I446" s="2000"/>
      <c r="J446" s="2000"/>
      <c r="K446" s="2000"/>
      <c r="L446" s="2000"/>
      <c r="M446" s="2000"/>
      <c r="N446" s="2000"/>
      <c r="O446" s="2000"/>
      <c r="P446" s="2000"/>
      <c r="Q446" s="2000"/>
      <c r="R446" s="2000"/>
      <c r="S446" s="2000"/>
      <c r="T446" s="2000"/>
      <c r="U446" s="2000"/>
      <c r="V446" s="2000"/>
      <c r="W446" s="2000"/>
      <c r="X446" s="2000"/>
      <c r="Y446" s="2000"/>
      <c r="Z446" s="2000"/>
      <c r="AA446" s="2000"/>
      <c r="AB446" s="2000"/>
      <c r="AC446" s="2000"/>
      <c r="AD446" s="2000"/>
      <c r="AE446" s="2000"/>
      <c r="AF446" s="2017" t="s">
        <v>1638</v>
      </c>
      <c r="AG446" s="2017"/>
      <c r="AH446" s="2017"/>
      <c r="AI446" s="2017"/>
      <c r="AJ446" s="2017"/>
      <c r="AK446" s="2017"/>
      <c r="AL446" s="2018"/>
      <c r="AM446" s="604"/>
      <c r="AN446" s="569"/>
      <c r="AO446" s="793">
        <v>0.12</v>
      </c>
      <c r="AP446" s="671">
        <v>5</v>
      </c>
      <c r="AR446" s="584" t="s">
        <v>1682</v>
      </c>
      <c r="AS446" s="671">
        <v>5</v>
      </c>
      <c r="AT446" s="627"/>
      <c r="AW446" s="793">
        <v>0.6</v>
      </c>
      <c r="AX446" s="627">
        <v>4</v>
      </c>
      <c r="BA446" s="793">
        <v>0.6</v>
      </c>
      <c r="BB446" s="627">
        <v>5</v>
      </c>
    </row>
    <row r="447" spans="1:54" s="584" customFormat="1" ht="12.75" customHeight="1">
      <c r="A447" s="570"/>
      <c r="B447" s="14"/>
      <c r="C447" s="765"/>
      <c r="D447" s="14"/>
      <c r="E447" s="725"/>
      <c r="F447" s="2001"/>
      <c r="G447" s="2001"/>
      <c r="H447" s="2001"/>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2001"/>
      <c r="AD447" s="2001"/>
      <c r="AE447" s="2001"/>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2001"/>
      <c r="G448" s="2001"/>
      <c r="H448" s="2001"/>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2001"/>
      <c r="AD448" s="2001"/>
      <c r="AE448" s="2001"/>
      <c r="AF448" s="573"/>
      <c r="AG448" s="570"/>
      <c r="AL448" s="766"/>
      <c r="AM448" s="604"/>
      <c r="AN448" s="569"/>
      <c r="AO448" s="584" t="s">
        <v>600</v>
      </c>
      <c r="AP448" s="671">
        <v>0</v>
      </c>
      <c r="AW448" s="793"/>
      <c r="AX448" s="627"/>
    </row>
    <row r="449" spans="1:49" s="584" customFormat="1" ht="12.75" customHeight="1">
      <c r="A449" s="570"/>
      <c r="B449" s="14"/>
      <c r="C449" s="791"/>
      <c r="D449" s="757"/>
      <c r="E449" s="758"/>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1683</v>
      </c>
      <c r="F451" s="2000" t="s">
        <v>1684</v>
      </c>
      <c r="G451" s="2000"/>
      <c r="H451" s="2000"/>
      <c r="I451" s="2000"/>
      <c r="J451" s="2000"/>
      <c r="K451" s="2000"/>
      <c r="L451" s="2000"/>
      <c r="M451" s="2000"/>
      <c r="N451" s="2000"/>
      <c r="O451" s="2000"/>
      <c r="P451" s="2000"/>
      <c r="Q451" s="2000"/>
      <c r="R451" s="2000"/>
      <c r="S451" s="2000"/>
      <c r="T451" s="2000"/>
      <c r="U451" s="2000"/>
      <c r="V451" s="2000"/>
      <c r="W451" s="2000"/>
      <c r="X451" s="2000"/>
      <c r="Y451" s="2000"/>
      <c r="Z451" s="2000"/>
      <c r="AA451" s="2000"/>
      <c r="AB451" s="2000"/>
      <c r="AC451" s="2000"/>
      <c r="AD451" s="2000"/>
      <c r="AE451" s="2000"/>
      <c r="AF451" s="2000"/>
      <c r="AG451" s="778"/>
      <c r="AH451" s="748"/>
      <c r="AI451" s="748"/>
      <c r="AJ451" s="748"/>
      <c r="AK451" s="748"/>
      <c r="AL451" s="779"/>
      <c r="AM451" s="604"/>
      <c r="AN451" s="631"/>
    </row>
    <row r="452" spans="1:49" s="584" customFormat="1" ht="12.75" customHeight="1">
      <c r="A452" s="570"/>
      <c r="B452" s="14"/>
      <c r="C452" s="765"/>
      <c r="D452" s="14"/>
      <c r="E452" s="725"/>
      <c r="F452" s="2001"/>
      <c r="G452" s="2001"/>
      <c r="H452" s="2001"/>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2001"/>
      <c r="AD452" s="2001"/>
      <c r="AE452" s="2001"/>
      <c r="AF452" s="2001"/>
      <c r="AL452" s="766"/>
      <c r="AM452" s="604"/>
      <c r="AN452" s="631"/>
    </row>
    <row r="453" spans="1:49" s="584" customFormat="1" ht="12.75" customHeight="1">
      <c r="A453" s="570"/>
      <c r="B453" s="14"/>
      <c r="C453" s="773"/>
      <c r="F453" s="2001"/>
      <c r="G453" s="2001"/>
      <c r="H453" s="2001"/>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2001"/>
      <c r="AD453" s="2001"/>
      <c r="AE453" s="2001"/>
      <c r="AF453" s="2001"/>
      <c r="AL453" s="766"/>
      <c r="AM453" s="604"/>
      <c r="AN453" s="631"/>
    </row>
    <row r="454" spans="1:49" s="584" customFormat="1" ht="12.75" customHeight="1">
      <c r="A454" s="570"/>
      <c r="B454" s="14"/>
      <c r="C454" s="773"/>
      <c r="F454" s="2001"/>
      <c r="G454" s="2001"/>
      <c r="H454" s="2001"/>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2001"/>
      <c r="AD454" s="2001"/>
      <c r="AE454" s="2001"/>
      <c r="AF454" s="2001"/>
      <c r="AL454" s="766"/>
      <c r="AM454" s="604"/>
      <c r="AN454" s="631"/>
    </row>
    <row r="455" spans="1:49" s="584" customFormat="1" ht="12.75" customHeight="1">
      <c r="A455" s="570"/>
      <c r="B455" s="14"/>
      <c r="C455" s="1997" t="s">
        <v>600</v>
      </c>
      <c r="D455" s="1954"/>
      <c r="E455" s="753"/>
      <c r="F455" s="755" t="s">
        <v>1655</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98" t="s">
        <v>1638</v>
      </c>
      <c r="AG455" s="1998"/>
      <c r="AH455" s="1998"/>
      <c r="AI455" s="1998"/>
      <c r="AJ455" s="1998"/>
      <c r="AK455" s="1998"/>
      <c r="AL455" s="1999"/>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52"/>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1686</v>
      </c>
      <c r="AK458" s="1957">
        <f>IF(Application!D213="N/A",AS347,AS349)</f>
        <v>10</v>
      </c>
      <c r="AL458" s="1958"/>
      <c r="AM458" s="1959"/>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row>
    <row r="461" spans="1:49" s="584" customFormat="1" ht="12.75" hidden="1" customHeight="1">
      <c r="A461" s="573" t="s">
        <v>1687</v>
      </c>
      <c r="C461" s="573"/>
      <c r="E461" s="630"/>
      <c r="AE461" s="1998" t="s">
        <v>1688</v>
      </c>
      <c r="AF461" s="1998"/>
      <c r="AG461" s="1998"/>
      <c r="AH461" s="1998"/>
      <c r="AI461" s="1998"/>
      <c r="AJ461" s="1998"/>
      <c r="AK461" s="1998"/>
      <c r="AL461" s="625"/>
      <c r="AN461" s="631"/>
      <c r="AO461" s="584" t="s">
        <v>1666</v>
      </c>
      <c r="AP461" s="584">
        <v>5</v>
      </c>
    </row>
    <row r="462" spans="1:49" s="584" customFormat="1" ht="12.75" hidden="1" customHeight="1">
      <c r="A462" s="573"/>
      <c r="B462" s="570" t="s">
        <v>1689</v>
      </c>
      <c r="C462" s="573"/>
      <c r="E462" s="630"/>
      <c r="AE462" s="625"/>
      <c r="AF462" s="625"/>
      <c r="AG462" s="625"/>
      <c r="AH462" s="625"/>
      <c r="AI462" s="625"/>
      <c r="AJ462" s="625"/>
      <c r="AK462" s="625"/>
      <c r="AL462" s="625"/>
      <c r="AN462" s="631"/>
      <c r="AO462" s="584" t="s">
        <v>1690</v>
      </c>
      <c r="AP462" s="584">
        <v>5</v>
      </c>
    </row>
    <row r="463" spans="1:49" s="584" customFormat="1" ht="12.75" hidden="1" customHeight="1">
      <c r="A463" s="573"/>
      <c r="B463" s="573" t="s">
        <v>1691</v>
      </c>
      <c r="C463" s="573"/>
      <c r="E463" s="630"/>
      <c r="AE463" s="625"/>
      <c r="AF463" s="625"/>
      <c r="AG463" s="625"/>
      <c r="AH463" s="625"/>
      <c r="AI463" s="625"/>
      <c r="AJ463" s="625"/>
      <c r="AK463" s="625"/>
      <c r="AL463" s="625"/>
      <c r="AN463" s="631"/>
      <c r="AO463" s="584" t="s">
        <v>1668</v>
      </c>
      <c r="AP463" s="584">
        <v>5</v>
      </c>
      <c r="AQ463" s="573"/>
      <c r="AR463" s="573"/>
      <c r="AS463" s="790"/>
      <c r="AW463" s="790"/>
    </row>
    <row r="464" spans="1:49" s="584" customFormat="1" ht="12.75" hidden="1" customHeight="1">
      <c r="A464" s="573"/>
      <c r="B464" s="573" t="s">
        <v>1692</v>
      </c>
      <c r="C464" s="573"/>
      <c r="E464" s="630"/>
      <c r="AE464" s="625"/>
      <c r="AF464" s="625"/>
      <c r="AG464" s="625"/>
      <c r="AH464" s="625"/>
      <c r="AI464" s="625"/>
      <c r="AJ464" s="625"/>
      <c r="AK464" s="625"/>
      <c r="AL464" s="625"/>
      <c r="AN464" s="631"/>
      <c r="AO464" s="584" t="s">
        <v>1670</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1671</v>
      </c>
      <c r="AP465" s="584">
        <v>5</v>
      </c>
      <c r="AQ465" s="573"/>
      <c r="AR465" s="573"/>
      <c r="AW465" s="713"/>
    </row>
    <row r="466" spans="1:50" s="584" customFormat="1" ht="12.75" hidden="1" customHeight="1">
      <c r="A466" s="573"/>
      <c r="C466" s="746" t="s">
        <v>1693</v>
      </c>
      <c r="D466" s="604"/>
      <c r="AE466" s="625"/>
      <c r="AF466" s="625"/>
      <c r="AG466" s="630"/>
      <c r="AH466" s="630"/>
      <c r="AI466" s="630"/>
      <c r="AJ466" s="630"/>
      <c r="AK466" s="630"/>
      <c r="AL466" s="630"/>
      <c r="AN466" s="631"/>
      <c r="AO466" s="584" t="s">
        <v>1672</v>
      </c>
      <c r="AP466" s="584">
        <v>5</v>
      </c>
      <c r="AW466" s="713"/>
    </row>
    <row r="467" spans="1:50" s="584" customFormat="1" ht="12.75" hidden="1" customHeight="1">
      <c r="A467" s="573"/>
      <c r="C467" s="2019" t="s">
        <v>600</v>
      </c>
      <c r="D467" s="2020"/>
      <c r="E467" s="796" t="s">
        <v>516</v>
      </c>
      <c r="F467" s="2021" t="s">
        <v>1694</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1695</v>
      </c>
      <c r="AP467" s="584">
        <v>5</v>
      </c>
      <c r="AS467" s="793"/>
      <c r="AT467" s="627"/>
      <c r="AW467" s="713"/>
      <c r="AX467" s="671"/>
    </row>
    <row r="468" spans="1:50" s="584" customFormat="1" ht="12.75" hidden="1" customHeight="1">
      <c r="C468" s="797"/>
      <c r="E468" s="798"/>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1676</v>
      </c>
      <c r="AP468" s="584">
        <v>1</v>
      </c>
    </row>
    <row r="469" spans="1:50" s="584" customFormat="1" ht="12.75" hidden="1" customHeight="1">
      <c r="C469" s="799"/>
      <c r="D469" s="761"/>
      <c r="E469" s="800"/>
      <c r="F469" s="2023" t="s">
        <v>600</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1"/>
      <c r="AB469" s="692"/>
      <c r="AC469" s="692"/>
      <c r="AD469" s="761"/>
      <c r="AE469" s="761"/>
      <c r="AF469" s="761"/>
      <c r="AG469" s="802">
        <f>IF($C$467="Yes",(VLOOKUP($F$469,$AO$434:$AP$442,2,FALSE)),0)</f>
        <v>0</v>
      </c>
      <c r="AH469" s="803" t="s">
        <v>1500</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row>
    <row r="471" spans="1:50" s="584" customFormat="1" ht="12.75" hidden="1" customHeight="1">
      <c r="C471" s="2024" t="s">
        <v>554</v>
      </c>
      <c r="D471" s="2025"/>
      <c r="E471" s="796" t="s">
        <v>769</v>
      </c>
      <c r="F471" s="804" t="s">
        <v>1696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1697</v>
      </c>
      <c r="F472" s="806" t="s">
        <v>1698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1699</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1700</v>
      </c>
      <c r="G474" s="584"/>
      <c r="H474" s="584"/>
      <c r="I474" s="806"/>
      <c r="J474" s="806"/>
      <c r="K474" s="806"/>
      <c r="L474" s="806"/>
      <c r="M474" s="806"/>
      <c r="N474" s="806"/>
      <c r="O474" s="806"/>
      <c r="P474" s="806"/>
      <c r="Q474" s="806"/>
      <c r="R474" s="806"/>
      <c r="S474" s="806"/>
      <c r="T474" s="806"/>
      <c r="U474" s="806"/>
      <c r="V474" s="2031" t="s">
        <v>600</v>
      </c>
      <c r="W474" s="2031"/>
      <c r="X474" s="2031"/>
      <c r="Y474" s="806"/>
      <c r="Z474" s="806"/>
      <c r="AA474" s="806"/>
      <c r="AB474" s="806"/>
      <c r="AC474" s="806"/>
      <c r="AD474" s="643"/>
      <c r="AE474" s="643"/>
      <c r="AF474" s="643"/>
      <c r="AG474" s="647">
        <f>IF(AND($C$471="Yes",$V$476="N/A",$V$481="N/A",$V$485="N/A",$V$487="N/A"),(VLOOKUP(V474,$AR$444:$AS$446,2,FALSE)),0)</f>
        <v>0</v>
      </c>
      <c r="AH474" s="674" t="s">
        <v>1500</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1701</v>
      </c>
      <c r="G476" s="584"/>
      <c r="H476" s="584"/>
      <c r="I476" s="806"/>
      <c r="J476" s="806"/>
      <c r="K476" s="806"/>
      <c r="L476" s="806"/>
      <c r="M476" s="806"/>
      <c r="N476" s="806"/>
      <c r="O476" s="806"/>
      <c r="P476" s="806"/>
      <c r="Q476" s="806"/>
      <c r="R476" s="806"/>
      <c r="S476" s="806"/>
      <c r="T476" s="806"/>
      <c r="U476" s="806"/>
      <c r="V476" s="2031" t="s">
        <v>600</v>
      </c>
      <c r="W476" s="2031"/>
      <c r="X476" s="2031"/>
      <c r="Y476" s="806"/>
      <c r="Z476" s="806"/>
      <c r="AA476" s="806"/>
      <c r="AB476" s="806"/>
      <c r="AC476" s="806"/>
      <c r="AD476" s="643"/>
      <c r="AE476" s="643"/>
      <c r="AF476" s="643"/>
      <c r="AG476" s="647">
        <f>IF(AND($C$471="Yes",$V$474="N/A", $V$481="N/A",$V$485="N/A",$V$487="N/A"),(VLOOKUP(V476,$AO$444:$AP$446,2,FALSE)),0)</f>
        <v>0</v>
      </c>
      <c r="AH476" s="674" t="s">
        <v>1500</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0" s="584" customFormat="1" ht="12.75" hidden="1" customHeight="1">
      <c r="C478" s="797"/>
      <c r="E478" s="798"/>
      <c r="F478" s="811" t="s">
        <v>1702</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1703</v>
      </c>
      <c r="AP478" s="671">
        <v>2</v>
      </c>
    </row>
    <row r="479" spans="1:50" s="584" customFormat="1" ht="12.75" hidden="1" customHeight="1">
      <c r="C479" s="797"/>
      <c r="F479" s="643" t="s">
        <v>1704</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1705</v>
      </c>
      <c r="AP479" s="584">
        <v>2</v>
      </c>
    </row>
    <row r="480" spans="1:50" s="630" customFormat="1" ht="12.75" hidden="1" customHeight="1">
      <c r="A480" s="584"/>
      <c r="B480" s="584"/>
      <c r="C480" s="773"/>
      <c r="D480" s="604"/>
      <c r="E480" s="604"/>
      <c r="F480" s="643" t="s">
        <v>1706</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1707</v>
      </c>
      <c r="AP480" s="584">
        <v>2</v>
      </c>
    </row>
    <row r="481" spans="1:81" s="584" customFormat="1" ht="12.75" hidden="1" customHeight="1">
      <c r="C481" s="812"/>
      <c r="F481" s="810" t="s">
        <v>1708</v>
      </c>
      <c r="M481" s="798"/>
      <c r="N481" s="798"/>
      <c r="O481" s="798"/>
      <c r="P481" s="798"/>
      <c r="Q481" s="585"/>
      <c r="R481" s="585"/>
      <c r="S481" s="585"/>
      <c r="T481" s="585"/>
      <c r="U481" s="585"/>
      <c r="V481" s="2031" t="s">
        <v>600</v>
      </c>
      <c r="W481" s="2031"/>
      <c r="X481" s="2031"/>
      <c r="Y481" s="585"/>
      <c r="Z481" s="585"/>
      <c r="AA481" s="585"/>
      <c r="AB481" s="585"/>
      <c r="AC481" s="585"/>
      <c r="AG481" s="647">
        <f>IF(AND($C$471="Yes",$V$474="N/A",$V$476="N/A", $V$485="N/A",$V$487="N/A"),(VLOOKUP($V$481,$AO$448:$AP$450,2,FALSE)),0)</f>
        <v>0</v>
      </c>
      <c r="AH481" s="674" t="s">
        <v>1500</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1709</v>
      </c>
      <c r="D483" s="748"/>
      <c r="E483" s="748"/>
      <c r="F483" s="815" t="s">
        <v>1710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6"/>
      <c r="D484" s="2030"/>
      <c r="E484" s="2030"/>
      <c r="F484" s="806" t="s">
        <v>1711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1712</v>
      </c>
      <c r="AP484" s="671">
        <v>5</v>
      </c>
      <c r="AQ484" s="573"/>
    </row>
    <row r="485" spans="1:81" s="604" customFormat="1" ht="12.75" hidden="1" customHeight="1">
      <c r="A485" s="713"/>
      <c r="B485" s="584"/>
      <c r="C485" s="797"/>
      <c r="D485" s="584"/>
      <c r="E485" s="584"/>
      <c r="F485" s="817" t="s">
        <v>1700</v>
      </c>
      <c r="G485" s="584"/>
      <c r="H485" s="584"/>
      <c r="I485" s="584"/>
      <c r="J485" s="584"/>
      <c r="K485" s="584"/>
      <c r="L485" s="584"/>
      <c r="M485" s="584"/>
      <c r="N485" s="584"/>
      <c r="O485" s="584"/>
      <c r="P485" s="584"/>
      <c r="Q485" s="584"/>
      <c r="R485" s="584"/>
      <c r="S485" s="584"/>
      <c r="T485" s="584"/>
      <c r="U485" s="584"/>
      <c r="V485" s="2031" t="s">
        <v>600</v>
      </c>
      <c r="W485" s="2031"/>
      <c r="X485" s="2031"/>
      <c r="Y485" s="584"/>
      <c r="Z485" s="584"/>
      <c r="AA485" s="584"/>
      <c r="AB485" s="584"/>
      <c r="AC485" s="584"/>
      <c r="AD485" s="584"/>
      <c r="AE485" s="584"/>
      <c r="AF485" s="584"/>
      <c r="AG485" s="647">
        <f>IF(AND($C$471="Yes",$V$474="N/A",V476="N/A",$V$481="N/A",$V$487="N/A"),(VLOOKUP($V$485,$AW$444:$AX$447,2,FALSE)),0)</f>
        <v>0</v>
      </c>
      <c r="AH485" s="674" t="s">
        <v>1500</v>
      </c>
      <c r="AI485" s="585"/>
      <c r="AJ485" s="584"/>
      <c r="AK485" s="766"/>
      <c r="AL485" s="584"/>
      <c r="AM485" s="584"/>
      <c r="AN485" s="718"/>
      <c r="AO485" s="584" t="s">
        <v>1713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1701</v>
      </c>
      <c r="G487" s="801"/>
      <c r="H487" s="801"/>
      <c r="I487" s="761"/>
      <c r="J487" s="761"/>
      <c r="K487" s="761"/>
      <c r="L487" s="761"/>
      <c r="M487" s="761"/>
      <c r="N487" s="761"/>
      <c r="O487" s="761"/>
      <c r="P487" s="761"/>
      <c r="Q487" s="761"/>
      <c r="R487" s="761"/>
      <c r="S487" s="761"/>
      <c r="T487" s="761"/>
      <c r="U487" s="761"/>
      <c r="V487" s="2031" t="s">
        <v>600</v>
      </c>
      <c r="W487" s="2031"/>
      <c r="X487" s="2031"/>
      <c r="Y487" s="761"/>
      <c r="Z487" s="761"/>
      <c r="AA487" s="761"/>
      <c r="AB487" s="761"/>
      <c r="AC487" s="761"/>
      <c r="AD487" s="761"/>
      <c r="AE487" s="761"/>
      <c r="AF487" s="761"/>
      <c r="AG487" s="818">
        <f>IF(AND($C$471="Yes",$V$474="N/A",$V$476="N/A",$V$481="N/A",$V$485="N/A"),(VLOOKUP($V$487,$BA$444:$BB$446,2,FALSE)),0)</f>
        <v>0</v>
      </c>
      <c r="AH487" s="803" t="s">
        <v>1500</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1715</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2019" t="s">
        <v>600</v>
      </c>
      <c r="D490" s="2020"/>
      <c r="E490" s="796" t="s">
        <v>516</v>
      </c>
      <c r="F490" s="2021" t="s">
        <v>1694</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2026" t="s">
        <v>600</v>
      </c>
      <c r="G492" s="2026"/>
      <c r="H492" s="2026"/>
      <c r="I492" s="2026"/>
      <c r="J492" s="2026"/>
      <c r="K492" s="2026"/>
      <c r="L492" s="2026"/>
      <c r="M492" s="2026"/>
      <c r="N492" s="2026"/>
      <c r="O492" s="2026"/>
      <c r="P492" s="2026"/>
      <c r="Q492" s="2026"/>
      <c r="R492" s="2026"/>
      <c r="S492" s="2026"/>
      <c r="T492" s="2026"/>
      <c r="U492" s="2026"/>
      <c r="V492" s="2026"/>
      <c r="W492" s="2026"/>
      <c r="X492" s="2026"/>
      <c r="Y492" s="2026"/>
      <c r="Z492" s="2026"/>
      <c r="AA492" s="801"/>
      <c r="AB492" s="692"/>
      <c r="AC492" s="692"/>
      <c r="AD492" s="761"/>
      <c r="AE492" s="761"/>
      <c r="AF492" s="761"/>
      <c r="AG492" s="802">
        <f>IF($C$490="Yes",(VLOOKUP($F$492,$AO$460:$AP$468,2,FALSE)),0)</f>
        <v>0</v>
      </c>
      <c r="AH492" s="803" t="s">
        <v>1500</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9" t="s">
        <v>600</v>
      </c>
      <c r="D494" s="2020"/>
      <c r="E494" s="796" t="s">
        <v>769</v>
      </c>
      <c r="F494" s="2027" t="s">
        <v>1716</v>
      </c>
      <c r="G494" s="2027"/>
      <c r="H494" s="2027"/>
      <c r="I494" s="2027"/>
      <c r="J494" s="2027"/>
      <c r="K494" s="2027"/>
      <c r="L494" s="2027"/>
      <c r="M494" s="2027"/>
      <c r="N494" s="2027"/>
      <c r="O494" s="2027"/>
      <c r="P494" s="2027"/>
      <c r="Q494" s="2027"/>
      <c r="R494" s="2027"/>
      <c r="S494" s="2027"/>
      <c r="T494" s="2027"/>
      <c r="U494" s="2027"/>
      <c r="V494" s="2027"/>
      <c r="W494" s="2027"/>
      <c r="X494" s="2027"/>
      <c r="Y494" s="2027"/>
      <c r="Z494" s="2027"/>
      <c r="AA494" s="2027"/>
      <c r="AB494" s="2027"/>
      <c r="AC494" s="2027"/>
      <c r="AD494" s="2027"/>
      <c r="AE494" s="2027"/>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c r="AD495" s="2028"/>
      <c r="AE495" s="2028"/>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8" hidden="1" thickTop="1">
      <c r="A497" s="584"/>
      <c r="B497" s="584"/>
      <c r="C497" s="799"/>
      <c r="D497" s="761"/>
      <c r="E497" s="800"/>
      <c r="F497" s="2029" t="s">
        <v>600</v>
      </c>
      <c r="G497" s="2029"/>
      <c r="H497" s="202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1500</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8"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8" hidden="1" thickTop="1">
      <c r="A499" s="584"/>
      <c r="B499" s="584"/>
      <c r="C499" s="2019" t="s">
        <v>600</v>
      </c>
      <c r="D499" s="2020"/>
      <c r="E499" s="796" t="s">
        <v>1718</v>
      </c>
      <c r="F499" s="815" t="s">
        <v>1719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8"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8" hidden="1" thickTop="1">
      <c r="A501" s="584"/>
      <c r="B501" s="584"/>
      <c r="C501" s="2042"/>
      <c r="D501" s="2030"/>
      <c r="E501" s="807"/>
      <c r="F501" s="585" t="s">
        <v>1720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1500</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8" hidden="1" thickTop="1">
      <c r="A502" s="584"/>
      <c r="B502" s="584"/>
      <c r="C502" s="797"/>
      <c r="D502" s="584"/>
      <c r="E502" s="798"/>
      <c r="F502" s="585"/>
      <c r="G502" s="2043" t="s">
        <v>600</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8"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44" t="s">
        <v>600</v>
      </c>
      <c r="D504" s="2045"/>
      <c r="F504" s="585" t="s">
        <v>1721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1500</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8" hidden="1" thickTop="1">
      <c r="A505" s="14"/>
      <c r="B505" s="584"/>
      <c r="C505" s="816"/>
      <c r="D505" s="764"/>
      <c r="E505" s="764"/>
      <c r="F505" s="585"/>
      <c r="G505" s="585" t="s">
        <v>1722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2044" t="s">
        <v>600</v>
      </c>
      <c r="D508" s="2045"/>
      <c r="F508" s="830" t="s">
        <v>1724</v>
      </c>
      <c r="G508" s="2001" t="s">
        <v>1725</v>
      </c>
      <c r="H508" s="2001"/>
      <c r="I508" s="2001"/>
      <c r="J508" s="2001"/>
      <c r="K508" s="2001"/>
      <c r="L508" s="2001"/>
      <c r="M508" s="2001"/>
      <c r="N508" s="2001"/>
      <c r="O508" s="2001"/>
      <c r="P508" s="2001"/>
      <c r="Q508" s="2001"/>
      <c r="R508" s="2001"/>
      <c r="S508" s="2001"/>
      <c r="T508" s="2001"/>
      <c r="U508" s="2001"/>
      <c r="V508" s="2001"/>
      <c r="W508" s="2001"/>
      <c r="X508" s="2001"/>
      <c r="Y508" s="2001"/>
      <c r="Z508" s="2001"/>
      <c r="AA508" s="2001"/>
      <c r="AB508" s="2001"/>
      <c r="AC508" s="2001"/>
      <c r="AD508" s="2001"/>
      <c r="AE508" s="2001"/>
      <c r="AF508" s="2001"/>
      <c r="AG508" s="647">
        <f>IF(AND($C$508="Yes",$C$499="Yes"),2,0)</f>
        <v>0</v>
      </c>
      <c r="AH508" s="674" t="s">
        <v>1500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1726</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32" t="s">
        <v>600</v>
      </c>
      <c r="D512" s="2033"/>
      <c r="E512" s="837" t="s">
        <v>1727</v>
      </c>
      <c r="F512" s="806" t="s">
        <v>1728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1500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34" t="s">
        <v>600</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1729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1730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2426</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1731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2427</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1732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1734</v>
      </c>
      <c r="AK524" s="1957">
        <f>SUM(AG468:AG513)</f>
        <v>0</v>
      </c>
      <c r="AL524" s="1958"/>
      <c r="AM524" s="1959"/>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1735</v>
      </c>
      <c r="B527" s="573" t="s">
        <v>1736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2" t="s">
        <v>1737</v>
      </c>
      <c r="AF527" s="1892"/>
      <c r="AG527" s="1892"/>
      <c r="AH527" s="1892"/>
      <c r="AI527" s="1892"/>
      <c r="AJ527" s="1892"/>
      <c r="AK527" s="1892"/>
      <c r="AL527" s="629"/>
      <c r="AM527" s="629"/>
      <c r="AN527" s="631"/>
    </row>
    <row r="528" spans="1:81" s="584" customFormat="1" ht="12.75" customHeight="1">
      <c r="A528" s="573"/>
      <c r="B528" s="573" t="s">
        <v>1496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4" t="s">
        <v>554</v>
      </c>
      <c r="D530" s="1954"/>
      <c r="E530" s="585"/>
      <c r="F530" s="2036" t="s">
        <v>1738</v>
      </c>
      <c r="G530" s="2037"/>
      <c r="H530" s="2037"/>
      <c r="I530" s="2037"/>
      <c r="J530" s="2037"/>
      <c r="K530" s="2037"/>
      <c r="L530" s="2037"/>
      <c r="M530" s="2037"/>
      <c r="N530" s="2037"/>
      <c r="O530" s="2037"/>
      <c r="P530" s="2037"/>
      <c r="Q530" s="2037"/>
      <c r="R530" s="2037"/>
      <c r="S530" s="2037"/>
      <c r="T530" s="2037"/>
      <c r="U530" s="2037"/>
      <c r="V530" s="2037"/>
      <c r="W530" s="2037"/>
      <c r="X530" s="2037"/>
      <c r="Y530" s="2037"/>
      <c r="Z530" s="2037"/>
      <c r="AA530" s="2037"/>
      <c r="AB530" s="2037"/>
      <c r="AC530" s="2037"/>
      <c r="AD530" s="2037"/>
      <c r="AE530" s="2037"/>
      <c r="AF530" s="2037"/>
      <c r="AG530" s="2037"/>
      <c r="AH530" s="2037"/>
      <c r="AI530" s="2037"/>
      <c r="AJ530" s="2037"/>
      <c r="AK530" s="2037"/>
      <c r="AL530" s="2038"/>
      <c r="AM530" s="629"/>
      <c r="AN530" s="631"/>
    </row>
    <row r="531" spans="1:49" s="584" customFormat="1" ht="12.75" customHeight="1">
      <c r="A531" s="573"/>
      <c r="B531" s="573"/>
      <c r="C531" s="585"/>
      <c r="D531" s="585"/>
      <c r="E531" s="585"/>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40"/>
      <c r="AI531" s="2040"/>
      <c r="AJ531" s="2040"/>
      <c r="AK531" s="2040"/>
      <c r="AL531" s="2041"/>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54" t="s">
        <v>600</v>
      </c>
      <c r="D533" s="1954"/>
      <c r="E533" s="841"/>
      <c r="F533" s="678" t="s">
        <v>1739</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76" t="s">
        <v>1740</v>
      </c>
      <c r="G534" s="1977"/>
      <c r="H534" s="1977"/>
      <c r="I534" s="1977"/>
      <c r="J534" s="1977"/>
      <c r="K534" s="1977"/>
      <c r="L534" s="1977"/>
      <c r="M534" s="1977"/>
      <c r="N534" s="1977"/>
      <c r="O534" s="1977"/>
      <c r="P534" s="1977"/>
      <c r="Q534" s="1977"/>
      <c r="R534" s="1977"/>
      <c r="S534" s="1977"/>
      <c r="T534" s="1977"/>
      <c r="U534" s="1977"/>
      <c r="V534" s="1977"/>
      <c r="W534" s="1977"/>
      <c r="X534" s="1977"/>
      <c r="Y534" s="1977"/>
      <c r="Z534" s="1977"/>
      <c r="AA534" s="1977"/>
      <c r="AB534" s="1977"/>
      <c r="AC534" s="1977"/>
      <c r="AD534" s="1977"/>
      <c r="AE534" s="1977"/>
      <c r="AF534" s="1977"/>
      <c r="AG534" s="1977"/>
      <c r="AH534" s="1977"/>
      <c r="AI534" s="1977"/>
      <c r="AJ534" s="1977"/>
      <c r="AK534" s="1977"/>
      <c r="AL534" s="1978"/>
      <c r="AM534" s="629"/>
      <c r="AN534" s="631"/>
      <c r="AS534" s="905"/>
      <c r="AT534" s="905"/>
      <c r="AU534" s="905"/>
      <c r="AV534" s="905"/>
      <c r="AW534" s="905"/>
    </row>
    <row r="535" spans="1:49" s="584" customFormat="1" ht="12.75" customHeight="1">
      <c r="B535" s="841"/>
      <c r="C535" s="841"/>
      <c r="D535" s="841"/>
      <c r="E535" s="841"/>
      <c r="F535" s="1976"/>
      <c r="G535" s="1977"/>
      <c r="H535" s="1977"/>
      <c r="I535" s="1977"/>
      <c r="J535" s="1977"/>
      <c r="K535" s="1977"/>
      <c r="L535" s="1977"/>
      <c r="M535" s="1977"/>
      <c r="N535" s="1977"/>
      <c r="O535" s="1977"/>
      <c r="P535" s="1977"/>
      <c r="Q535" s="1977"/>
      <c r="R535" s="1977"/>
      <c r="S535" s="1977"/>
      <c r="T535" s="1977"/>
      <c r="U535" s="1977"/>
      <c r="V535" s="1977"/>
      <c r="W535" s="1977"/>
      <c r="X535" s="1977"/>
      <c r="Y535" s="1977"/>
      <c r="Z535" s="1977"/>
      <c r="AA535" s="1977"/>
      <c r="AB535" s="1977"/>
      <c r="AC535" s="1977"/>
      <c r="AD535" s="1977"/>
      <c r="AE535" s="1977"/>
      <c r="AF535" s="1977"/>
      <c r="AG535" s="1977"/>
      <c r="AH535" s="1977"/>
      <c r="AI535" s="1977"/>
      <c r="AJ535" s="1977"/>
      <c r="AK535" s="1977"/>
      <c r="AL535" s="1978"/>
      <c r="AM535" s="629"/>
      <c r="AN535" s="631"/>
    </row>
    <row r="536" spans="1:49" s="584" customFormat="1" ht="12.75" customHeight="1">
      <c r="B536" s="841"/>
      <c r="C536" s="841"/>
      <c r="D536" s="841"/>
      <c r="E536" s="841"/>
      <c r="F536" s="846" t="s">
        <v>2428</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76" t="s">
        <v>1741</v>
      </c>
      <c r="G537" s="1977"/>
      <c r="H537" s="1977"/>
      <c r="I537" s="1977"/>
      <c r="J537" s="1977"/>
      <c r="K537" s="1977"/>
      <c r="L537" s="1977"/>
      <c r="M537" s="1977"/>
      <c r="N537" s="1977"/>
      <c r="O537" s="1977"/>
      <c r="P537" s="1977"/>
      <c r="Q537" s="1977"/>
      <c r="R537" s="1977"/>
      <c r="S537" s="1977"/>
      <c r="T537" s="1977"/>
      <c r="U537" s="1977"/>
      <c r="V537" s="1977"/>
      <c r="W537" s="1977"/>
      <c r="X537" s="1977"/>
      <c r="Y537" s="1977"/>
      <c r="Z537" s="1977"/>
      <c r="AA537" s="1977"/>
      <c r="AB537" s="1977"/>
      <c r="AC537" s="1977"/>
      <c r="AD537" s="1977"/>
      <c r="AE537" s="1977"/>
      <c r="AF537" s="1977"/>
      <c r="AG537" s="1977"/>
      <c r="AH537" s="1977"/>
      <c r="AI537" s="1977"/>
      <c r="AJ537" s="1977"/>
      <c r="AK537" s="1977"/>
      <c r="AL537" s="848"/>
      <c r="AM537" s="629"/>
      <c r="AN537" s="631"/>
    </row>
    <row r="538" spans="1:49" s="584" customFormat="1" ht="12.75" customHeight="1">
      <c r="B538" s="841"/>
      <c r="C538" s="841"/>
      <c r="D538" s="841"/>
      <c r="E538" s="841"/>
      <c r="F538" s="1979"/>
      <c r="G538" s="1980"/>
      <c r="H538" s="1980"/>
      <c r="I538" s="1980"/>
      <c r="J538" s="1980"/>
      <c r="K538" s="1980"/>
      <c r="L538" s="1980"/>
      <c r="M538" s="1980"/>
      <c r="N538" s="1980"/>
      <c r="O538" s="1980"/>
      <c r="P538" s="1980"/>
      <c r="Q538" s="1980"/>
      <c r="R538" s="1980"/>
      <c r="S538" s="1980"/>
      <c r="T538" s="1980"/>
      <c r="U538" s="1980"/>
      <c r="V538" s="1980"/>
      <c r="W538" s="1980"/>
      <c r="X538" s="1980"/>
      <c r="Y538" s="1980"/>
      <c r="Z538" s="1980"/>
      <c r="AA538" s="1980"/>
      <c r="AB538" s="1980"/>
      <c r="AC538" s="1980"/>
      <c r="AD538" s="1980"/>
      <c r="AE538" s="1980"/>
      <c r="AF538" s="1980"/>
      <c r="AG538" s="1980"/>
      <c r="AH538" s="1980"/>
      <c r="AI538" s="1980"/>
      <c r="AJ538" s="1980"/>
      <c r="AK538" s="1980"/>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0">
        <f>Application!AJ961</f>
        <v>125506960</v>
      </c>
      <c r="AQ539" s="2100"/>
      <c r="AR539" s="2100"/>
    </row>
    <row r="540" spans="1:49" s="584" customFormat="1" ht="12.75" customHeight="1">
      <c r="A540" s="532"/>
      <c r="B540" s="481" t="s">
        <v>1742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0">
        <f>'Sources and Uses Budget'!S107+'Sources and Uses Budget'!T107</f>
        <v>141170910</v>
      </c>
      <c r="AG540" s="1960"/>
      <c r="AH540" s="1960"/>
      <c r="AI540" s="1960"/>
      <c r="AJ540" s="1960"/>
      <c r="AK540" s="629"/>
      <c r="AL540" s="629"/>
      <c r="AM540" s="629"/>
      <c r="AN540" s="631"/>
    </row>
    <row r="541" spans="1:49" s="584" customFormat="1" ht="12.75" customHeight="1">
      <c r="A541" s="659"/>
      <c r="B541" s="659" t="s">
        <v>1743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05">
        <f>IFERROR(AP548,0)</f>
        <v>290082381</v>
      </c>
      <c r="AG541" s="2105"/>
      <c r="AH541" s="2105"/>
      <c r="AI541" s="2105"/>
      <c r="AJ541" s="2105"/>
      <c r="AK541" s="629"/>
      <c r="AL541" s="629"/>
      <c r="AM541" s="629"/>
      <c r="AN541" s="631"/>
      <c r="AP541" s="2100">
        <f>Application!AJ1010</f>
        <v>31376740</v>
      </c>
      <c r="AQ541" s="2100"/>
      <c r="AR541" s="2100"/>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06">
        <f>IFERROR(ROUNDDOWN(IF(C533="YES",((1-(AF540/AF541))*2),(1-(AF540/AF541))),2),0)</f>
        <v>0.51</v>
      </c>
      <c r="AG542" s="2106"/>
      <c r="AH542" s="2106"/>
      <c r="AI542" s="2106"/>
      <c r="AJ542" s="2106"/>
      <c r="AK542" s="629"/>
      <c r="AL542" s="629"/>
      <c r="AM542" s="629"/>
      <c r="AN542" s="631"/>
      <c r="AP542" s="2103">
        <f>Application!AJ1014</f>
        <v>125506960</v>
      </c>
      <c r="AQ542" s="2103"/>
      <c r="AR542" s="2103"/>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2099">
        <f>IF(((AP541+AP542)/AP539)&gt;0.8,0.8,((AP541+AP542)/AP539))</f>
        <v>0.8</v>
      </c>
      <c r="AQ543" s="2099"/>
      <c r="AR543" s="2099"/>
    </row>
    <row r="544" spans="1:49" s="584" customFormat="1" ht="12.75" customHeight="1">
      <c r="A544" s="658"/>
      <c r="B544" s="2052" t="s">
        <v>2429</v>
      </c>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c r="AA544" s="2053"/>
      <c r="AB544" s="2053"/>
      <c r="AC544" s="2053"/>
      <c r="AD544" s="2053"/>
      <c r="AE544" s="2053"/>
      <c r="AF544" s="2053"/>
      <c r="AG544" s="2053"/>
      <c r="AH544" s="2053"/>
      <c r="AI544" s="2053"/>
      <c r="AJ544" s="2054"/>
      <c r="AK544" s="629"/>
      <c r="AL544" s="629"/>
      <c r="AM544" s="629"/>
      <c r="AN544" s="631"/>
    </row>
    <row r="545" spans="1:44" s="584" customFormat="1" ht="12.75" customHeight="1">
      <c r="A545" s="658"/>
      <c r="B545" s="2055"/>
      <c r="C545" s="2056"/>
      <c r="D545" s="2056"/>
      <c r="E545" s="2056"/>
      <c r="F545" s="2056"/>
      <c r="G545" s="2056"/>
      <c r="H545" s="2056"/>
      <c r="I545" s="2056"/>
      <c r="J545" s="2056"/>
      <c r="K545" s="2056"/>
      <c r="L545" s="2056"/>
      <c r="M545" s="2056"/>
      <c r="N545" s="2056"/>
      <c r="O545" s="2056"/>
      <c r="P545" s="2056"/>
      <c r="Q545" s="2056"/>
      <c r="R545" s="2056"/>
      <c r="S545" s="2056"/>
      <c r="T545" s="2056"/>
      <c r="U545" s="2056"/>
      <c r="V545" s="2056"/>
      <c r="W545" s="2056"/>
      <c r="X545" s="2056"/>
      <c r="Y545" s="2056"/>
      <c r="Z545" s="2056"/>
      <c r="AA545" s="2056"/>
      <c r="AB545" s="2056"/>
      <c r="AC545" s="2056"/>
      <c r="AD545" s="2056"/>
      <c r="AE545" s="2056"/>
      <c r="AF545" s="2056"/>
      <c r="AG545" s="2056"/>
      <c r="AH545" s="2056"/>
      <c r="AI545" s="2056"/>
      <c r="AJ545" s="2057"/>
      <c r="AK545" s="629"/>
      <c r="AL545" s="629"/>
      <c r="AM545" s="629"/>
      <c r="AN545" s="631"/>
      <c r="AP545" s="2100">
        <f>AP546-AP541-AP542</f>
        <v>189676813</v>
      </c>
      <c r="AQ545" s="2009"/>
      <c r="AR545" s="2009"/>
    </row>
    <row r="546" spans="1:44" s="584" customFormat="1" ht="12.75" customHeight="1">
      <c r="A546" s="658"/>
      <c r="B546" s="2058"/>
      <c r="C546" s="2059"/>
      <c r="D546" s="2059"/>
      <c r="E546" s="2059"/>
      <c r="F546" s="2059"/>
      <c r="G546" s="2059"/>
      <c r="H546" s="2059"/>
      <c r="I546" s="2059"/>
      <c r="J546" s="2059"/>
      <c r="K546" s="2059"/>
      <c r="L546" s="2059"/>
      <c r="M546" s="2059"/>
      <c r="N546" s="2059"/>
      <c r="O546" s="2059"/>
      <c r="P546" s="2059"/>
      <c r="Q546" s="2059"/>
      <c r="R546" s="2059"/>
      <c r="S546" s="2059"/>
      <c r="T546" s="2059"/>
      <c r="U546" s="2059"/>
      <c r="V546" s="2059"/>
      <c r="W546" s="2059"/>
      <c r="X546" s="2059"/>
      <c r="Y546" s="2059"/>
      <c r="Z546" s="2059"/>
      <c r="AA546" s="2059"/>
      <c r="AB546" s="2059"/>
      <c r="AC546" s="2059"/>
      <c r="AD546" s="2059"/>
      <c r="AE546" s="2059"/>
      <c r="AF546" s="2059"/>
      <c r="AG546" s="2059"/>
      <c r="AH546" s="2059"/>
      <c r="AI546" s="2059"/>
      <c r="AJ546" s="2060"/>
      <c r="AK546" s="629"/>
      <c r="AL546" s="629"/>
      <c r="AM546" s="629"/>
      <c r="AN546" s="631"/>
      <c r="AP546" s="2100">
        <f>Application!AJ1018</f>
        <v>346560513</v>
      </c>
      <c r="AQ546" s="2100"/>
      <c r="AR546" s="2100"/>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1744</v>
      </c>
      <c r="AK548" s="2061">
        <f>IFERROR(IF(AND(C530="N/A",C533="N/A"),0,IF(AF542=0,0,IF((AF542*100)&gt;12,12,(AF542*100)))),0)</f>
        <v>12</v>
      </c>
      <c r="AL548" s="2061"/>
      <c r="AM548" s="2062"/>
      <c r="AN548" s="631"/>
      <c r="AP548" s="2116">
        <f>AP545+(AP539*AP543)</f>
        <v>290082381</v>
      </c>
      <c r="AQ548" s="2117"/>
      <c r="AR548" s="2118"/>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2419</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2" t="s">
        <v>1486</v>
      </c>
      <c r="AF551" s="1892"/>
      <c r="AG551" s="1892"/>
      <c r="AH551" s="1892"/>
      <c r="AI551" s="1892"/>
      <c r="AJ551" s="1892"/>
      <c r="AK551" s="1892"/>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77" t="s">
        <v>2420</v>
      </c>
      <c r="C553" s="1977"/>
      <c r="D553" s="1977"/>
      <c r="E553" s="1977"/>
      <c r="F553" s="1977"/>
      <c r="G553" s="1977"/>
      <c r="H553" s="1977"/>
      <c r="I553" s="1977"/>
      <c r="J553" s="1977"/>
      <c r="K553" s="1977"/>
      <c r="L553" s="1977"/>
      <c r="M553" s="1977"/>
      <c r="N553" s="1977"/>
      <c r="O553" s="1977"/>
      <c r="P553" s="1977"/>
      <c r="Q553" s="1977"/>
      <c r="R553" s="1977"/>
      <c r="S553" s="1977"/>
      <c r="T553" s="1977"/>
      <c r="U553" s="1977"/>
      <c r="V553" s="1977"/>
      <c r="W553" s="1977"/>
      <c r="X553" s="1977"/>
      <c r="Y553" s="1977"/>
      <c r="Z553" s="1977"/>
      <c r="AA553" s="1977"/>
      <c r="AB553" s="1977"/>
      <c r="AC553" s="1977"/>
      <c r="AD553" s="1977"/>
      <c r="AE553" s="1977"/>
      <c r="AF553" s="1977"/>
      <c r="AG553" s="1977"/>
      <c r="AH553" s="1977"/>
      <c r="AI553" s="1977"/>
      <c r="AJ553" s="1977"/>
      <c r="AK553" s="676"/>
      <c r="AL553" s="607"/>
      <c r="AM553" s="637"/>
      <c r="AN553" s="631"/>
    </row>
    <row r="554" spans="1:44" s="584" customFormat="1" ht="12.75" customHeight="1">
      <c r="A554" s="637"/>
      <c r="B554" s="1977"/>
      <c r="C554" s="1977"/>
      <c r="D554" s="1977"/>
      <c r="E554" s="1977"/>
      <c r="F554" s="1977"/>
      <c r="G554" s="1977"/>
      <c r="H554" s="1977"/>
      <c r="I554" s="1977"/>
      <c r="J554" s="1977"/>
      <c r="K554" s="1977"/>
      <c r="L554" s="1977"/>
      <c r="M554" s="1977"/>
      <c r="N554" s="1977"/>
      <c r="O554" s="1977"/>
      <c r="P554" s="1977"/>
      <c r="Q554" s="1977"/>
      <c r="R554" s="1977"/>
      <c r="S554" s="1977"/>
      <c r="T554" s="1977"/>
      <c r="U554" s="1977"/>
      <c r="V554" s="1977"/>
      <c r="W554" s="1977"/>
      <c r="X554" s="1977"/>
      <c r="Y554" s="1977"/>
      <c r="Z554" s="1977"/>
      <c r="AA554" s="1977"/>
      <c r="AB554" s="1977"/>
      <c r="AC554" s="1977"/>
      <c r="AD554" s="1977"/>
      <c r="AE554" s="1977"/>
      <c r="AF554" s="1977"/>
      <c r="AG554" s="1977"/>
      <c r="AH554" s="1977"/>
      <c r="AI554" s="1977"/>
      <c r="AJ554" s="1977"/>
      <c r="AK554" s="676"/>
      <c r="AL554" s="607"/>
      <c r="AM554" s="637"/>
      <c r="AN554" s="631"/>
    </row>
    <row r="555" spans="1:44" s="584" customFormat="1" ht="12.75" customHeight="1">
      <c r="A555" s="637"/>
      <c r="B555" s="1977"/>
      <c r="C555" s="1977"/>
      <c r="D555" s="1977"/>
      <c r="E555" s="1977"/>
      <c r="F555" s="1977"/>
      <c r="G555" s="1977"/>
      <c r="H555" s="1977"/>
      <c r="I555" s="1977"/>
      <c r="J555" s="1977"/>
      <c r="K555" s="1977"/>
      <c r="L555" s="1977"/>
      <c r="M555" s="1977"/>
      <c r="N555" s="1977"/>
      <c r="O555" s="1977"/>
      <c r="P555" s="1977"/>
      <c r="Q555" s="1977"/>
      <c r="R555" s="1977"/>
      <c r="S555" s="1977"/>
      <c r="T555" s="1977"/>
      <c r="U555" s="1977"/>
      <c r="V555" s="1977"/>
      <c r="W555" s="1977"/>
      <c r="X555" s="1977"/>
      <c r="Y555" s="1977"/>
      <c r="Z555" s="1977"/>
      <c r="AA555" s="1977"/>
      <c r="AB555" s="1977"/>
      <c r="AC555" s="1977"/>
      <c r="AD555" s="1977"/>
      <c r="AE555" s="1977"/>
      <c r="AF555" s="1977"/>
      <c r="AG555" s="1977"/>
      <c r="AH555" s="1977"/>
      <c r="AI555" s="1977"/>
      <c r="AJ555" s="1977"/>
      <c r="AK555" s="676"/>
      <c r="AL555" s="607"/>
      <c r="AM555" s="637"/>
      <c r="AN555" s="631"/>
    </row>
    <row r="556" spans="1:44" s="584" customFormat="1" ht="12.75" customHeight="1">
      <c r="A556" s="637"/>
      <c r="B556" s="1977"/>
      <c r="C556" s="1977"/>
      <c r="D556" s="1977"/>
      <c r="E556" s="1977"/>
      <c r="F556" s="1977"/>
      <c r="G556" s="1977"/>
      <c r="H556" s="1977"/>
      <c r="I556" s="1977"/>
      <c r="J556" s="1977"/>
      <c r="K556" s="1977"/>
      <c r="L556" s="1977"/>
      <c r="M556" s="1977"/>
      <c r="N556" s="1977"/>
      <c r="O556" s="1977"/>
      <c r="P556" s="1977"/>
      <c r="Q556" s="1977"/>
      <c r="R556" s="1977"/>
      <c r="S556" s="1977"/>
      <c r="T556" s="1977"/>
      <c r="U556" s="1977"/>
      <c r="V556" s="1977"/>
      <c r="W556" s="1977"/>
      <c r="X556" s="1977"/>
      <c r="Y556" s="1977"/>
      <c r="Z556" s="1977"/>
      <c r="AA556" s="1977"/>
      <c r="AB556" s="1977"/>
      <c r="AC556" s="1977"/>
      <c r="AD556" s="1977"/>
      <c r="AE556" s="1977"/>
      <c r="AF556" s="1977"/>
      <c r="AG556" s="1977"/>
      <c r="AH556" s="1977"/>
      <c r="AI556" s="1977"/>
      <c r="AJ556" s="1977"/>
      <c r="AK556" s="676"/>
      <c r="AL556" s="607"/>
      <c r="AM556" s="637"/>
      <c r="AN556" s="631"/>
    </row>
    <row r="557" spans="1:44" s="584" customFormat="1" ht="12.75" customHeight="1">
      <c r="A557" s="637"/>
      <c r="B557" s="1977"/>
      <c r="C557" s="1977"/>
      <c r="D557" s="1977"/>
      <c r="E557" s="1977"/>
      <c r="F557" s="1977"/>
      <c r="G557" s="1977"/>
      <c r="H557" s="1977"/>
      <c r="I557" s="1977"/>
      <c r="J557" s="1977"/>
      <c r="K557" s="1977"/>
      <c r="L557" s="1977"/>
      <c r="M557" s="1977"/>
      <c r="N557" s="1977"/>
      <c r="O557" s="1977"/>
      <c r="P557" s="1977"/>
      <c r="Q557" s="1977"/>
      <c r="R557" s="1977"/>
      <c r="S557" s="1977"/>
      <c r="T557" s="1977"/>
      <c r="U557" s="1977"/>
      <c r="V557" s="1977"/>
      <c r="W557" s="1977"/>
      <c r="X557" s="1977"/>
      <c r="Y557" s="1977"/>
      <c r="Z557" s="1977"/>
      <c r="AA557" s="1977"/>
      <c r="AB557" s="1977"/>
      <c r="AC557" s="1977"/>
      <c r="AD557" s="1977"/>
      <c r="AE557" s="1977"/>
      <c r="AF557" s="1977"/>
      <c r="AG557" s="1977"/>
      <c r="AH557" s="1977"/>
      <c r="AI557" s="1977"/>
      <c r="AJ557" s="1977"/>
      <c r="AK557" s="676"/>
      <c r="AL557" s="607"/>
      <c r="AM557" s="637"/>
      <c r="AN557" s="631"/>
    </row>
    <row r="558" spans="1:44" s="584" customFormat="1" ht="12.75" customHeight="1">
      <c r="A558" s="637"/>
      <c r="B558" s="1977"/>
      <c r="C558" s="1977"/>
      <c r="D558" s="1977"/>
      <c r="E558" s="1977"/>
      <c r="F558" s="1977"/>
      <c r="G558" s="1977"/>
      <c r="H558" s="1977"/>
      <c r="I558" s="1977"/>
      <c r="J558" s="1977"/>
      <c r="K558" s="1977"/>
      <c r="L558" s="1977"/>
      <c r="M558" s="1977"/>
      <c r="N558" s="1977"/>
      <c r="O558" s="1977"/>
      <c r="P558" s="1977"/>
      <c r="Q558" s="1977"/>
      <c r="R558" s="1977"/>
      <c r="S558" s="1977"/>
      <c r="T558" s="1977"/>
      <c r="U558" s="1977"/>
      <c r="V558" s="1977"/>
      <c r="W558" s="1977"/>
      <c r="X558" s="1977"/>
      <c r="Y558" s="1977"/>
      <c r="Z558" s="1977"/>
      <c r="AA558" s="1977"/>
      <c r="AB558" s="1977"/>
      <c r="AC558" s="1977"/>
      <c r="AD558" s="1977"/>
      <c r="AE558" s="1977"/>
      <c r="AF558" s="1977"/>
      <c r="AG558" s="1977"/>
      <c r="AH558" s="1977"/>
      <c r="AI558" s="1977"/>
      <c r="AJ558" s="1977"/>
      <c r="AK558" s="676"/>
      <c r="AL558" s="607"/>
      <c r="AM558" s="637"/>
      <c r="AN558" s="631"/>
    </row>
    <row r="559" spans="1:44" s="584" customFormat="1" ht="12.75" customHeight="1">
      <c r="A559" s="637"/>
      <c r="B559" s="1977"/>
      <c r="C559" s="1977"/>
      <c r="D559" s="1977"/>
      <c r="E559" s="1977"/>
      <c r="F559" s="1977"/>
      <c r="G559" s="1977"/>
      <c r="H559" s="1977"/>
      <c r="I559" s="1977"/>
      <c r="J559" s="1977"/>
      <c r="K559" s="1977"/>
      <c r="L559" s="1977"/>
      <c r="M559" s="1977"/>
      <c r="N559" s="1977"/>
      <c r="O559" s="1977"/>
      <c r="P559" s="1977"/>
      <c r="Q559" s="1977"/>
      <c r="R559" s="1977"/>
      <c r="S559" s="1977"/>
      <c r="T559" s="1977"/>
      <c r="U559" s="1977"/>
      <c r="V559" s="1977"/>
      <c r="W559" s="1977"/>
      <c r="X559" s="1977"/>
      <c r="Y559" s="1977"/>
      <c r="Z559" s="1977"/>
      <c r="AA559" s="1977"/>
      <c r="AB559" s="1977"/>
      <c r="AC559" s="1977"/>
      <c r="AD559" s="1977"/>
      <c r="AE559" s="1977"/>
      <c r="AF559" s="1977"/>
      <c r="AG559" s="1977"/>
      <c r="AH559" s="1977"/>
      <c r="AI559" s="1977"/>
      <c r="AJ559" s="1977"/>
      <c r="AK559" s="676"/>
      <c r="AL559" s="607"/>
      <c r="AM559" s="637"/>
      <c r="AN559" s="631"/>
    </row>
    <row r="560" spans="1:44" ht="12.75" customHeight="1">
      <c r="A560" s="637"/>
      <c r="B560" s="1977"/>
      <c r="C560" s="1977"/>
      <c r="D560" s="1977"/>
      <c r="E560" s="1977"/>
      <c r="F560" s="1977"/>
      <c r="G560" s="1977"/>
      <c r="H560" s="1977"/>
      <c r="I560" s="1977"/>
      <c r="J560" s="1977"/>
      <c r="K560" s="1977"/>
      <c r="L560" s="1977"/>
      <c r="M560" s="1977"/>
      <c r="N560" s="1977"/>
      <c r="O560" s="1977"/>
      <c r="P560" s="1977"/>
      <c r="Q560" s="1977"/>
      <c r="R560" s="1977"/>
      <c r="S560" s="1977"/>
      <c r="T560" s="1977"/>
      <c r="U560" s="1977"/>
      <c r="V560" s="1977"/>
      <c r="W560" s="1977"/>
      <c r="X560" s="1977"/>
      <c r="Y560" s="1977"/>
      <c r="Z560" s="1977"/>
      <c r="AA560" s="1977"/>
      <c r="AB560" s="1977"/>
      <c r="AC560" s="1977"/>
      <c r="AD560" s="1977"/>
      <c r="AE560" s="1977"/>
      <c r="AF560" s="1977"/>
      <c r="AG560" s="1977"/>
      <c r="AH560" s="1977"/>
      <c r="AI560" s="1977"/>
      <c r="AJ560" s="1977"/>
      <c r="AK560" s="676"/>
      <c r="AL560" s="607"/>
      <c r="AM560" s="637"/>
    </row>
    <row r="561" spans="1:42" s="584" customFormat="1" ht="12.75" customHeight="1">
      <c r="B561" s="1977"/>
      <c r="C561" s="1977"/>
      <c r="D561" s="1977"/>
      <c r="E561" s="1977"/>
      <c r="F561" s="1977"/>
      <c r="G561" s="1977"/>
      <c r="H561" s="1977"/>
      <c r="I561" s="1977"/>
      <c r="J561" s="1977"/>
      <c r="K561" s="1977"/>
      <c r="L561" s="1977"/>
      <c r="M561" s="1977"/>
      <c r="N561" s="1977"/>
      <c r="O561" s="1977"/>
      <c r="P561" s="1977"/>
      <c r="Q561" s="1977"/>
      <c r="R561" s="1977"/>
      <c r="S561" s="1977"/>
      <c r="T561" s="1977"/>
      <c r="U561" s="1977"/>
      <c r="V561" s="1977"/>
      <c r="W561" s="1977"/>
      <c r="X561" s="1977"/>
      <c r="Y561" s="1977"/>
      <c r="Z561" s="1977"/>
      <c r="AA561" s="1977"/>
      <c r="AB561" s="1977"/>
      <c r="AC561" s="1977"/>
      <c r="AD561" s="1977"/>
      <c r="AE561" s="1977"/>
      <c r="AF561" s="1977"/>
      <c r="AG561" s="1977"/>
      <c r="AH561" s="1977"/>
      <c r="AI561" s="1977"/>
      <c r="AJ561" s="197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1567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3" t="s">
        <v>1958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4" t="s">
        <v>1510</v>
      </c>
      <c r="AG567" s="1924"/>
      <c r="AH567" s="1924"/>
      <c r="AI567" s="1924"/>
      <c r="AJ567" s="1924"/>
      <c r="AK567" s="1924"/>
      <c r="AL567" s="1924"/>
      <c r="AN567" s="631"/>
    </row>
    <row r="568" spans="1:42" s="584" customFormat="1" ht="12.75" customHeight="1">
      <c r="B568" s="570"/>
      <c r="C568" s="650"/>
      <c r="D568" s="697"/>
      <c r="E568" s="873" t="s">
        <v>1959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1960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1961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1962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1963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518</v>
      </c>
      <c r="E574" s="873" t="s">
        <v>1964</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1924" t="s">
        <v>1568</v>
      </c>
      <c r="AG574" s="1924"/>
      <c r="AH574" s="1924"/>
      <c r="AI574" s="1924"/>
      <c r="AJ574" s="1924"/>
      <c r="AK574" s="1924"/>
      <c r="AL574" s="1924"/>
      <c r="AN574" s="631"/>
    </row>
    <row r="575" spans="1:42" s="584" customFormat="1" ht="12.75" customHeight="1">
      <c r="B575" s="570"/>
      <c r="C575" s="969"/>
      <c r="D575" s="697"/>
      <c r="E575" s="873" t="s">
        <v>1965</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7"/>
      <c r="D576" s="697"/>
      <c r="E576" s="873" t="s">
        <v>1966</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697</v>
      </c>
      <c r="AP576" s="584">
        <v>7</v>
      </c>
    </row>
    <row r="577" spans="1:53" s="584" customFormat="1" ht="12.75" customHeight="1">
      <c r="B577" s="644"/>
      <c r="C577" s="967"/>
      <c r="D577" s="697"/>
      <c r="E577" s="873" t="s">
        <v>1968</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7"/>
      <c r="D578" s="697"/>
      <c r="E578" s="873" t="s">
        <v>1967</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280</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1569</v>
      </c>
      <c r="AP579" s="584">
        <v>4</v>
      </c>
    </row>
    <row r="580" spans="1:53" s="584" customFormat="1" ht="12.75" customHeight="1">
      <c r="B580" s="570"/>
      <c r="C580" s="967"/>
      <c r="D580" s="697" t="s">
        <v>280</v>
      </c>
      <c r="E580" s="873" t="s">
        <v>1969</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1924" t="s">
        <v>1550</v>
      </c>
      <c r="AG580" s="1924"/>
      <c r="AH580" s="1924"/>
      <c r="AI580" s="1924"/>
      <c r="AJ580" s="1924"/>
      <c r="AK580" s="1924"/>
      <c r="AL580" s="1924"/>
      <c r="AN580" s="631"/>
      <c r="AO580" s="645" t="s">
        <v>1570</v>
      </c>
      <c r="AP580" s="584">
        <v>3</v>
      </c>
    </row>
    <row r="581" spans="1:53" s="584" customFormat="1" ht="12.75" customHeight="1">
      <c r="B581" s="570"/>
      <c r="C581" s="969"/>
      <c r="D581" s="697"/>
      <c r="E581" s="873" t="s">
        <v>1965</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1966</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1968</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1967</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1569</v>
      </c>
      <c r="E586" s="873" t="s">
        <v>1970</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1924" t="s">
        <v>1571</v>
      </c>
      <c r="AG586" s="1924"/>
      <c r="AH586" s="1924"/>
      <c r="AI586" s="1924"/>
      <c r="AJ586" s="1924"/>
      <c r="AK586" s="1924"/>
      <c r="AL586" s="1924"/>
      <c r="AN586" s="631"/>
      <c r="AO586" s="584" t="str">
        <f>X623</f>
        <v>N/A</v>
      </c>
    </row>
    <row r="587" spans="1:53" s="584" customFormat="1" ht="12.75" customHeight="1">
      <c r="B587" s="570"/>
      <c r="C587" s="969"/>
      <c r="D587" s="697"/>
      <c r="E587" s="873" t="s">
        <v>1971</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1972</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2130</v>
      </c>
      <c r="O590" s="2008" t="s">
        <v>1327</v>
      </c>
      <c r="P590" s="2008"/>
      <c r="Q590" s="2008"/>
      <c r="R590" s="2008"/>
      <c r="S590" s="2008"/>
      <c r="T590" s="2008"/>
      <c r="U590" s="2008"/>
      <c r="V590" s="2008"/>
      <c r="W590" s="2008"/>
      <c r="X590" s="2008"/>
      <c r="Y590" s="2008"/>
      <c r="Z590" s="2008"/>
      <c r="AA590" s="2008"/>
      <c r="AB590" s="2008"/>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1570</v>
      </c>
      <c r="E592" s="873" t="s">
        <v>1974</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1924" t="s">
        <v>1524</v>
      </c>
      <c r="AG592" s="1924"/>
      <c r="AH592" s="1924"/>
      <c r="AI592" s="1924"/>
      <c r="AJ592" s="1924"/>
      <c r="AK592" s="1924"/>
      <c r="AL592" s="1924"/>
      <c r="AN592" s="631"/>
    </row>
    <row r="593" spans="2:47" s="584" customFormat="1" ht="12.75" customHeight="1">
      <c r="B593" s="570"/>
      <c r="C593" s="967"/>
      <c r="D593" s="697"/>
      <c r="E593" s="873" t="s">
        <v>1973</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9"/>
      <c r="D595" s="570" t="s">
        <v>1572</v>
      </c>
      <c r="E595" s="972"/>
      <c r="F595" s="972"/>
      <c r="G595" s="972"/>
      <c r="H595" s="2006" t="s">
        <v>697</v>
      </c>
      <c r="I595" s="2006"/>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518</v>
      </c>
      <c r="AP596" s="584">
        <v>2</v>
      </c>
      <c r="AT596" s="645" t="s">
        <v>518</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1975</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1976</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1977</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1978</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9"/>
      <c r="D603" s="570"/>
      <c r="E603" s="570" t="s">
        <v>1572</v>
      </c>
      <c r="F603" s="972"/>
      <c r="G603" s="972"/>
      <c r="I603" s="2007" t="s">
        <v>600</v>
      </c>
      <c r="J603" s="2007"/>
      <c r="K603" s="2007"/>
      <c r="L603" s="2007"/>
      <c r="M603" s="2007"/>
      <c r="N603" s="2007"/>
      <c r="O603" s="2007"/>
      <c r="P603" s="2007"/>
      <c r="Q603" s="2007"/>
      <c r="R603" s="2007"/>
      <c r="S603" s="2007"/>
      <c r="T603" s="2007"/>
      <c r="U603" s="2007"/>
      <c r="V603" s="2007"/>
      <c r="W603" s="2007"/>
      <c r="X603" s="2007"/>
      <c r="Y603" s="2007"/>
      <c r="Z603" s="2007"/>
      <c r="AA603" s="2007"/>
      <c r="AB603" s="2007"/>
      <c r="AC603" s="2007"/>
      <c r="AD603" s="2007"/>
      <c r="AE603" s="2007"/>
      <c r="AF603" s="570"/>
      <c r="AG603" s="570"/>
      <c r="AH603" s="570"/>
      <c r="AI603" s="570"/>
      <c r="AJ603" s="570"/>
      <c r="AK603" s="570"/>
      <c r="AL603" s="570"/>
      <c r="AN603" s="631"/>
      <c r="AO603" s="584" t="s">
        <v>1573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1574</v>
      </c>
      <c r="AP604" s="584">
        <v>2</v>
      </c>
    </row>
    <row r="605" spans="2:47" s="584" customFormat="1" ht="12.75" customHeight="1">
      <c r="B605" s="1951" t="s">
        <v>600</v>
      </c>
      <c r="C605" s="1951"/>
      <c r="D605" s="676"/>
      <c r="E605" s="1977" t="s">
        <v>1575</v>
      </c>
      <c r="F605" s="1977"/>
      <c r="G605" s="1977"/>
      <c r="H605" s="1977"/>
      <c r="I605" s="1977"/>
      <c r="J605" s="1977"/>
      <c r="K605" s="1977"/>
      <c r="L605" s="1977"/>
      <c r="M605" s="1977"/>
      <c r="N605" s="1977"/>
      <c r="O605" s="1977"/>
      <c r="P605" s="1977"/>
      <c r="Q605" s="1977"/>
      <c r="R605" s="1977"/>
      <c r="S605" s="1977"/>
      <c r="T605" s="1977"/>
      <c r="U605" s="1977"/>
      <c r="V605" s="1977"/>
      <c r="W605" s="1977"/>
      <c r="X605" s="1977"/>
      <c r="Y605" s="1977"/>
      <c r="Z605" s="1977"/>
      <c r="AA605" s="1977"/>
      <c r="AB605" s="1977"/>
      <c r="AC605" s="1977"/>
      <c r="AD605" s="1977"/>
      <c r="AE605" s="1977"/>
      <c r="AF605" s="1977"/>
      <c r="AG605" s="1977"/>
      <c r="AH605" s="676"/>
      <c r="AI605" s="676"/>
      <c r="AJ605" s="676"/>
      <c r="AK605" s="676"/>
      <c r="AL605" s="676"/>
      <c r="AN605" s="631"/>
    </row>
    <row r="606" spans="2:47" s="584" customFormat="1" ht="12.75" customHeight="1">
      <c r="B606" s="570"/>
      <c r="C606" s="969"/>
      <c r="D606" s="676"/>
      <c r="E606" s="1977"/>
      <c r="F606" s="1977"/>
      <c r="G606" s="1977"/>
      <c r="H606" s="1977"/>
      <c r="I606" s="1977"/>
      <c r="J606" s="1977"/>
      <c r="K606" s="1977"/>
      <c r="L606" s="1977"/>
      <c r="M606" s="1977"/>
      <c r="N606" s="1977"/>
      <c r="O606" s="1977"/>
      <c r="P606" s="1977"/>
      <c r="Q606" s="1977"/>
      <c r="R606" s="1977"/>
      <c r="S606" s="1977"/>
      <c r="T606" s="1977"/>
      <c r="U606" s="1977"/>
      <c r="V606" s="1977"/>
      <c r="W606" s="1977"/>
      <c r="X606" s="1977"/>
      <c r="Y606" s="1977"/>
      <c r="Z606" s="1977"/>
      <c r="AA606" s="1977"/>
      <c r="AB606" s="1977"/>
      <c r="AC606" s="1977"/>
      <c r="AD606" s="1977"/>
      <c r="AE606" s="1977"/>
      <c r="AF606" s="1977"/>
      <c r="AG606" s="1977"/>
      <c r="AH606" s="676"/>
      <c r="AI606" s="676"/>
      <c r="AJ606" s="676"/>
      <c r="AK606" s="676"/>
      <c r="AL606" s="676"/>
      <c r="AN606" s="631"/>
    </row>
    <row r="607" spans="2:47" s="584" customFormat="1" ht="12.75" customHeight="1">
      <c r="B607" s="570"/>
      <c r="C607" s="969"/>
      <c r="D607" s="676"/>
      <c r="E607" s="1977"/>
      <c r="F607" s="1977"/>
      <c r="G607" s="1977"/>
      <c r="H607" s="1977"/>
      <c r="I607" s="1977"/>
      <c r="J607" s="1977"/>
      <c r="K607" s="1977"/>
      <c r="L607" s="1977"/>
      <c r="M607" s="1977"/>
      <c r="N607" s="1977"/>
      <c r="O607" s="1977"/>
      <c r="P607" s="1977"/>
      <c r="Q607" s="1977"/>
      <c r="R607" s="1977"/>
      <c r="S607" s="1977"/>
      <c r="T607" s="1977"/>
      <c r="U607" s="1977"/>
      <c r="V607" s="1977"/>
      <c r="W607" s="1977"/>
      <c r="X607" s="1977"/>
      <c r="Y607" s="1977"/>
      <c r="Z607" s="1977"/>
      <c r="AA607" s="1977"/>
      <c r="AB607" s="1977"/>
      <c r="AC607" s="1977"/>
      <c r="AD607" s="1977"/>
      <c r="AE607" s="1977"/>
      <c r="AF607" s="1977"/>
      <c r="AG607" s="1977"/>
      <c r="AH607" s="676"/>
      <c r="AI607" s="676"/>
      <c r="AJ607" s="676"/>
      <c r="AK607" s="676"/>
      <c r="AL607" s="676"/>
      <c r="AN607" s="631"/>
    </row>
    <row r="608" spans="2:47" s="584" customFormat="1" ht="12.75" customHeight="1">
      <c r="B608" s="570"/>
      <c r="C608" s="969"/>
      <c r="D608" s="676"/>
      <c r="E608" s="1977"/>
      <c r="F608" s="1977"/>
      <c r="G608" s="1977"/>
      <c r="H608" s="1977"/>
      <c r="I608" s="1977"/>
      <c r="J608" s="1977"/>
      <c r="K608" s="1977"/>
      <c r="L608" s="1977"/>
      <c r="M608" s="1977"/>
      <c r="N608" s="1977"/>
      <c r="O608" s="1977"/>
      <c r="P608" s="1977"/>
      <c r="Q608" s="1977"/>
      <c r="R608" s="1977"/>
      <c r="S608" s="1977"/>
      <c r="T608" s="1977"/>
      <c r="U608" s="1977"/>
      <c r="V608" s="1977"/>
      <c r="W608" s="1977"/>
      <c r="X608" s="1977"/>
      <c r="Y608" s="1977"/>
      <c r="Z608" s="1977"/>
      <c r="AA608" s="1977"/>
      <c r="AB608" s="1977"/>
      <c r="AC608" s="1977"/>
      <c r="AD608" s="1977"/>
      <c r="AE608" s="1977"/>
      <c r="AF608" s="1977"/>
      <c r="AG608" s="1977"/>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1576</v>
      </c>
      <c r="AJ610" s="1957">
        <f>VLOOKUP($H$595,$AO$575:$AP$580,2,FALSE)+VLOOKUP($I$603,$AO$602:$AP$604,2,FALSE)</f>
        <v>7</v>
      </c>
      <c r="AK610" s="1959"/>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1577</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05" t="s">
        <v>1954</v>
      </c>
      <c r="F614" s="2005"/>
      <c r="G614" s="2005"/>
      <c r="H614" s="2005"/>
      <c r="I614" s="2005"/>
      <c r="J614" s="2005"/>
      <c r="K614" s="2005"/>
      <c r="L614" s="2005"/>
      <c r="M614" s="2005"/>
      <c r="N614" s="2005"/>
      <c r="O614" s="2005"/>
      <c r="P614" s="2005"/>
      <c r="Q614" s="2005"/>
      <c r="R614" s="2005"/>
      <c r="S614" s="2005"/>
      <c r="T614" s="2005"/>
      <c r="U614" s="2005"/>
      <c r="V614" s="2005"/>
      <c r="W614" s="2005"/>
      <c r="X614" s="2005"/>
      <c r="Y614" s="2005"/>
      <c r="Z614" s="2005"/>
      <c r="AA614" s="2005"/>
      <c r="AB614" s="2005"/>
      <c r="AC614" s="2005"/>
      <c r="AD614" s="2005"/>
      <c r="AE614" s="573"/>
      <c r="AF614" s="1924" t="s">
        <v>1524</v>
      </c>
      <c r="AG614" s="1924"/>
      <c r="AH614" s="1924"/>
      <c r="AI614" s="1924"/>
      <c r="AJ614" s="1924"/>
      <c r="AK614" s="1924"/>
      <c r="AL614" s="1924"/>
      <c r="AM614" s="584"/>
      <c r="AN614" s="712"/>
    </row>
    <row r="615" spans="1:42" s="584" customFormat="1" ht="12.75" customHeight="1">
      <c r="A615" s="713"/>
      <c r="B615" s="570"/>
      <c r="C615" s="969"/>
      <c r="D615" s="697"/>
      <c r="E615" s="2005"/>
      <c r="F615" s="2005"/>
      <c r="G615" s="2005"/>
      <c r="H615" s="2005"/>
      <c r="I615" s="2005"/>
      <c r="J615" s="2005"/>
      <c r="K615" s="2005"/>
      <c r="L615" s="2005"/>
      <c r="M615" s="2005"/>
      <c r="N615" s="2005"/>
      <c r="O615" s="2005"/>
      <c r="P615" s="2005"/>
      <c r="Q615" s="2005"/>
      <c r="R615" s="2005"/>
      <c r="S615" s="2005"/>
      <c r="T615" s="2005"/>
      <c r="U615" s="2005"/>
      <c r="V615" s="2005"/>
      <c r="W615" s="2005"/>
      <c r="X615" s="2005"/>
      <c r="Y615" s="2005"/>
      <c r="Z615" s="2005"/>
      <c r="AA615" s="2005"/>
      <c r="AB615" s="2005"/>
      <c r="AC615" s="2005"/>
      <c r="AD615" s="2005"/>
      <c r="AE615" s="570"/>
      <c r="AF615" s="570"/>
      <c r="AG615" s="570"/>
      <c r="AH615" s="570"/>
      <c r="AI615" s="570"/>
      <c r="AJ615" s="570"/>
      <c r="AK615" s="570"/>
      <c r="AL615" s="570"/>
      <c r="AN615" s="631"/>
    </row>
    <row r="616" spans="1:42" s="584" customFormat="1" ht="12.75" customHeight="1">
      <c r="B616" s="570"/>
      <c r="C616" s="967"/>
      <c r="D616" s="697"/>
      <c r="E616" s="2005"/>
      <c r="F616" s="2005"/>
      <c r="G616" s="2005"/>
      <c r="H616" s="2005"/>
      <c r="I616" s="2005"/>
      <c r="J616" s="2005"/>
      <c r="K616" s="2005"/>
      <c r="L616" s="2005"/>
      <c r="M616" s="2005"/>
      <c r="N616" s="2005"/>
      <c r="O616" s="2005"/>
      <c r="P616" s="2005"/>
      <c r="Q616" s="2005"/>
      <c r="R616" s="2005"/>
      <c r="S616" s="2005"/>
      <c r="T616" s="2005"/>
      <c r="U616" s="2005"/>
      <c r="V616" s="2005"/>
      <c r="W616" s="2005"/>
      <c r="X616" s="2005"/>
      <c r="Y616" s="2005"/>
      <c r="Z616" s="2005"/>
      <c r="AA616" s="2005"/>
      <c r="AB616" s="2005"/>
      <c r="AC616" s="2005"/>
      <c r="AD616" s="2005"/>
      <c r="AE616" s="570"/>
      <c r="AF616" s="570"/>
      <c r="AG616" s="570"/>
      <c r="AH616" s="570"/>
      <c r="AI616" s="570"/>
      <c r="AJ616" s="570"/>
      <c r="AK616" s="570"/>
      <c r="AL616" s="570"/>
      <c r="AN616" s="631"/>
    </row>
    <row r="617" spans="1:42" s="584" customFormat="1" ht="12.75" customHeight="1">
      <c r="B617" s="570"/>
      <c r="C617" s="967"/>
      <c r="D617" s="697"/>
      <c r="E617" s="2005"/>
      <c r="F617" s="2005"/>
      <c r="G617" s="2005"/>
      <c r="H617" s="2005"/>
      <c r="I617" s="2005"/>
      <c r="J617" s="2005"/>
      <c r="K617" s="2005"/>
      <c r="L617" s="2005"/>
      <c r="M617" s="2005"/>
      <c r="N617" s="2005"/>
      <c r="O617" s="2005"/>
      <c r="P617" s="2005"/>
      <c r="Q617" s="2005"/>
      <c r="R617" s="2005"/>
      <c r="S617" s="2005"/>
      <c r="T617" s="2005"/>
      <c r="U617" s="2005"/>
      <c r="V617" s="2005"/>
      <c r="W617" s="2005"/>
      <c r="X617" s="2005"/>
      <c r="Y617" s="2005"/>
      <c r="Z617" s="2005"/>
      <c r="AA617" s="2005"/>
      <c r="AB617" s="2005"/>
      <c r="AC617" s="2005"/>
      <c r="AD617" s="2005"/>
      <c r="AE617" s="570"/>
      <c r="AF617" s="570"/>
      <c r="AG617" s="570"/>
      <c r="AH617" s="570"/>
      <c r="AI617" s="570"/>
      <c r="AJ617" s="570"/>
      <c r="AK617" s="570"/>
      <c r="AL617" s="570"/>
      <c r="AN617" s="631"/>
    </row>
    <row r="618" spans="1:42" s="584" customFormat="1" ht="12.75" customHeight="1">
      <c r="B618" s="570"/>
      <c r="C618" s="967"/>
      <c r="D618" s="697"/>
      <c r="E618" s="2005"/>
      <c r="F618" s="2005"/>
      <c r="G618" s="2005"/>
      <c r="H618" s="2005"/>
      <c r="I618" s="2005"/>
      <c r="J618" s="2005"/>
      <c r="K618" s="2005"/>
      <c r="L618" s="2005"/>
      <c r="M618" s="2005"/>
      <c r="N618" s="2005"/>
      <c r="O618" s="2005"/>
      <c r="P618" s="2005"/>
      <c r="Q618" s="2005"/>
      <c r="R618" s="2005"/>
      <c r="S618" s="2005"/>
      <c r="T618" s="2005"/>
      <c r="U618" s="2005"/>
      <c r="V618" s="2005"/>
      <c r="W618" s="2005"/>
      <c r="X618" s="2005"/>
      <c r="Y618" s="2005"/>
      <c r="Z618" s="2005"/>
      <c r="AA618" s="2005"/>
      <c r="AB618" s="2005"/>
      <c r="AC618" s="2005"/>
      <c r="AD618" s="2005"/>
      <c r="AE618" s="570"/>
      <c r="AF618" s="570"/>
      <c r="AG618" s="570"/>
      <c r="AH618" s="570"/>
      <c r="AI618" s="570"/>
      <c r="AJ618" s="570"/>
      <c r="AK618" s="570"/>
      <c r="AL618" s="570"/>
      <c r="AN618" s="631"/>
    </row>
    <row r="619" spans="1:42" s="584" customFormat="1" ht="12.75" customHeight="1">
      <c r="B619" s="570"/>
      <c r="C619" s="967"/>
      <c r="D619" s="697"/>
      <c r="E619" s="2005"/>
      <c r="F619" s="2005"/>
      <c r="G619" s="2005"/>
      <c r="H619" s="2005"/>
      <c r="I619" s="2005"/>
      <c r="J619" s="2005"/>
      <c r="K619" s="2005"/>
      <c r="L619" s="2005"/>
      <c r="M619" s="2005"/>
      <c r="N619" s="2005"/>
      <c r="O619" s="2005"/>
      <c r="P619" s="2005"/>
      <c r="Q619" s="2005"/>
      <c r="R619" s="2005"/>
      <c r="S619" s="2005"/>
      <c r="T619" s="2005"/>
      <c r="U619" s="2005"/>
      <c r="V619" s="2005"/>
      <c r="W619" s="2005"/>
      <c r="X619" s="2005"/>
      <c r="Y619" s="2005"/>
      <c r="Z619" s="2005"/>
      <c r="AA619" s="2005"/>
      <c r="AB619" s="2005"/>
      <c r="AC619" s="2005"/>
      <c r="AD619" s="2005"/>
      <c r="AE619" s="570"/>
      <c r="AF619" s="570"/>
      <c r="AG619" s="570"/>
      <c r="AH619" s="570"/>
      <c r="AI619" s="570"/>
      <c r="AJ619" s="570"/>
      <c r="AK619" s="570"/>
      <c r="AL619" s="570"/>
      <c r="AN619" s="631"/>
    </row>
    <row r="620" spans="1:42" s="584" customFormat="1" ht="12.75" customHeight="1">
      <c r="A620" s="671"/>
      <c r="B620" s="650"/>
      <c r="C620" s="976"/>
      <c r="D620" s="697"/>
      <c r="E620" s="2005"/>
      <c r="F620" s="2005"/>
      <c r="G620" s="2005"/>
      <c r="H620" s="2005"/>
      <c r="I620" s="2005"/>
      <c r="J620" s="2005"/>
      <c r="K620" s="2005"/>
      <c r="L620" s="2005"/>
      <c r="M620" s="2005"/>
      <c r="N620" s="2005"/>
      <c r="O620" s="2005"/>
      <c r="P620" s="2005"/>
      <c r="Q620" s="2005"/>
      <c r="R620" s="2005"/>
      <c r="S620" s="2005"/>
      <c r="T620" s="2005"/>
      <c r="U620" s="2005"/>
      <c r="V620" s="2005"/>
      <c r="W620" s="2005"/>
      <c r="X620" s="2005"/>
      <c r="Y620" s="2005"/>
      <c r="Z620" s="2005"/>
      <c r="AA620" s="2005"/>
      <c r="AB620" s="2005"/>
      <c r="AC620" s="2005"/>
      <c r="AD620" s="2005"/>
      <c r="AE620" s="650"/>
      <c r="AF620" s="650"/>
      <c r="AG620" s="650"/>
      <c r="AH620" s="650"/>
      <c r="AI620" s="650"/>
      <c r="AJ620" s="650"/>
      <c r="AK620" s="570"/>
      <c r="AL620" s="570"/>
      <c r="AN620" s="631"/>
    </row>
    <row r="621" spans="1:42" s="584" customFormat="1" ht="12.75" customHeight="1">
      <c r="B621" s="650"/>
      <c r="C621" s="976"/>
      <c r="D621" s="697"/>
      <c r="E621" s="2005"/>
      <c r="F621" s="2005"/>
      <c r="G621" s="2005"/>
      <c r="H621" s="2005"/>
      <c r="I621" s="2005"/>
      <c r="J621" s="2005"/>
      <c r="K621" s="2005"/>
      <c r="L621" s="2005"/>
      <c r="M621" s="2005"/>
      <c r="N621" s="2005"/>
      <c r="O621" s="2005"/>
      <c r="P621" s="2005"/>
      <c r="Q621" s="2005"/>
      <c r="R621" s="2005"/>
      <c r="S621" s="2005"/>
      <c r="T621" s="2005"/>
      <c r="U621" s="2005"/>
      <c r="V621" s="2005"/>
      <c r="W621" s="2005"/>
      <c r="X621" s="2005"/>
      <c r="Y621" s="2005"/>
      <c r="Z621" s="2005"/>
      <c r="AA621" s="2005"/>
      <c r="AB621" s="2005"/>
      <c r="AC621" s="2005"/>
      <c r="AD621" s="2005"/>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600</v>
      </c>
      <c r="AP622" s="707">
        <v>0</v>
      </c>
    </row>
    <row r="623" spans="1:42" s="584" customFormat="1" ht="12.75" customHeight="1">
      <c r="B623" s="650"/>
      <c r="C623" s="967"/>
      <c r="D623" s="697"/>
      <c r="E623" s="650" t="s">
        <v>1578</v>
      </c>
      <c r="F623" s="977"/>
      <c r="G623" s="977"/>
      <c r="H623" s="977"/>
      <c r="I623" s="977"/>
      <c r="J623" s="977"/>
      <c r="K623" s="977"/>
      <c r="L623" s="977"/>
      <c r="M623" s="977"/>
      <c r="N623" s="977"/>
      <c r="O623" s="977"/>
      <c r="P623" s="977"/>
      <c r="Q623" s="977"/>
      <c r="R623" s="977"/>
      <c r="U623" s="977"/>
      <c r="V623" s="977"/>
      <c r="W623" s="977"/>
      <c r="X623" s="1951" t="s">
        <v>600</v>
      </c>
      <c r="Y623" s="1951"/>
      <c r="Z623" s="977"/>
      <c r="AA623" s="977"/>
      <c r="AB623" s="977"/>
      <c r="AC623" s="977"/>
      <c r="AD623" s="977"/>
      <c r="AE623" s="570"/>
      <c r="AF623" s="650"/>
      <c r="AG623" s="650"/>
      <c r="AH623" s="650"/>
      <c r="AI623" s="650"/>
      <c r="AJ623" s="650"/>
      <c r="AK623" s="570"/>
      <c r="AL623" s="570"/>
      <c r="AN623" s="631"/>
      <c r="AO623" s="645" t="s">
        <v>697</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7"/>
      <c r="D625" s="697" t="s">
        <v>518</v>
      </c>
      <c r="E625" s="589" t="s">
        <v>1579</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1924" t="s">
        <v>1580</v>
      </c>
      <c r="AG625" s="1924"/>
      <c r="AH625" s="1924"/>
      <c r="AI625" s="1924"/>
      <c r="AJ625" s="1924"/>
      <c r="AK625" s="1924"/>
      <c r="AL625" s="1924"/>
      <c r="AN625" s="631"/>
      <c r="AO625" s="645" t="s">
        <v>280</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1569</v>
      </c>
      <c r="AP626" s="714">
        <v>4</v>
      </c>
    </row>
    <row r="627" spans="1:42" s="584" customFormat="1" ht="12.75" customHeight="1">
      <c r="B627" s="570"/>
      <c r="C627" s="967"/>
      <c r="D627" s="570" t="s">
        <v>1572</v>
      </c>
      <c r="E627" s="972"/>
      <c r="F627" s="972"/>
      <c r="G627" s="972"/>
      <c r="H627" s="2006" t="s">
        <v>600</v>
      </c>
      <c r="I627" s="2006"/>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1570</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1581</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1582</v>
      </c>
      <c r="AJ629" s="1957">
        <f>VLOOKUP($H$627,$AO$594:$AP$596,2,FALSE)</f>
        <v>0</v>
      </c>
      <c r="AK629" s="1959"/>
      <c r="AL629" s="629"/>
      <c r="AN629" s="631"/>
      <c r="AO629" s="645" t="s">
        <v>1583</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1584</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697</v>
      </c>
      <c r="E633" s="1977" t="s">
        <v>2524</v>
      </c>
      <c r="F633" s="1977"/>
      <c r="G633" s="1977"/>
      <c r="H633" s="1977"/>
      <c r="I633" s="1977"/>
      <c r="J633" s="1977"/>
      <c r="K633" s="1977"/>
      <c r="L633" s="1977"/>
      <c r="M633" s="1977"/>
      <c r="N633" s="1977"/>
      <c r="O633" s="1977"/>
      <c r="P633" s="1977"/>
      <c r="Q633" s="1977"/>
      <c r="R633" s="1977"/>
      <c r="S633" s="1977"/>
      <c r="T633" s="1977"/>
      <c r="U633" s="1977"/>
      <c r="V633" s="1977"/>
      <c r="W633" s="1977"/>
      <c r="X633" s="1977"/>
      <c r="Y633" s="1977"/>
      <c r="Z633" s="1977"/>
      <c r="AA633" s="1977"/>
      <c r="AB633" s="1977"/>
      <c r="AC633" s="1977"/>
      <c r="AD633" s="1977"/>
      <c r="AE633" s="570"/>
      <c r="AF633" s="1924" t="s">
        <v>1524</v>
      </c>
      <c r="AG633" s="1924"/>
      <c r="AH633" s="1924"/>
      <c r="AI633" s="1924"/>
      <c r="AJ633" s="1924"/>
      <c r="AK633" s="1924"/>
      <c r="AL633" s="1924"/>
      <c r="AN633" s="631"/>
    </row>
    <row r="634" spans="1:42" s="584" customFormat="1" ht="12.75" customHeight="1">
      <c r="B634" s="570"/>
      <c r="C634" s="570"/>
      <c r="D634" s="697"/>
      <c r="E634" s="1977"/>
      <c r="F634" s="1977"/>
      <c r="G634" s="1977"/>
      <c r="H634" s="1977"/>
      <c r="I634" s="1977"/>
      <c r="J634" s="1977"/>
      <c r="K634" s="1977"/>
      <c r="L634" s="1977"/>
      <c r="M634" s="1977"/>
      <c r="N634" s="1977"/>
      <c r="O634" s="1977"/>
      <c r="P634" s="1977"/>
      <c r="Q634" s="1977"/>
      <c r="R634" s="1977"/>
      <c r="S634" s="1977"/>
      <c r="T634" s="1977"/>
      <c r="U634" s="1977"/>
      <c r="V634" s="1977"/>
      <c r="W634" s="1977"/>
      <c r="X634" s="1977"/>
      <c r="Y634" s="1977"/>
      <c r="Z634" s="1977"/>
      <c r="AA634" s="1977"/>
      <c r="AB634" s="1977"/>
      <c r="AC634" s="1977"/>
      <c r="AD634" s="1977"/>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518</v>
      </c>
      <c r="E636" s="650" t="s">
        <v>1585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4" t="s">
        <v>1580</v>
      </c>
      <c r="AG636" s="1924"/>
      <c r="AH636" s="1924"/>
      <c r="AI636" s="1924"/>
      <c r="AJ636" s="1924"/>
      <c r="AK636" s="1924"/>
      <c r="AL636" s="1924"/>
      <c r="AN636" s="631"/>
    </row>
    <row r="637" spans="1:42" s="584" customFormat="1" ht="12.75" customHeight="1">
      <c r="B637" s="570"/>
      <c r="C637" s="967"/>
      <c r="D637" s="697"/>
      <c r="E637" s="650" t="s">
        <v>1586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1572</v>
      </c>
      <c r="E639" s="972"/>
      <c r="F639" s="972"/>
      <c r="G639" s="972"/>
      <c r="H639" s="2006" t="s">
        <v>600</v>
      </c>
      <c r="I639" s="200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1587</v>
      </c>
      <c r="AJ641" s="1957">
        <f>VLOOKUP(H639,AT594:AU596,2,FALSE)</f>
        <v>0</v>
      </c>
      <c r="AK641" s="1959"/>
      <c r="AL641" s="629"/>
      <c r="AN641" s="631"/>
      <c r="AO641" s="584" t="s">
        <v>600</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697</v>
      </c>
      <c r="AP642" s="584">
        <v>3</v>
      </c>
    </row>
    <row r="643" spans="1:42" s="584" customFormat="1" ht="12.75" customHeight="1">
      <c r="B643" s="570"/>
      <c r="C643" s="573" t="s">
        <v>1588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518</v>
      </c>
      <c r="AP643" s="584">
        <v>2</v>
      </c>
    </row>
    <row r="644" spans="1:42" s="584" customFormat="1" ht="12.75" customHeight="1">
      <c r="B644" s="570"/>
      <c r="C644" s="573"/>
      <c r="D644" s="716" t="s">
        <v>1589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77" t="s">
        <v>1590</v>
      </c>
      <c r="F646" s="1977"/>
      <c r="G646" s="1977"/>
      <c r="H646" s="1977"/>
      <c r="I646" s="1977"/>
      <c r="J646" s="1977"/>
      <c r="K646" s="1977"/>
      <c r="L646" s="1977"/>
      <c r="M646" s="1977"/>
      <c r="N646" s="1977"/>
      <c r="O646" s="1977"/>
      <c r="P646" s="1977"/>
      <c r="Q646" s="1977"/>
      <c r="R646" s="1977"/>
      <c r="S646" s="1977"/>
      <c r="T646" s="1977"/>
      <c r="U646" s="1977"/>
      <c r="V646" s="1977"/>
      <c r="W646" s="1977"/>
      <c r="X646" s="1977"/>
      <c r="Y646" s="1977"/>
      <c r="Z646" s="1977"/>
      <c r="AA646" s="1977"/>
      <c r="AB646" s="1977"/>
      <c r="AC646" s="1977"/>
      <c r="AD646" s="570"/>
      <c r="AE646" s="570"/>
      <c r="AF646" s="1924" t="s">
        <v>1550</v>
      </c>
      <c r="AG646" s="1924"/>
      <c r="AH646" s="1924"/>
      <c r="AI646" s="1924"/>
      <c r="AJ646" s="1924"/>
      <c r="AK646" s="1924"/>
      <c r="AL646" s="1924"/>
      <c r="AN646" s="631"/>
    </row>
    <row r="647" spans="1:42" s="584" customFormat="1" ht="12.75" customHeight="1">
      <c r="B647" s="570"/>
      <c r="C647" s="573"/>
      <c r="D647" s="570"/>
      <c r="E647" s="1977"/>
      <c r="F647" s="1977"/>
      <c r="G647" s="1977"/>
      <c r="H647" s="1977"/>
      <c r="I647" s="1977"/>
      <c r="J647" s="1977"/>
      <c r="K647" s="1977"/>
      <c r="L647" s="1977"/>
      <c r="M647" s="1977"/>
      <c r="N647" s="1977"/>
      <c r="O647" s="1977"/>
      <c r="P647" s="1977"/>
      <c r="Q647" s="1977"/>
      <c r="R647" s="1977"/>
      <c r="S647" s="1977"/>
      <c r="T647" s="1977"/>
      <c r="U647" s="1977"/>
      <c r="V647" s="1977"/>
      <c r="W647" s="1977"/>
      <c r="X647" s="1977"/>
      <c r="Y647" s="1977"/>
      <c r="Z647" s="1977"/>
      <c r="AA647" s="1977"/>
      <c r="AB647" s="1977"/>
      <c r="AC647" s="1977"/>
      <c r="AD647" s="570"/>
      <c r="AE647" s="570"/>
      <c r="AF647" s="570"/>
      <c r="AG647" s="570"/>
      <c r="AH647" s="570"/>
      <c r="AI647" s="570"/>
      <c r="AJ647" s="570"/>
      <c r="AK647" s="570"/>
      <c r="AL647" s="570"/>
      <c r="AN647" s="631"/>
    </row>
    <row r="648" spans="1:42" s="584" customFormat="1" ht="12.75" customHeight="1">
      <c r="B648" s="570"/>
      <c r="C648" s="573"/>
      <c r="D648" s="697"/>
      <c r="E648" s="1977"/>
      <c r="F648" s="1977"/>
      <c r="G648" s="1977"/>
      <c r="H648" s="1977"/>
      <c r="I648" s="1977"/>
      <c r="J648" s="1977"/>
      <c r="K648" s="1977"/>
      <c r="L648" s="1977"/>
      <c r="M648" s="1977"/>
      <c r="N648" s="1977"/>
      <c r="O648" s="1977"/>
      <c r="P648" s="1977"/>
      <c r="Q648" s="1977"/>
      <c r="R648" s="1977"/>
      <c r="S648" s="1977"/>
      <c r="T648" s="1977"/>
      <c r="U648" s="1977"/>
      <c r="V648" s="1977"/>
      <c r="W648" s="1977"/>
      <c r="X648" s="1977"/>
      <c r="Y648" s="1977"/>
      <c r="Z648" s="1977"/>
      <c r="AA648" s="1977"/>
      <c r="AB648" s="1977"/>
      <c r="AC648" s="1977"/>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518</v>
      </c>
      <c r="E650" s="1977" t="s">
        <v>1591</v>
      </c>
      <c r="F650" s="1977"/>
      <c r="G650" s="1977"/>
      <c r="H650" s="1977"/>
      <c r="I650" s="1977"/>
      <c r="J650" s="1977"/>
      <c r="K650" s="1977"/>
      <c r="L650" s="1977"/>
      <c r="M650" s="1977"/>
      <c r="N650" s="1977"/>
      <c r="O650" s="1977"/>
      <c r="P650" s="1977"/>
      <c r="Q650" s="1977"/>
      <c r="R650" s="1977"/>
      <c r="S650" s="1977"/>
      <c r="T650" s="1977"/>
      <c r="U650" s="1977"/>
      <c r="V650" s="1977"/>
      <c r="W650" s="1977"/>
      <c r="X650" s="1977"/>
      <c r="Y650" s="1977"/>
      <c r="Z650" s="1977"/>
      <c r="AA650" s="1977"/>
      <c r="AB650" s="1977"/>
      <c r="AC650" s="1977"/>
      <c r="AD650" s="570"/>
      <c r="AE650" s="570"/>
      <c r="AF650" s="1924" t="s">
        <v>1571</v>
      </c>
      <c r="AG650" s="1924"/>
      <c r="AH650" s="1924"/>
      <c r="AI650" s="1924"/>
      <c r="AJ650" s="1924"/>
      <c r="AK650" s="1924"/>
      <c r="AL650" s="1924"/>
      <c r="AN650" s="631"/>
    </row>
    <row r="651" spans="1:42" s="584" customFormat="1" ht="12.75" customHeight="1">
      <c r="B651" s="570"/>
      <c r="C651" s="573"/>
      <c r="D651" s="570"/>
      <c r="E651" s="1977"/>
      <c r="F651" s="1977"/>
      <c r="G651" s="1977"/>
      <c r="H651" s="1977"/>
      <c r="I651" s="1977"/>
      <c r="J651" s="1977"/>
      <c r="K651" s="1977"/>
      <c r="L651" s="1977"/>
      <c r="M651" s="1977"/>
      <c r="N651" s="1977"/>
      <c r="O651" s="1977"/>
      <c r="P651" s="1977"/>
      <c r="Q651" s="1977"/>
      <c r="R651" s="1977"/>
      <c r="S651" s="1977"/>
      <c r="T651" s="1977"/>
      <c r="U651" s="1977"/>
      <c r="V651" s="1977"/>
      <c r="W651" s="1977"/>
      <c r="X651" s="1977"/>
      <c r="Y651" s="1977"/>
      <c r="Z651" s="1977"/>
      <c r="AA651" s="1977"/>
      <c r="AB651" s="1977"/>
      <c r="AC651" s="1977"/>
      <c r="AD651" s="570"/>
      <c r="AE651" s="570"/>
      <c r="AF651" s="570"/>
      <c r="AG651" s="570"/>
      <c r="AH651" s="570"/>
      <c r="AI651" s="570"/>
      <c r="AJ651" s="570"/>
      <c r="AK651" s="570"/>
      <c r="AL651" s="570"/>
      <c r="AN651" s="631"/>
    </row>
    <row r="652" spans="1:42" s="584" customFormat="1" ht="15" customHeight="1">
      <c r="B652" s="570"/>
      <c r="C652" s="573"/>
      <c r="D652" s="697"/>
      <c r="E652" s="1977"/>
      <c r="F652" s="1977"/>
      <c r="G652" s="1977"/>
      <c r="H652" s="1977"/>
      <c r="I652" s="1977"/>
      <c r="J652" s="1977"/>
      <c r="K652" s="1977"/>
      <c r="L652" s="1977"/>
      <c r="M652" s="1977"/>
      <c r="N652" s="1977"/>
      <c r="O652" s="1977"/>
      <c r="P652" s="1977"/>
      <c r="Q652" s="1977"/>
      <c r="R652" s="1977"/>
      <c r="S652" s="1977"/>
      <c r="T652" s="1977"/>
      <c r="U652" s="1977"/>
      <c r="V652" s="1977"/>
      <c r="W652" s="1977"/>
      <c r="X652" s="1977"/>
      <c r="Y652" s="1977"/>
      <c r="Z652" s="1977"/>
      <c r="AA652" s="1977"/>
      <c r="AB652" s="1977"/>
      <c r="AC652" s="1977"/>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280</v>
      </c>
      <c r="E654" s="1977" t="s">
        <v>1592</v>
      </c>
      <c r="F654" s="1977"/>
      <c r="G654" s="1977"/>
      <c r="H654" s="1977"/>
      <c r="I654" s="1977"/>
      <c r="J654" s="1977"/>
      <c r="K654" s="1977"/>
      <c r="L654" s="1977"/>
      <c r="M654" s="1977"/>
      <c r="N654" s="1977"/>
      <c r="O654" s="1977"/>
      <c r="P654" s="1977"/>
      <c r="Q654" s="1977"/>
      <c r="R654" s="1977"/>
      <c r="S654" s="1977"/>
      <c r="T654" s="1977"/>
      <c r="U654" s="1977"/>
      <c r="V654" s="1977"/>
      <c r="W654" s="1977"/>
      <c r="X654" s="1977"/>
      <c r="Y654" s="1977"/>
      <c r="Z654" s="1977"/>
      <c r="AA654" s="1977"/>
      <c r="AB654" s="1977"/>
      <c r="AC654" s="1977"/>
      <c r="AD654" s="570"/>
      <c r="AE654" s="570"/>
      <c r="AF654" s="1924" t="s">
        <v>1524</v>
      </c>
      <c r="AG654" s="1924"/>
      <c r="AH654" s="1924"/>
      <c r="AI654" s="1924"/>
      <c r="AJ654" s="1924"/>
      <c r="AK654" s="1924"/>
      <c r="AL654" s="1924"/>
      <c r="AN654" s="631"/>
    </row>
    <row r="655" spans="1:42" s="584" customFormat="1" ht="12.75" customHeight="1">
      <c r="B655" s="570"/>
      <c r="C655" s="967"/>
      <c r="D655" s="570"/>
      <c r="E655" s="1977"/>
      <c r="F655" s="1977"/>
      <c r="G655" s="1977"/>
      <c r="H655" s="1977"/>
      <c r="I655" s="1977"/>
      <c r="J655" s="1977"/>
      <c r="K655" s="1977"/>
      <c r="L655" s="1977"/>
      <c r="M655" s="1977"/>
      <c r="N655" s="1977"/>
      <c r="O655" s="1977"/>
      <c r="P655" s="1977"/>
      <c r="Q655" s="1977"/>
      <c r="R655" s="1977"/>
      <c r="S655" s="1977"/>
      <c r="T655" s="1977"/>
      <c r="U655" s="1977"/>
      <c r="V655" s="1977"/>
      <c r="W655" s="1977"/>
      <c r="X655" s="1977"/>
      <c r="Y655" s="1977"/>
      <c r="Z655" s="1977"/>
      <c r="AA655" s="1977"/>
      <c r="AB655" s="1977"/>
      <c r="AC655" s="1977"/>
      <c r="AD655" s="570"/>
      <c r="AE655" s="1924"/>
      <c r="AF655" s="1924"/>
      <c r="AG655" s="1924"/>
      <c r="AH655" s="1924"/>
      <c r="AI655" s="1924"/>
      <c r="AJ655" s="1924"/>
      <c r="AK655" s="1924"/>
      <c r="AL655" s="628"/>
      <c r="AN655" s="631"/>
      <c r="AO655" s="584" t="s">
        <v>600</v>
      </c>
      <c r="AP655" s="707">
        <v>0</v>
      </c>
    </row>
    <row r="656" spans="1:42" s="584" customFormat="1" ht="12.75" customHeight="1">
      <c r="A656" s="713"/>
      <c r="B656" s="570"/>
      <c r="C656" s="570"/>
      <c r="D656" s="697"/>
      <c r="E656" s="1977"/>
      <c r="F656" s="1977"/>
      <c r="G656" s="1977"/>
      <c r="H656" s="1977"/>
      <c r="I656" s="1977"/>
      <c r="J656" s="1977"/>
      <c r="K656" s="1977"/>
      <c r="L656" s="1977"/>
      <c r="M656" s="1977"/>
      <c r="N656" s="1977"/>
      <c r="O656" s="1977"/>
      <c r="P656" s="1977"/>
      <c r="Q656" s="1977"/>
      <c r="R656" s="1977"/>
      <c r="S656" s="1977"/>
      <c r="T656" s="1977"/>
      <c r="U656" s="1977"/>
      <c r="V656" s="1977"/>
      <c r="W656" s="1977"/>
      <c r="X656" s="1977"/>
      <c r="Y656" s="1977"/>
      <c r="Z656" s="1977"/>
      <c r="AA656" s="1977"/>
      <c r="AB656" s="1977"/>
      <c r="AC656" s="1977"/>
      <c r="AD656" s="570"/>
      <c r="AE656" s="570"/>
      <c r="AF656" s="570"/>
      <c r="AG656" s="570"/>
      <c r="AH656" s="570"/>
      <c r="AI656" s="570"/>
      <c r="AJ656" s="570"/>
      <c r="AK656" s="570"/>
      <c r="AL656" s="570"/>
      <c r="AN656" s="631"/>
      <c r="AO656" s="645" t="s">
        <v>697</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3"/>
      <c r="D658" s="697" t="s">
        <v>1569</v>
      </c>
      <c r="E658" s="1977" t="s">
        <v>1593</v>
      </c>
      <c r="F658" s="1977"/>
      <c r="G658" s="1977"/>
      <c r="H658" s="1977"/>
      <c r="I658" s="1977"/>
      <c r="J658" s="1977"/>
      <c r="K658" s="1977"/>
      <c r="L658" s="1977"/>
      <c r="M658" s="1977"/>
      <c r="N658" s="1977"/>
      <c r="O658" s="1977"/>
      <c r="P658" s="1977"/>
      <c r="Q658" s="1977"/>
      <c r="R658" s="1977"/>
      <c r="S658" s="1977"/>
      <c r="T658" s="1977"/>
      <c r="U658" s="1977"/>
      <c r="V658" s="1977"/>
      <c r="W658" s="1977"/>
      <c r="X658" s="1977"/>
      <c r="Y658" s="1977"/>
      <c r="Z658" s="1977"/>
      <c r="AA658" s="1977"/>
      <c r="AB658" s="1977"/>
      <c r="AC658" s="1977"/>
      <c r="AD658" s="570"/>
      <c r="AE658" s="570"/>
      <c r="AF658" s="1924" t="s">
        <v>1571</v>
      </c>
      <c r="AG658" s="1924"/>
      <c r="AH658" s="1924"/>
      <c r="AI658" s="1924"/>
      <c r="AJ658" s="1924"/>
      <c r="AK658" s="1924"/>
      <c r="AL658" s="1924"/>
      <c r="AN658" s="631"/>
    </row>
    <row r="659" spans="1:42" s="584" customFormat="1" ht="12.75" customHeight="1">
      <c r="A659" s="704"/>
      <c r="B659" s="570"/>
      <c r="C659" s="983"/>
      <c r="D659" s="697"/>
      <c r="E659" s="1977"/>
      <c r="F659" s="1977"/>
      <c r="G659" s="1977"/>
      <c r="H659" s="1977"/>
      <c r="I659" s="1977"/>
      <c r="J659" s="1977"/>
      <c r="K659" s="1977"/>
      <c r="L659" s="1977"/>
      <c r="M659" s="1977"/>
      <c r="N659" s="1977"/>
      <c r="O659" s="1977"/>
      <c r="P659" s="1977"/>
      <c r="Q659" s="1977"/>
      <c r="R659" s="1977"/>
      <c r="S659" s="1977"/>
      <c r="T659" s="1977"/>
      <c r="U659" s="1977"/>
      <c r="V659" s="1977"/>
      <c r="W659" s="1977"/>
      <c r="X659" s="1977"/>
      <c r="Y659" s="1977"/>
      <c r="Z659" s="1977"/>
      <c r="AA659" s="1977"/>
      <c r="AB659" s="1977"/>
      <c r="AC659" s="1977"/>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77"/>
      <c r="F660" s="1977"/>
      <c r="G660" s="1977"/>
      <c r="H660" s="1977"/>
      <c r="I660" s="1977"/>
      <c r="J660" s="1977"/>
      <c r="K660" s="1977"/>
      <c r="L660" s="1977"/>
      <c r="M660" s="1977"/>
      <c r="N660" s="1977"/>
      <c r="O660" s="1977"/>
      <c r="P660" s="1977"/>
      <c r="Q660" s="1977"/>
      <c r="R660" s="1977"/>
      <c r="S660" s="1977"/>
      <c r="T660" s="1977"/>
      <c r="U660" s="1977"/>
      <c r="V660" s="1977"/>
      <c r="W660" s="1977"/>
      <c r="X660" s="1977"/>
      <c r="Y660" s="1977"/>
      <c r="Z660" s="1977"/>
      <c r="AA660" s="1977"/>
      <c r="AB660" s="1977"/>
      <c r="AC660" s="1977"/>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1570</v>
      </c>
      <c r="E662" s="1977" t="s">
        <v>1594</v>
      </c>
      <c r="F662" s="1977"/>
      <c r="G662" s="1977"/>
      <c r="H662" s="1977"/>
      <c r="I662" s="1977"/>
      <c r="J662" s="1977"/>
      <c r="K662" s="1977"/>
      <c r="L662" s="1977"/>
      <c r="M662" s="1977"/>
      <c r="N662" s="1977"/>
      <c r="O662" s="1977"/>
      <c r="P662" s="1977"/>
      <c r="Q662" s="1977"/>
      <c r="R662" s="1977"/>
      <c r="S662" s="1977"/>
      <c r="T662" s="1977"/>
      <c r="U662" s="1977"/>
      <c r="V662" s="1977"/>
      <c r="W662" s="1977"/>
      <c r="X662" s="1977"/>
      <c r="Y662" s="1977"/>
      <c r="Z662" s="1977"/>
      <c r="AA662" s="1977"/>
      <c r="AB662" s="1977"/>
      <c r="AC662" s="1977"/>
      <c r="AD662" s="570"/>
      <c r="AE662" s="570"/>
      <c r="AF662" s="1924" t="s">
        <v>1524</v>
      </c>
      <c r="AG662" s="1924"/>
      <c r="AH662" s="1924"/>
      <c r="AI662" s="1924"/>
      <c r="AJ662" s="1924"/>
      <c r="AK662" s="1924"/>
      <c r="AL662" s="1924"/>
      <c r="AM662" s="630"/>
      <c r="AN662" s="631"/>
    </row>
    <row r="663" spans="1:42" s="584" customFormat="1" ht="12.75" customHeight="1">
      <c r="B663" s="570"/>
      <c r="C663" s="967"/>
      <c r="D663" s="697"/>
      <c r="E663" s="1977"/>
      <c r="F663" s="1977"/>
      <c r="G663" s="1977"/>
      <c r="H663" s="1977"/>
      <c r="I663" s="1977"/>
      <c r="J663" s="1977"/>
      <c r="K663" s="1977"/>
      <c r="L663" s="1977"/>
      <c r="M663" s="1977"/>
      <c r="N663" s="1977"/>
      <c r="O663" s="1977"/>
      <c r="P663" s="1977"/>
      <c r="Q663" s="1977"/>
      <c r="R663" s="1977"/>
      <c r="S663" s="1977"/>
      <c r="T663" s="1977"/>
      <c r="U663" s="1977"/>
      <c r="V663" s="1977"/>
      <c r="W663" s="1977"/>
      <c r="X663" s="1977"/>
      <c r="Y663" s="1977"/>
      <c r="Z663" s="1977"/>
      <c r="AA663" s="1977"/>
      <c r="AB663" s="1977"/>
      <c r="AC663" s="1977"/>
      <c r="AD663" s="570"/>
      <c r="AE663" s="570"/>
      <c r="AF663" s="570"/>
      <c r="AG663" s="570"/>
      <c r="AH663" s="570"/>
      <c r="AI663" s="570"/>
      <c r="AJ663" s="570"/>
      <c r="AK663" s="570"/>
      <c r="AL663" s="570"/>
      <c r="AM663" s="630"/>
      <c r="AN663" s="631"/>
    </row>
    <row r="664" spans="1:42" s="584" customFormat="1" ht="12.75" customHeight="1">
      <c r="B664" s="570"/>
      <c r="C664" s="967"/>
      <c r="D664" s="697"/>
      <c r="E664" s="1977"/>
      <c r="F664" s="1977"/>
      <c r="G664" s="1977"/>
      <c r="H664" s="1977"/>
      <c r="I664" s="1977"/>
      <c r="J664" s="1977"/>
      <c r="K664" s="1977"/>
      <c r="L664" s="1977"/>
      <c r="M664" s="1977"/>
      <c r="N664" s="1977"/>
      <c r="O664" s="1977"/>
      <c r="P664" s="1977"/>
      <c r="Q664" s="1977"/>
      <c r="R664" s="1977"/>
      <c r="S664" s="1977"/>
      <c r="T664" s="1977"/>
      <c r="U664" s="1977"/>
      <c r="V664" s="1977"/>
      <c r="W664" s="1977"/>
      <c r="X664" s="1977"/>
      <c r="Y664" s="1977"/>
      <c r="Z664" s="1977"/>
      <c r="AA664" s="1977"/>
      <c r="AB664" s="1977"/>
      <c r="AC664" s="1977"/>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1581</v>
      </c>
      <c r="E666" s="1977" t="s">
        <v>1595</v>
      </c>
      <c r="F666" s="1977"/>
      <c r="G666" s="1977"/>
      <c r="H666" s="1977"/>
      <c r="I666" s="1977"/>
      <c r="J666" s="1977"/>
      <c r="K666" s="1977"/>
      <c r="L666" s="1977"/>
      <c r="M666" s="1977"/>
      <c r="N666" s="1977"/>
      <c r="O666" s="1977"/>
      <c r="P666" s="1977"/>
      <c r="Q666" s="1977"/>
      <c r="R666" s="1977"/>
      <c r="S666" s="1977"/>
      <c r="T666" s="1977"/>
      <c r="U666" s="1977"/>
      <c r="V666" s="1977"/>
      <c r="W666" s="1977"/>
      <c r="X666" s="1977"/>
      <c r="Y666" s="1977"/>
      <c r="Z666" s="1977"/>
      <c r="AA666" s="1977"/>
      <c r="AB666" s="1977"/>
      <c r="AC666" s="1977"/>
      <c r="AD666" s="570"/>
      <c r="AE666" s="570"/>
      <c r="AF666" s="1924" t="s">
        <v>1580</v>
      </c>
      <c r="AG666" s="1924"/>
      <c r="AH666" s="1924"/>
      <c r="AI666" s="1924"/>
      <c r="AJ666" s="1924"/>
      <c r="AK666" s="1924"/>
      <c r="AL666" s="1924"/>
      <c r="AM666" s="630"/>
      <c r="AN666" s="631"/>
    </row>
    <row r="667" spans="1:42" s="584" customFormat="1" ht="12.75" customHeight="1">
      <c r="A667" s="713"/>
      <c r="B667" s="570"/>
      <c r="C667" s="967"/>
      <c r="D667" s="697"/>
      <c r="E667" s="1977"/>
      <c r="F667" s="1977"/>
      <c r="G667" s="1977"/>
      <c r="H667" s="1977"/>
      <c r="I667" s="1977"/>
      <c r="J667" s="1977"/>
      <c r="K667" s="1977"/>
      <c r="L667" s="1977"/>
      <c r="M667" s="1977"/>
      <c r="N667" s="1977"/>
      <c r="O667" s="1977"/>
      <c r="P667" s="1977"/>
      <c r="Q667" s="1977"/>
      <c r="R667" s="1977"/>
      <c r="S667" s="1977"/>
      <c r="T667" s="1977"/>
      <c r="U667" s="1977"/>
      <c r="V667" s="1977"/>
      <c r="W667" s="1977"/>
      <c r="X667" s="1977"/>
      <c r="Y667" s="1977"/>
      <c r="Z667" s="1977"/>
      <c r="AA667" s="1977"/>
      <c r="AB667" s="1977"/>
      <c r="AC667" s="1977"/>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77"/>
      <c r="F668" s="1977"/>
      <c r="G668" s="1977"/>
      <c r="H668" s="1977"/>
      <c r="I668" s="1977"/>
      <c r="J668" s="1977"/>
      <c r="K668" s="1977"/>
      <c r="L668" s="1977"/>
      <c r="M668" s="1977"/>
      <c r="N668" s="1977"/>
      <c r="O668" s="1977"/>
      <c r="P668" s="1977"/>
      <c r="Q668" s="1977"/>
      <c r="R668" s="1977"/>
      <c r="S668" s="1977"/>
      <c r="T668" s="1977"/>
      <c r="U668" s="1977"/>
      <c r="V668" s="1977"/>
      <c r="W668" s="1977"/>
      <c r="X668" s="1977"/>
      <c r="Y668" s="1977"/>
      <c r="Z668" s="1977"/>
      <c r="AA668" s="1977"/>
      <c r="AB668" s="1977"/>
      <c r="AC668" s="1977"/>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7"/>
      <c r="D670" s="697" t="s">
        <v>1583</v>
      </c>
      <c r="E670" s="1977" t="s">
        <v>1596</v>
      </c>
      <c r="F670" s="1977"/>
      <c r="G670" s="1977"/>
      <c r="H670" s="1977"/>
      <c r="I670" s="1977"/>
      <c r="J670" s="1977"/>
      <c r="K670" s="1977"/>
      <c r="L670" s="1977"/>
      <c r="M670" s="1977"/>
      <c r="N670" s="1977"/>
      <c r="O670" s="1977"/>
      <c r="P670" s="1977"/>
      <c r="Q670" s="1977"/>
      <c r="R670" s="1977"/>
      <c r="S670" s="1977"/>
      <c r="T670" s="1977"/>
      <c r="U670" s="1977"/>
      <c r="V670" s="1977"/>
      <c r="W670" s="1977"/>
      <c r="X670" s="1977"/>
      <c r="Y670" s="1977"/>
      <c r="Z670" s="1977"/>
      <c r="AA670" s="1977"/>
      <c r="AB670" s="1977"/>
      <c r="AC670" s="1977"/>
      <c r="AD670" s="570"/>
      <c r="AE670" s="570"/>
      <c r="AF670" s="1924" t="s">
        <v>1597</v>
      </c>
      <c r="AG670" s="1924"/>
      <c r="AH670" s="1924"/>
      <c r="AI670" s="1924"/>
      <c r="AJ670" s="1924"/>
      <c r="AK670" s="1924"/>
      <c r="AL670" s="1924"/>
      <c r="AM670" s="630"/>
      <c r="AN670" s="631"/>
      <c r="AO670" s="645" t="s">
        <v>697</v>
      </c>
      <c r="AP670" s="584">
        <v>3</v>
      </c>
    </row>
    <row r="671" spans="1:42" s="584" customFormat="1" ht="12.75" customHeight="1">
      <c r="A671" s="713"/>
      <c r="B671" s="570"/>
      <c r="C671" s="967"/>
      <c r="D671" s="697"/>
      <c r="E671" s="1977"/>
      <c r="F671" s="1977"/>
      <c r="G671" s="1977"/>
      <c r="H671" s="1977"/>
      <c r="I671" s="1977"/>
      <c r="J671" s="1977"/>
      <c r="K671" s="1977"/>
      <c r="L671" s="1977"/>
      <c r="M671" s="1977"/>
      <c r="N671" s="1977"/>
      <c r="O671" s="1977"/>
      <c r="P671" s="1977"/>
      <c r="Q671" s="1977"/>
      <c r="R671" s="1977"/>
      <c r="S671" s="1977"/>
      <c r="T671" s="1977"/>
      <c r="U671" s="1977"/>
      <c r="V671" s="1977"/>
      <c r="W671" s="1977"/>
      <c r="X671" s="1977"/>
      <c r="Y671" s="1977"/>
      <c r="Z671" s="1977"/>
      <c r="AA671" s="1977"/>
      <c r="AB671" s="1977"/>
      <c r="AC671" s="197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7"/>
      <c r="D672" s="697"/>
      <c r="E672" s="1977"/>
      <c r="F672" s="1977"/>
      <c r="G672" s="1977"/>
      <c r="H672" s="1977"/>
      <c r="I672" s="1977"/>
      <c r="J672" s="1977"/>
      <c r="K672" s="1977"/>
      <c r="L672" s="1977"/>
      <c r="M672" s="1977"/>
      <c r="N672" s="1977"/>
      <c r="O672" s="1977"/>
      <c r="P672" s="1977"/>
      <c r="Q672" s="1977"/>
      <c r="R672" s="1977"/>
      <c r="S672" s="1977"/>
      <c r="T672" s="1977"/>
      <c r="U672" s="1977"/>
      <c r="V672" s="1977"/>
      <c r="W672" s="1977"/>
      <c r="X672" s="1977"/>
      <c r="Y672" s="1977"/>
      <c r="Z672" s="1977"/>
      <c r="AA672" s="1977"/>
      <c r="AB672" s="1977"/>
      <c r="AC672" s="1977"/>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1572</v>
      </c>
      <c r="E674" s="972"/>
      <c r="F674" s="972"/>
      <c r="G674" s="972"/>
      <c r="H674" s="2006" t="s">
        <v>697</v>
      </c>
      <c r="I674" s="200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1598</v>
      </c>
      <c r="AJ676" s="1957">
        <f>VLOOKUP($H$674,$AO$622:$AP$629,2,FALSE)</f>
        <v>5</v>
      </c>
      <c r="AK676" s="1959"/>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2563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697</v>
      </c>
      <c r="E680" s="1977" t="s">
        <v>2561</v>
      </c>
      <c r="F680" s="1977"/>
      <c r="G680" s="1977"/>
      <c r="H680" s="1977"/>
      <c r="I680" s="1977"/>
      <c r="J680" s="1977"/>
      <c r="K680" s="1977"/>
      <c r="L680" s="1977"/>
      <c r="M680" s="1977"/>
      <c r="N680" s="1977"/>
      <c r="O680" s="1977"/>
      <c r="P680" s="1977"/>
      <c r="Q680" s="1977"/>
      <c r="R680" s="1977"/>
      <c r="S680" s="1977"/>
      <c r="T680" s="1977"/>
      <c r="U680" s="1977"/>
      <c r="V680" s="1977"/>
      <c r="W680" s="1977"/>
      <c r="X680" s="1977"/>
      <c r="Y680" s="1977"/>
      <c r="Z680" s="1977"/>
      <c r="AA680" s="1977"/>
      <c r="AB680" s="1977"/>
      <c r="AC680" s="570"/>
      <c r="AD680" s="570"/>
      <c r="AE680" s="570"/>
      <c r="AF680" s="1924" t="s">
        <v>1524</v>
      </c>
      <c r="AG680" s="1924"/>
      <c r="AH680" s="1924"/>
      <c r="AI680" s="1924"/>
      <c r="AJ680" s="1924"/>
      <c r="AK680" s="1924"/>
      <c r="AL680" s="1924"/>
      <c r="AN680" s="631"/>
    </row>
    <row r="681" spans="1:42" s="584" customFormat="1" ht="12.75" customHeight="1">
      <c r="B681" s="570"/>
      <c r="C681" s="976"/>
      <c r="D681" s="697"/>
      <c r="E681" s="1977"/>
      <c r="F681" s="1977"/>
      <c r="G681" s="1977"/>
      <c r="H681" s="1977"/>
      <c r="I681" s="1977"/>
      <c r="J681" s="1977"/>
      <c r="K681" s="1977"/>
      <c r="L681" s="1977"/>
      <c r="M681" s="1977"/>
      <c r="N681" s="1977"/>
      <c r="O681" s="1977"/>
      <c r="P681" s="1977"/>
      <c r="Q681" s="1977"/>
      <c r="R681" s="1977"/>
      <c r="S681" s="1977"/>
      <c r="T681" s="1977"/>
      <c r="U681" s="1977"/>
      <c r="V681" s="1977"/>
      <c r="W681" s="1977"/>
      <c r="X681" s="1977"/>
      <c r="Y681" s="1977"/>
      <c r="Z681" s="1977"/>
      <c r="AA681" s="1977"/>
      <c r="AB681" s="1977"/>
      <c r="AC681" s="570"/>
      <c r="AD681" s="570"/>
      <c r="AE681" s="650"/>
      <c r="AF681" s="570"/>
      <c r="AG681" s="570"/>
      <c r="AH681" s="570"/>
      <c r="AI681" s="570"/>
      <c r="AJ681" s="570"/>
      <c r="AK681" s="570"/>
      <c r="AL681" s="570"/>
      <c r="AN681" s="631"/>
      <c r="AO681" s="2009"/>
      <c r="AP681" s="2009"/>
    </row>
    <row r="682" spans="1:42" s="584" customFormat="1" ht="12.75" customHeight="1">
      <c r="B682" s="570"/>
      <c r="C682" s="976"/>
      <c r="D682" s="697"/>
      <c r="E682" s="1977"/>
      <c r="F682" s="1977"/>
      <c r="G682" s="1977"/>
      <c r="H682" s="1977"/>
      <c r="I682" s="1977"/>
      <c r="J682" s="1977"/>
      <c r="K682" s="1977"/>
      <c r="L682" s="1977"/>
      <c r="M682" s="1977"/>
      <c r="N682" s="1977"/>
      <c r="O682" s="1977"/>
      <c r="P682" s="1977"/>
      <c r="Q682" s="1977"/>
      <c r="R682" s="1977"/>
      <c r="S682" s="1977"/>
      <c r="T682" s="1977"/>
      <c r="U682" s="1977"/>
      <c r="V682" s="1977"/>
      <c r="W682" s="1977"/>
      <c r="X682" s="1977"/>
      <c r="Y682" s="1977"/>
      <c r="Z682" s="1977"/>
      <c r="AA682" s="1977"/>
      <c r="AB682" s="1977"/>
      <c r="AC682" s="570"/>
      <c r="AD682" s="570"/>
      <c r="AE682" s="650"/>
      <c r="AF682" s="650"/>
      <c r="AG682" s="650"/>
      <c r="AH682" s="650"/>
      <c r="AI682" s="650"/>
      <c r="AJ682" s="650"/>
      <c r="AK682" s="650"/>
      <c r="AL682" s="650"/>
      <c r="AN682" s="631"/>
    </row>
    <row r="683" spans="1:42" s="584" customFormat="1" ht="28.5" customHeight="1">
      <c r="B683" s="570"/>
      <c r="C683" s="976"/>
      <c r="D683" s="697"/>
      <c r="E683" s="1977"/>
      <c r="F683" s="1977"/>
      <c r="G683" s="1977"/>
      <c r="H683" s="1977"/>
      <c r="I683" s="1977"/>
      <c r="J683" s="1977"/>
      <c r="K683" s="1977"/>
      <c r="L683" s="1977"/>
      <c r="M683" s="1977"/>
      <c r="N683" s="1977"/>
      <c r="O683" s="1977"/>
      <c r="P683" s="1977"/>
      <c r="Q683" s="1977"/>
      <c r="R683" s="1977"/>
      <c r="S683" s="1977"/>
      <c r="T683" s="1977"/>
      <c r="U683" s="1977"/>
      <c r="V683" s="1977"/>
      <c r="W683" s="1977"/>
      <c r="X683" s="1977"/>
      <c r="Y683" s="1977"/>
      <c r="Z683" s="1977"/>
      <c r="AA683" s="1977"/>
      <c r="AB683" s="1977"/>
      <c r="AC683" s="570"/>
      <c r="AD683" s="570"/>
      <c r="AE683" s="650"/>
      <c r="AF683" s="650"/>
      <c r="AG683" s="650"/>
      <c r="AH683" s="650"/>
      <c r="AI683" s="650"/>
      <c r="AJ683" s="650"/>
      <c r="AK683" s="650"/>
      <c r="AL683" s="650"/>
      <c r="AN683" s="631"/>
      <c r="AO683" s="584" t="s">
        <v>600</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697</v>
      </c>
      <c r="AP684" s="584">
        <v>2</v>
      </c>
    </row>
    <row r="685" spans="1:42" s="584" customFormat="1" ht="12.75" customHeight="1">
      <c r="B685" s="570"/>
      <c r="C685" s="967"/>
      <c r="D685" s="697" t="s">
        <v>518</v>
      </c>
      <c r="E685" s="1977" t="s">
        <v>2562</v>
      </c>
      <c r="F685" s="1977"/>
      <c r="G685" s="1977"/>
      <c r="H685" s="1977"/>
      <c r="I685" s="1977"/>
      <c r="J685" s="1977"/>
      <c r="K685" s="1977"/>
      <c r="L685" s="1977"/>
      <c r="M685" s="1977"/>
      <c r="N685" s="1977"/>
      <c r="O685" s="1977"/>
      <c r="P685" s="1977"/>
      <c r="Q685" s="1977"/>
      <c r="R685" s="1977"/>
      <c r="S685" s="1977"/>
      <c r="T685" s="1977"/>
      <c r="U685" s="1977"/>
      <c r="V685" s="1977"/>
      <c r="W685" s="1977"/>
      <c r="X685" s="1977"/>
      <c r="Y685" s="1977"/>
      <c r="Z685" s="1977"/>
      <c r="AA685" s="1977"/>
      <c r="AB685" s="1977"/>
      <c r="AC685" s="570"/>
      <c r="AD685" s="570"/>
      <c r="AE685" s="570"/>
      <c r="AF685" s="1924" t="s">
        <v>1580</v>
      </c>
      <c r="AG685" s="1924"/>
      <c r="AH685" s="1924"/>
      <c r="AI685" s="1924"/>
      <c r="AJ685" s="1924"/>
      <c r="AK685" s="1924"/>
      <c r="AL685" s="1924"/>
      <c r="AN685" s="631"/>
      <c r="AO685" s="645" t="s">
        <v>518</v>
      </c>
      <c r="AP685" s="584">
        <v>1</v>
      </c>
    </row>
    <row r="686" spans="1:42" s="584" customFormat="1" ht="12" customHeight="1">
      <c r="B686" s="570"/>
      <c r="C686" s="967"/>
      <c r="D686" s="570"/>
      <c r="E686" s="1977"/>
      <c r="F686" s="1977"/>
      <c r="G686" s="1977"/>
      <c r="H686" s="1977"/>
      <c r="I686" s="1977"/>
      <c r="J686" s="1977"/>
      <c r="K686" s="1977"/>
      <c r="L686" s="1977"/>
      <c r="M686" s="1977"/>
      <c r="N686" s="1977"/>
      <c r="O686" s="1977"/>
      <c r="P686" s="1977"/>
      <c r="Q686" s="1977"/>
      <c r="R686" s="1977"/>
      <c r="S686" s="1977"/>
      <c r="T686" s="1977"/>
      <c r="U686" s="1977"/>
      <c r="V686" s="1977"/>
      <c r="W686" s="1977"/>
      <c r="X686" s="1977"/>
      <c r="Y686" s="1977"/>
      <c r="Z686" s="1977"/>
      <c r="AA686" s="1977"/>
      <c r="AB686" s="1977"/>
      <c r="AC686" s="570"/>
      <c r="AD686" s="570"/>
      <c r="AE686" s="650"/>
      <c r="AF686" s="570"/>
      <c r="AG686" s="570"/>
      <c r="AH686" s="570"/>
      <c r="AI686" s="570"/>
      <c r="AJ686" s="570"/>
      <c r="AK686" s="570"/>
      <c r="AL686" s="570"/>
      <c r="AN686" s="631"/>
    </row>
    <row r="687" spans="1:42" s="584" customFormat="1" ht="12" customHeight="1">
      <c r="B687" s="570"/>
      <c r="C687" s="967"/>
      <c r="D687" s="570"/>
      <c r="E687" s="1977"/>
      <c r="F687" s="1977"/>
      <c r="G687" s="1977"/>
      <c r="H687" s="1977"/>
      <c r="I687" s="1977"/>
      <c r="J687" s="1977"/>
      <c r="K687" s="1977"/>
      <c r="L687" s="1977"/>
      <c r="M687" s="1977"/>
      <c r="N687" s="1977"/>
      <c r="O687" s="1977"/>
      <c r="P687" s="1977"/>
      <c r="Q687" s="1977"/>
      <c r="R687" s="1977"/>
      <c r="S687" s="1977"/>
      <c r="T687" s="1977"/>
      <c r="U687" s="1977"/>
      <c r="V687" s="1977"/>
      <c r="W687" s="1977"/>
      <c r="X687" s="1977"/>
      <c r="Y687" s="1977"/>
      <c r="Z687" s="1977"/>
      <c r="AA687" s="1977"/>
      <c r="AB687" s="1977"/>
      <c r="AC687" s="570"/>
      <c r="AD687" s="570"/>
      <c r="AE687" s="650"/>
      <c r="AF687" s="570"/>
      <c r="AG687" s="570"/>
      <c r="AH687" s="570"/>
      <c r="AI687" s="570"/>
      <c r="AJ687" s="570"/>
      <c r="AK687" s="570"/>
      <c r="AL687" s="570"/>
      <c r="AN687" s="631"/>
    </row>
    <row r="688" spans="1:42" s="604" customFormat="1" ht="29.25" customHeight="1">
      <c r="A688" s="584"/>
      <c r="B688" s="570"/>
      <c r="C688" s="967"/>
      <c r="D688" s="570"/>
      <c r="E688" s="1977"/>
      <c r="F688" s="1977"/>
      <c r="G688" s="1977"/>
      <c r="H688" s="1977"/>
      <c r="I688" s="1977"/>
      <c r="J688" s="1977"/>
      <c r="K688" s="1977"/>
      <c r="L688" s="1977"/>
      <c r="M688" s="1977"/>
      <c r="N688" s="1977"/>
      <c r="O688" s="1977"/>
      <c r="P688" s="1977"/>
      <c r="Q688" s="1977"/>
      <c r="R688" s="1977"/>
      <c r="S688" s="1977"/>
      <c r="T688" s="1977"/>
      <c r="U688" s="1977"/>
      <c r="V688" s="1977"/>
      <c r="W688" s="1977"/>
      <c r="X688" s="1977"/>
      <c r="Y688" s="1977"/>
      <c r="Z688" s="1977"/>
      <c r="AA688" s="1977"/>
      <c r="AB688" s="1977"/>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77" t="s">
        <v>1953</v>
      </c>
      <c r="F690" s="1977"/>
      <c r="G690" s="1977"/>
      <c r="H690" s="1977"/>
      <c r="I690" s="1977"/>
      <c r="J690" s="1977"/>
      <c r="K690" s="1977"/>
      <c r="L690" s="1977"/>
      <c r="M690" s="1977"/>
      <c r="N690" s="1977"/>
      <c r="O690" s="1977"/>
      <c r="P690" s="1977"/>
      <c r="Q690" s="1977"/>
      <c r="R690" s="1977"/>
      <c r="S690" s="1977"/>
      <c r="T690" s="1977"/>
      <c r="U690" s="1977"/>
      <c r="V690" s="1977"/>
      <c r="W690" s="1977"/>
      <c r="X690" s="1977"/>
      <c r="Y690" s="1977"/>
      <c r="Z690" s="1977"/>
      <c r="AA690" s="1977"/>
      <c r="AB690" s="1977"/>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77"/>
      <c r="F691" s="1977"/>
      <c r="G691" s="1977"/>
      <c r="H691" s="1977"/>
      <c r="I691" s="1977"/>
      <c r="J691" s="1977"/>
      <c r="K691" s="1977"/>
      <c r="L691" s="1977"/>
      <c r="M691" s="1977"/>
      <c r="N691" s="1977"/>
      <c r="O691" s="1977"/>
      <c r="P691" s="1977"/>
      <c r="Q691" s="1977"/>
      <c r="R691" s="1977"/>
      <c r="S691" s="1977"/>
      <c r="T691" s="1977"/>
      <c r="U691" s="1977"/>
      <c r="V691" s="1977"/>
      <c r="W691" s="1977"/>
      <c r="X691" s="1977"/>
      <c r="Y691" s="1977"/>
      <c r="Z691" s="1977"/>
      <c r="AA691" s="1977"/>
      <c r="AB691" s="1977"/>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77"/>
      <c r="F692" s="1977"/>
      <c r="G692" s="1977"/>
      <c r="H692" s="1977"/>
      <c r="I692" s="1977"/>
      <c r="J692" s="1977"/>
      <c r="K692" s="1977"/>
      <c r="L692" s="1977"/>
      <c r="M692" s="1977"/>
      <c r="N692" s="1977"/>
      <c r="O692" s="1977"/>
      <c r="P692" s="1977"/>
      <c r="Q692" s="1977"/>
      <c r="R692" s="1977"/>
      <c r="S692" s="1977"/>
      <c r="T692" s="1977"/>
      <c r="U692" s="1977"/>
      <c r="V692" s="1977"/>
      <c r="W692" s="1977"/>
      <c r="X692" s="1977"/>
      <c r="Y692" s="1977"/>
      <c r="Z692" s="1977"/>
      <c r="AA692" s="1977"/>
      <c r="AB692" s="1977"/>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1572</v>
      </c>
      <c r="E694" s="972"/>
      <c r="F694" s="972"/>
      <c r="G694" s="972"/>
      <c r="H694" s="2006" t="s">
        <v>600</v>
      </c>
      <c r="I694" s="2006"/>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1599</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1577</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2564</v>
      </c>
      <c r="AJ696" s="1957">
        <f>VLOOKUP($H$694,$AO$641:$AP$643,2,FALSE)</f>
        <v>0</v>
      </c>
      <c r="AK696" s="1959"/>
      <c r="AL696" s="629"/>
      <c r="AM696" s="584"/>
      <c r="AN696" s="718"/>
      <c r="AP696" s="604" t="s">
        <v>1584</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1600</v>
      </c>
    </row>
    <row r="698" spans="1:42" s="604" customFormat="1" ht="12.75" customHeight="1">
      <c r="A698" s="584"/>
      <c r="B698" s="570"/>
      <c r="C698" s="573" t="s">
        <v>1601</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1602</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1603</v>
      </c>
    </row>
    <row r="700" spans="1:42" s="604" customFormat="1" ht="12.75" customHeight="1">
      <c r="A700" s="671"/>
      <c r="B700" s="570"/>
      <c r="C700" s="967"/>
      <c r="D700" s="697" t="s">
        <v>697</v>
      </c>
      <c r="E700" s="2010" t="s">
        <v>1955</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0"/>
      <c r="AD700" s="570"/>
      <c r="AE700" s="570"/>
      <c r="AF700" s="1924" t="s">
        <v>1524</v>
      </c>
      <c r="AG700" s="1924"/>
      <c r="AH700" s="1924"/>
      <c r="AI700" s="1924"/>
      <c r="AJ700" s="1924"/>
      <c r="AK700" s="1924"/>
      <c r="AL700" s="1924"/>
      <c r="AM700" s="584"/>
      <c r="AN700" s="718"/>
      <c r="AP700" s="604" t="s">
        <v>1604</v>
      </c>
    </row>
    <row r="701" spans="1:42" s="604" customFormat="1" ht="11.85" customHeight="1">
      <c r="A701" s="584"/>
      <c r="B701" s="570"/>
      <c r="C701" s="969"/>
      <c r="D701" s="697"/>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0"/>
      <c r="AD701" s="570"/>
      <c r="AE701" s="570"/>
      <c r="AF701" s="570"/>
      <c r="AG701" s="570"/>
      <c r="AH701" s="570"/>
      <c r="AI701" s="570"/>
      <c r="AJ701" s="570"/>
      <c r="AK701" s="570"/>
      <c r="AL701" s="570"/>
      <c r="AM701" s="584"/>
      <c r="AN701" s="718"/>
      <c r="AP701" s="604" t="s">
        <v>1605</v>
      </c>
    </row>
    <row r="702" spans="1:42" s="604" customFormat="1" ht="14.1" customHeight="1">
      <c r="A702" s="584"/>
      <c r="B702" s="644"/>
      <c r="C702" s="967"/>
      <c r="D702" s="697"/>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0"/>
      <c r="AD702" s="570"/>
      <c r="AE702" s="650"/>
      <c r="AF702" s="570"/>
      <c r="AG702" s="570"/>
      <c r="AH702" s="570"/>
      <c r="AI702" s="570"/>
      <c r="AJ702" s="570"/>
      <c r="AK702" s="570"/>
      <c r="AL702" s="570"/>
      <c r="AM702" s="584"/>
      <c r="AN702" s="718"/>
      <c r="AP702" s="604" t="s">
        <v>1606</v>
      </c>
    </row>
    <row r="703" spans="1:42" s="604" customFormat="1" ht="14.1"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1608</v>
      </c>
    </row>
    <row r="704" spans="1:42" s="604" customFormat="1" ht="14.1" customHeight="1">
      <c r="A704" s="584"/>
      <c r="B704" s="570"/>
      <c r="C704" s="967"/>
      <c r="D704" s="697" t="s">
        <v>518</v>
      </c>
      <c r="E704" s="2011" t="s">
        <v>1607</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0"/>
      <c r="AD704" s="570"/>
      <c r="AE704" s="570"/>
      <c r="AF704" s="1924" t="s">
        <v>1580</v>
      </c>
      <c r="AG704" s="1924"/>
      <c r="AH704" s="1924"/>
      <c r="AI704" s="1924"/>
      <c r="AJ704" s="1924"/>
      <c r="AK704" s="1924"/>
      <c r="AL704" s="1924"/>
      <c r="AM704" s="584"/>
      <c r="AN704" s="719"/>
    </row>
    <row r="705" spans="1:52" s="604" customFormat="1" ht="12.75" customHeight="1">
      <c r="A705" s="584"/>
      <c r="B705" s="570"/>
      <c r="C705" s="969"/>
      <c r="D705" s="570"/>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0"/>
      <c r="AD705" s="570"/>
      <c r="AE705" s="570"/>
      <c r="AF705" s="570"/>
      <c r="AG705" s="570"/>
      <c r="AH705" s="570"/>
      <c r="AI705" s="570"/>
      <c r="AJ705" s="570"/>
      <c r="AK705" s="570"/>
      <c r="AL705" s="570"/>
      <c r="AM705" s="584"/>
      <c r="AN705" s="718"/>
      <c r="AP705" s="584" t="s">
        <v>600</v>
      </c>
      <c r="AQ705" s="707">
        <v>0</v>
      </c>
    </row>
    <row r="706" spans="1:52" s="604" customFormat="1" ht="14.1" customHeight="1">
      <c r="A706" s="584"/>
      <c r="B706" s="570"/>
      <c r="C706" s="969"/>
      <c r="D706" s="570"/>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0"/>
      <c r="AD706" s="570"/>
      <c r="AE706" s="570"/>
      <c r="AF706" s="570"/>
      <c r="AG706" s="570"/>
      <c r="AH706" s="570"/>
      <c r="AI706" s="570"/>
      <c r="AJ706" s="570"/>
      <c r="AK706" s="570"/>
      <c r="AL706" s="570"/>
      <c r="AM706" s="584"/>
      <c r="AN706" s="718"/>
      <c r="AP706" s="645" t="s">
        <v>697</v>
      </c>
      <c r="AQ706" s="584">
        <v>2</v>
      </c>
    </row>
    <row r="707" spans="1:52" s="604" customFormat="1" ht="14.1"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518</v>
      </c>
      <c r="AQ707" s="584">
        <v>3</v>
      </c>
    </row>
    <row r="708" spans="1:52" s="604" customFormat="1" ht="14.1" customHeight="1">
      <c r="A708" s="584"/>
      <c r="B708" s="570"/>
      <c r="C708" s="969"/>
      <c r="D708" s="570" t="s">
        <v>1572</v>
      </c>
      <c r="E708" s="972"/>
      <c r="F708" s="972"/>
      <c r="G708" s="972"/>
      <c r="H708" s="2006" t="s">
        <v>600</v>
      </c>
      <c r="I708" s="2006"/>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1609</v>
      </c>
      <c r="AJ710" s="1957">
        <f>VLOOKUP($H$708,$AO$641:$AP$643,2,FALSE)</f>
        <v>0</v>
      </c>
      <c r="AK710" s="1959"/>
      <c r="AL710" s="629"/>
      <c r="AM710" s="584"/>
      <c r="AN710" s="718"/>
      <c r="AP710" s="1957"/>
      <c r="AQ710" s="1959"/>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c r="A712" s="584"/>
      <c r="B712" s="570"/>
      <c r="C712" s="573" t="s">
        <v>1610</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c r="A714" s="584"/>
      <c r="B714" s="570"/>
      <c r="C714" s="967"/>
      <c r="D714" s="697" t="s">
        <v>697</v>
      </c>
      <c r="E714" s="1977" t="s">
        <v>1956</v>
      </c>
      <c r="F714" s="1977"/>
      <c r="G714" s="1977"/>
      <c r="H714" s="1977"/>
      <c r="I714" s="1977"/>
      <c r="J714" s="1977"/>
      <c r="K714" s="1977"/>
      <c r="L714" s="1977"/>
      <c r="M714" s="1977"/>
      <c r="N714" s="1977"/>
      <c r="O714" s="1977"/>
      <c r="P714" s="1977"/>
      <c r="Q714" s="1977"/>
      <c r="R714" s="1977"/>
      <c r="S714" s="1977"/>
      <c r="T714" s="1977"/>
      <c r="U714" s="1977"/>
      <c r="V714" s="1977"/>
      <c r="W714" s="1977"/>
      <c r="X714" s="1977"/>
      <c r="Y714" s="1977"/>
      <c r="Z714" s="1977"/>
      <c r="AA714" s="1977"/>
      <c r="AB714" s="1977"/>
      <c r="AC714" s="570"/>
      <c r="AD714" s="570"/>
      <c r="AE714" s="570"/>
      <c r="AF714" s="1924" t="s">
        <v>1524</v>
      </c>
      <c r="AG714" s="1924"/>
      <c r="AH714" s="1924"/>
      <c r="AI714" s="1924"/>
      <c r="AJ714" s="1924"/>
      <c r="AK714" s="1924"/>
      <c r="AL714" s="1924"/>
      <c r="AM714" s="584"/>
      <c r="AN714" s="718"/>
      <c r="AT714" s="14"/>
      <c r="AU714" s="14"/>
      <c r="AV714" s="14"/>
      <c r="AW714" s="14"/>
      <c r="AX714" s="14"/>
      <c r="AY714" s="14"/>
      <c r="AZ714" s="14"/>
    </row>
    <row r="715" spans="1:52" s="604" customFormat="1">
      <c r="A715" s="584"/>
      <c r="B715" s="570"/>
      <c r="C715" s="969"/>
      <c r="D715" s="697"/>
      <c r="E715" s="1977"/>
      <c r="F715" s="1977"/>
      <c r="G715" s="1977"/>
      <c r="H715" s="1977"/>
      <c r="I715" s="1977"/>
      <c r="J715" s="1977"/>
      <c r="K715" s="1977"/>
      <c r="L715" s="1977"/>
      <c r="M715" s="1977"/>
      <c r="N715" s="1977"/>
      <c r="O715" s="1977"/>
      <c r="P715" s="1977"/>
      <c r="Q715" s="1977"/>
      <c r="R715" s="1977"/>
      <c r="S715" s="1977"/>
      <c r="T715" s="1977"/>
      <c r="U715" s="1977"/>
      <c r="V715" s="1977"/>
      <c r="W715" s="1977"/>
      <c r="X715" s="1977"/>
      <c r="Y715" s="1977"/>
      <c r="Z715" s="1977"/>
      <c r="AA715" s="1977"/>
      <c r="AB715" s="1977"/>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518</v>
      </c>
      <c r="E717" s="1977" t="s">
        <v>1611</v>
      </c>
      <c r="F717" s="1977"/>
      <c r="G717" s="1977"/>
      <c r="H717" s="1977"/>
      <c r="I717" s="1977"/>
      <c r="J717" s="1977"/>
      <c r="K717" s="1977"/>
      <c r="L717" s="1977"/>
      <c r="M717" s="1977"/>
      <c r="N717" s="1977"/>
      <c r="O717" s="1977"/>
      <c r="P717" s="1977"/>
      <c r="Q717" s="1977"/>
      <c r="R717" s="1977"/>
      <c r="S717" s="1977"/>
      <c r="T717" s="1977"/>
      <c r="U717" s="1977"/>
      <c r="V717" s="1977"/>
      <c r="W717" s="1977"/>
      <c r="X717" s="1977"/>
      <c r="Y717" s="1977"/>
      <c r="Z717" s="1977"/>
      <c r="AA717" s="1977"/>
      <c r="AB717" s="1977"/>
      <c r="AC717" s="570"/>
      <c r="AD717" s="570"/>
      <c r="AE717" s="570"/>
      <c r="AF717" s="1924" t="s">
        <v>1580</v>
      </c>
      <c r="AG717" s="1924"/>
      <c r="AH717" s="1924"/>
      <c r="AI717" s="1924"/>
      <c r="AJ717" s="1924"/>
      <c r="AK717" s="1924"/>
      <c r="AL717" s="1924"/>
      <c r="AM717" s="584"/>
      <c r="AN717" s="718"/>
      <c r="AT717" s="14"/>
      <c r="AU717" s="14"/>
      <c r="AV717" s="14"/>
      <c r="AW717" s="14"/>
      <c r="AX717" s="14"/>
      <c r="AY717" s="14"/>
      <c r="AZ717" s="14"/>
    </row>
    <row r="718" spans="1:52" s="604" customFormat="1">
      <c r="A718" s="584"/>
      <c r="B718" s="570"/>
      <c r="C718" s="969"/>
      <c r="D718" s="570"/>
      <c r="E718" s="1977"/>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1572</v>
      </c>
      <c r="E720" s="972"/>
      <c r="F720" s="972"/>
      <c r="G720" s="972"/>
      <c r="H720" s="2006" t="s">
        <v>600</v>
      </c>
      <c r="I720" s="2006"/>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1612</v>
      </c>
      <c r="AJ722" s="1957">
        <f>VLOOKUP($H$720,$AO$655:$AP$657,2,FALSE)</f>
        <v>0</v>
      </c>
      <c r="AK722" s="1959"/>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1613</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584"/>
      <c r="B726" s="570"/>
      <c r="C726" s="967"/>
      <c r="D726" s="697" t="s">
        <v>697</v>
      </c>
      <c r="E726" s="1977" t="s">
        <v>1614</v>
      </c>
      <c r="F726" s="1977"/>
      <c r="G726" s="1977"/>
      <c r="H726" s="1977"/>
      <c r="I726" s="1977"/>
      <c r="J726" s="1977"/>
      <c r="K726" s="1977"/>
      <c r="L726" s="1977"/>
      <c r="M726" s="1977"/>
      <c r="N726" s="1977"/>
      <c r="O726" s="1977"/>
      <c r="P726" s="1977"/>
      <c r="Q726" s="1977"/>
      <c r="R726" s="1977"/>
      <c r="S726" s="1977"/>
      <c r="T726" s="1977"/>
      <c r="U726" s="1977"/>
      <c r="V726" s="1977"/>
      <c r="W726" s="1977"/>
      <c r="X726" s="1977"/>
      <c r="Y726" s="1977"/>
      <c r="Z726" s="1977"/>
      <c r="AA726" s="1977"/>
      <c r="AB726" s="1977"/>
      <c r="AC726" s="570"/>
      <c r="AD726" s="570"/>
      <c r="AE726" s="570"/>
      <c r="AF726" s="1924" t="s">
        <v>1524</v>
      </c>
      <c r="AG726" s="1924"/>
      <c r="AH726" s="1924"/>
      <c r="AI726" s="1924"/>
      <c r="AJ726" s="1924"/>
      <c r="AK726" s="1924"/>
      <c r="AL726" s="1924"/>
      <c r="AM726" s="584"/>
      <c r="AN726" s="718"/>
      <c r="AT726" s="14"/>
      <c r="AU726" s="14"/>
      <c r="AV726" s="14"/>
      <c r="AW726" s="14"/>
      <c r="AX726" s="14"/>
      <c r="AY726" s="14"/>
      <c r="AZ726" s="14"/>
    </row>
    <row r="727" spans="1:81" s="604" customFormat="1">
      <c r="A727" s="584"/>
      <c r="B727" s="570"/>
      <c r="C727" s="967"/>
      <c r="D727" s="697"/>
      <c r="E727" s="1977"/>
      <c r="F727" s="1977"/>
      <c r="G727" s="1977"/>
      <c r="H727" s="1977"/>
      <c r="I727" s="1977"/>
      <c r="J727" s="1977"/>
      <c r="K727" s="1977"/>
      <c r="L727" s="1977"/>
      <c r="M727" s="1977"/>
      <c r="N727" s="1977"/>
      <c r="O727" s="1977"/>
      <c r="P727" s="1977"/>
      <c r="Q727" s="1977"/>
      <c r="R727" s="1977"/>
      <c r="S727" s="1977"/>
      <c r="T727" s="1977"/>
      <c r="U727" s="1977"/>
      <c r="V727" s="1977"/>
      <c r="W727" s="1977"/>
      <c r="X727" s="1977"/>
      <c r="Y727" s="1977"/>
      <c r="Z727" s="1977"/>
      <c r="AA727" s="1977"/>
      <c r="AB727" s="1977"/>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c r="A728" s="584"/>
      <c r="B728" s="570"/>
      <c r="C728" s="969"/>
      <c r="D728" s="697"/>
      <c r="E728" s="1977"/>
      <c r="F728" s="1977"/>
      <c r="G728" s="1977"/>
      <c r="H728" s="1977"/>
      <c r="I728" s="1977"/>
      <c r="J728" s="1977"/>
      <c r="K728" s="1977"/>
      <c r="L728" s="1977"/>
      <c r="M728" s="1977"/>
      <c r="N728" s="1977"/>
      <c r="O728" s="1977"/>
      <c r="P728" s="1977"/>
      <c r="Q728" s="1977"/>
      <c r="R728" s="1977"/>
      <c r="S728" s="1977"/>
      <c r="T728" s="1977"/>
      <c r="U728" s="1977"/>
      <c r="V728" s="1977"/>
      <c r="W728" s="1977"/>
      <c r="X728" s="1977"/>
      <c r="Y728" s="1977"/>
      <c r="Z728" s="1977"/>
      <c r="AA728" s="1977"/>
      <c r="AB728" s="1977"/>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77"/>
      <c r="F729" s="1977"/>
      <c r="G729" s="1977"/>
      <c r="H729" s="1977"/>
      <c r="I729" s="1977"/>
      <c r="J729" s="1977"/>
      <c r="K729" s="1977"/>
      <c r="L729" s="1977"/>
      <c r="M729" s="1977"/>
      <c r="N729" s="1977"/>
      <c r="O729" s="1977"/>
      <c r="P729" s="1977"/>
      <c r="Q729" s="1977"/>
      <c r="R729" s="1977"/>
      <c r="S729" s="1977"/>
      <c r="T729" s="1977"/>
      <c r="U729" s="1977"/>
      <c r="V729" s="1977"/>
      <c r="W729" s="1977"/>
      <c r="X729" s="1977"/>
      <c r="Y729" s="1977"/>
      <c r="Z729" s="1977"/>
      <c r="AA729" s="1977"/>
      <c r="AB729" s="1977"/>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c r="A731" s="584"/>
      <c r="B731" s="570"/>
      <c r="C731" s="967"/>
      <c r="D731" s="697" t="s">
        <v>518</v>
      </c>
      <c r="E731" s="1977" t="s">
        <v>1615</v>
      </c>
      <c r="F731" s="1977"/>
      <c r="G731" s="1977"/>
      <c r="H731" s="1977"/>
      <c r="I731" s="1977"/>
      <c r="J731" s="1977"/>
      <c r="K731" s="1977"/>
      <c r="L731" s="1977"/>
      <c r="M731" s="1977"/>
      <c r="N731" s="1977"/>
      <c r="O731" s="1977"/>
      <c r="P731" s="1977"/>
      <c r="Q731" s="1977"/>
      <c r="R731" s="1977"/>
      <c r="S731" s="1977"/>
      <c r="T731" s="1977"/>
      <c r="U731" s="1977"/>
      <c r="V731" s="1977"/>
      <c r="W731" s="1977"/>
      <c r="X731" s="1977"/>
      <c r="Y731" s="1977"/>
      <c r="Z731" s="1977"/>
      <c r="AA731" s="1977"/>
      <c r="AB731" s="609"/>
      <c r="AC731" s="570"/>
      <c r="AD731" s="570"/>
      <c r="AE731" s="570"/>
      <c r="AF731" s="1924" t="s">
        <v>1580</v>
      </c>
      <c r="AG731" s="1924"/>
      <c r="AH731" s="1924"/>
      <c r="AI731" s="1924"/>
      <c r="AJ731" s="1924"/>
      <c r="AK731" s="1924"/>
      <c r="AL731" s="1924"/>
      <c r="AM731" s="584"/>
      <c r="AN731" s="718"/>
      <c r="AO731" s="30"/>
      <c r="AP731" s="14"/>
    </row>
    <row r="732" spans="1:81" s="604" customFormat="1">
      <c r="A732" s="584"/>
      <c r="B732" s="570"/>
      <c r="C732" s="967"/>
      <c r="D732" s="697"/>
      <c r="E732" s="1977"/>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609"/>
      <c r="AC732" s="570"/>
      <c r="AD732" s="570"/>
      <c r="AE732" s="570"/>
      <c r="AF732" s="628"/>
      <c r="AG732" s="628"/>
      <c r="AH732" s="628"/>
      <c r="AI732" s="628"/>
      <c r="AJ732" s="628"/>
      <c r="AK732" s="628"/>
      <c r="AL732" s="628"/>
      <c r="AM732" s="584"/>
      <c r="AN732" s="718"/>
      <c r="AO732" s="30"/>
      <c r="AP732" s="14"/>
    </row>
    <row r="733" spans="1:81" s="604" customFormat="1">
      <c r="A733" s="584"/>
      <c r="B733" s="570"/>
      <c r="C733" s="967"/>
      <c r="D733" s="570"/>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609"/>
      <c r="AC733" s="628"/>
      <c r="AD733" s="628"/>
      <c r="AE733" s="628"/>
      <c r="AF733" s="628"/>
      <c r="AG733" s="628"/>
      <c r="AH733" s="628"/>
      <c r="AI733" s="628"/>
      <c r="AJ733" s="570"/>
      <c r="AK733" s="570"/>
      <c r="AL733" s="570"/>
      <c r="AM733" s="584"/>
      <c r="AN733" s="718"/>
      <c r="AO733" s="30"/>
      <c r="AP733" s="14"/>
    </row>
    <row r="734" spans="1:81" s="604" customFormat="1">
      <c r="A734" s="584"/>
      <c r="B734" s="570"/>
      <c r="C734" s="967"/>
      <c r="D734" s="570"/>
      <c r="E734" s="1977"/>
      <c r="F734" s="1977"/>
      <c r="G734" s="1977"/>
      <c r="H734" s="1977"/>
      <c r="I734" s="1977"/>
      <c r="J734" s="1977"/>
      <c r="K734" s="1977"/>
      <c r="L734" s="1977"/>
      <c r="M734" s="1977"/>
      <c r="N734" s="1977"/>
      <c r="O734" s="1977"/>
      <c r="P734" s="1977"/>
      <c r="Q734" s="1977"/>
      <c r="R734" s="1977"/>
      <c r="S734" s="1977"/>
      <c r="T734" s="1977"/>
      <c r="U734" s="1977"/>
      <c r="V734" s="1977"/>
      <c r="W734" s="1977"/>
      <c r="X734" s="1977"/>
      <c r="Y734" s="1977"/>
      <c r="Z734" s="1977"/>
      <c r="AA734" s="1977"/>
      <c r="AB734" s="609"/>
      <c r="AC734" s="628"/>
      <c r="AD734" s="628"/>
      <c r="AE734" s="628"/>
      <c r="AF734" s="628"/>
      <c r="AG734" s="628"/>
      <c r="AH734" s="628"/>
      <c r="AI734" s="628"/>
      <c r="AJ734" s="570"/>
      <c r="AK734" s="570"/>
      <c r="AL734" s="570"/>
      <c r="AM734" s="584"/>
      <c r="AN734" s="718"/>
      <c r="AO734" s="30"/>
      <c r="AP734" s="14"/>
    </row>
    <row r="735" spans="1:81" s="604" customFormat="1">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1572</v>
      </c>
      <c r="E736" s="972"/>
      <c r="F736" s="972"/>
      <c r="G736" s="972"/>
      <c r="H736" s="2006" t="s">
        <v>518</v>
      </c>
      <c r="I736" s="2006"/>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1616</v>
      </c>
      <c r="AJ738" s="1957">
        <f>VLOOKUP($H$736,$AO$669:$AP$671,2,FALSE)</f>
        <v>2</v>
      </c>
      <c r="AK738" s="1959"/>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c r="A740" s="584"/>
      <c r="B740" s="570"/>
      <c r="C740" s="573" t="s">
        <v>1606</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584"/>
      <c r="B742" s="570"/>
      <c r="C742" s="967"/>
      <c r="D742" s="697" t="s">
        <v>697</v>
      </c>
      <c r="E742" s="1977" t="s">
        <v>1617</v>
      </c>
      <c r="F742" s="1977"/>
      <c r="G742" s="1977"/>
      <c r="H742" s="1977"/>
      <c r="I742" s="1977"/>
      <c r="J742" s="1977"/>
      <c r="K742" s="1977"/>
      <c r="L742" s="1977"/>
      <c r="M742" s="1977"/>
      <c r="N742" s="1977"/>
      <c r="O742" s="1977"/>
      <c r="P742" s="1977"/>
      <c r="Q742" s="1977"/>
      <c r="R742" s="1977"/>
      <c r="S742" s="1977"/>
      <c r="T742" s="1977"/>
      <c r="U742" s="1977"/>
      <c r="V742" s="1977"/>
      <c r="W742" s="1977"/>
      <c r="X742" s="1977"/>
      <c r="Y742" s="1977"/>
      <c r="Z742" s="1977"/>
      <c r="AA742" s="1977"/>
      <c r="AB742" s="1977"/>
      <c r="AC742" s="570"/>
      <c r="AD742" s="570"/>
      <c r="AE742" s="570"/>
      <c r="AF742" s="1924" t="s">
        <v>1580</v>
      </c>
      <c r="AG742" s="1924"/>
      <c r="AH742" s="1924"/>
      <c r="AI742" s="1924"/>
      <c r="AJ742" s="1924"/>
      <c r="AK742" s="1924"/>
      <c r="AL742" s="1924"/>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c r="A743" s="584"/>
      <c r="B743" s="570"/>
      <c r="C743" s="969"/>
      <c r="D743" s="697"/>
      <c r="E743" s="1977"/>
      <c r="F743" s="1977"/>
      <c r="G743" s="1977"/>
      <c r="H743" s="1977"/>
      <c r="I743" s="1977"/>
      <c r="J743" s="1977"/>
      <c r="K743" s="1977"/>
      <c r="L743" s="1977"/>
      <c r="M743" s="1977"/>
      <c r="N743" s="1977"/>
      <c r="O743" s="1977"/>
      <c r="P743" s="1977"/>
      <c r="Q743" s="1977"/>
      <c r="R743" s="1977"/>
      <c r="S743" s="1977"/>
      <c r="T743" s="1977"/>
      <c r="U743" s="1977"/>
      <c r="V743" s="1977"/>
      <c r="W743" s="1977"/>
      <c r="X743" s="1977"/>
      <c r="Y743" s="1977"/>
      <c r="Z743" s="1977"/>
      <c r="AA743" s="1977"/>
      <c r="AB743" s="1977"/>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671"/>
      <c r="B745" s="570"/>
      <c r="C745" s="967"/>
      <c r="D745" s="697" t="s">
        <v>518</v>
      </c>
      <c r="E745" s="1977" t="s">
        <v>1618</v>
      </c>
      <c r="F745" s="1977"/>
      <c r="G745" s="1977"/>
      <c r="H745" s="1977"/>
      <c r="I745" s="1977"/>
      <c r="J745" s="1977"/>
      <c r="K745" s="1977"/>
      <c r="L745" s="1977"/>
      <c r="M745" s="1977"/>
      <c r="N745" s="1977"/>
      <c r="O745" s="1977"/>
      <c r="P745" s="1977"/>
      <c r="Q745" s="1977"/>
      <c r="R745" s="1977"/>
      <c r="S745" s="1977"/>
      <c r="T745" s="1977"/>
      <c r="U745" s="1977"/>
      <c r="V745" s="1977"/>
      <c r="W745" s="1977"/>
      <c r="X745" s="1977"/>
      <c r="Y745" s="1977"/>
      <c r="Z745" s="1977"/>
      <c r="AA745" s="1977"/>
      <c r="AB745" s="1977"/>
      <c r="AC745" s="570"/>
      <c r="AD745" s="570"/>
      <c r="AE745" s="570"/>
      <c r="AF745" s="1924" t="s">
        <v>1597</v>
      </c>
      <c r="AG745" s="1924"/>
      <c r="AH745" s="1924"/>
      <c r="AI745" s="1924"/>
      <c r="AJ745" s="1924"/>
      <c r="AK745" s="1924"/>
      <c r="AL745" s="1924"/>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77"/>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1572</v>
      </c>
      <c r="E748" s="972"/>
      <c r="F748" s="972"/>
      <c r="G748" s="972"/>
      <c r="H748" s="2006" t="s">
        <v>697</v>
      </c>
      <c r="I748" s="2006"/>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4.1"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1619</v>
      </c>
      <c r="AJ750" s="1957">
        <f>VLOOKUP($H$748,$AO$683:$AP$685,2,FALSE)</f>
        <v>2</v>
      </c>
      <c r="AK750" s="1959"/>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c r="A752" s="584"/>
      <c r="B752" s="650"/>
      <c r="C752" s="573" t="s">
        <v>1608</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65" customHeight="1">
      <c r="A754" s="584"/>
      <c r="B754" s="650"/>
      <c r="C754" s="976"/>
      <c r="D754" s="697" t="s">
        <v>697</v>
      </c>
      <c r="E754" s="1977" t="s">
        <v>1952</v>
      </c>
      <c r="F754" s="1977"/>
      <c r="G754" s="1977"/>
      <c r="H754" s="1977"/>
      <c r="I754" s="1977"/>
      <c r="J754" s="1977"/>
      <c r="K754" s="1977"/>
      <c r="L754" s="1977"/>
      <c r="M754" s="1977"/>
      <c r="N754" s="1977"/>
      <c r="O754" s="1977"/>
      <c r="P754" s="1977"/>
      <c r="Q754" s="1977"/>
      <c r="R754" s="1977"/>
      <c r="S754" s="1977"/>
      <c r="T754" s="1977"/>
      <c r="U754" s="1977"/>
      <c r="V754" s="1977"/>
      <c r="W754" s="1977"/>
      <c r="X754" s="1977"/>
      <c r="Y754" s="1977"/>
      <c r="Z754" s="1977"/>
      <c r="AA754" s="1977"/>
      <c r="AB754" s="1977"/>
      <c r="AC754" s="1977"/>
      <c r="AD754" s="1977"/>
      <c r="AE754" s="570"/>
      <c r="AF754" s="1924" t="s">
        <v>1580</v>
      </c>
      <c r="AG754" s="1924"/>
      <c r="AH754" s="1924"/>
      <c r="AI754" s="1924"/>
      <c r="AJ754" s="1924"/>
      <c r="AK754" s="1924"/>
      <c r="AL754" s="1924"/>
      <c r="AM754" s="647"/>
      <c r="AN754" s="718"/>
    </row>
    <row r="755" spans="1:81" s="604" customFormat="1" ht="13.65" customHeight="1">
      <c r="A755" s="584"/>
      <c r="B755" s="650"/>
      <c r="C755" s="976"/>
      <c r="D755" s="697"/>
      <c r="E755" s="1977"/>
      <c r="F755" s="1977"/>
      <c r="G755" s="1977"/>
      <c r="H755" s="1977"/>
      <c r="I755" s="1977"/>
      <c r="J755" s="1977"/>
      <c r="K755" s="1977"/>
      <c r="L755" s="1977"/>
      <c r="M755" s="1977"/>
      <c r="N755" s="1977"/>
      <c r="O755" s="1977"/>
      <c r="P755" s="1977"/>
      <c r="Q755" s="1977"/>
      <c r="R755" s="1977"/>
      <c r="S755" s="1977"/>
      <c r="T755" s="1977"/>
      <c r="U755" s="1977"/>
      <c r="V755" s="1977"/>
      <c r="W755" s="1977"/>
      <c r="X755" s="1977"/>
      <c r="Y755" s="1977"/>
      <c r="Z755" s="1977"/>
      <c r="AA755" s="1977"/>
      <c r="AB755" s="1977"/>
      <c r="AC755" s="1977"/>
      <c r="AD755" s="1977"/>
      <c r="AE755" s="570"/>
      <c r="AF755" s="628"/>
      <c r="AG755" s="628"/>
      <c r="AH755" s="628"/>
      <c r="AI755" s="628"/>
      <c r="AJ755" s="628"/>
      <c r="AK755" s="628"/>
      <c r="AL755" s="628"/>
      <c r="AM755" s="647"/>
      <c r="AN755" s="718"/>
    </row>
    <row r="756" spans="1:81" s="604" customFormat="1">
      <c r="A756" s="584"/>
      <c r="B756" s="650"/>
      <c r="C756" s="976"/>
      <c r="D756" s="697"/>
      <c r="E756" s="1977"/>
      <c r="F756" s="1977"/>
      <c r="G756" s="1977"/>
      <c r="H756" s="1977"/>
      <c r="I756" s="1977"/>
      <c r="J756" s="1977"/>
      <c r="K756" s="1977"/>
      <c r="L756" s="1977"/>
      <c r="M756" s="1977"/>
      <c r="N756" s="1977"/>
      <c r="O756" s="1977"/>
      <c r="P756" s="1977"/>
      <c r="Q756" s="1977"/>
      <c r="R756" s="1977"/>
      <c r="S756" s="1977"/>
      <c r="T756" s="1977"/>
      <c r="U756" s="1977"/>
      <c r="V756" s="1977"/>
      <c r="W756" s="1977"/>
      <c r="X756" s="1977"/>
      <c r="Y756" s="1977"/>
      <c r="Z756" s="1977"/>
      <c r="AA756" s="1977"/>
      <c r="AB756" s="1977"/>
      <c r="AC756" s="1977"/>
      <c r="AD756" s="1977"/>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600000000000001" customHeight="1">
      <c r="A757" s="584"/>
      <c r="B757" s="650"/>
      <c r="C757" s="976"/>
      <c r="D757" s="697"/>
      <c r="E757" s="1977"/>
      <c r="F757" s="1977"/>
      <c r="G757" s="1977"/>
      <c r="H757" s="1977"/>
      <c r="I757" s="1977"/>
      <c r="J757" s="1977"/>
      <c r="K757" s="1977"/>
      <c r="L757" s="1977"/>
      <c r="M757" s="1977"/>
      <c r="N757" s="1977"/>
      <c r="O757" s="1977"/>
      <c r="P757" s="1977"/>
      <c r="Q757" s="1977"/>
      <c r="R757" s="1977"/>
      <c r="S757" s="1977"/>
      <c r="T757" s="1977"/>
      <c r="U757" s="1977"/>
      <c r="V757" s="1977"/>
      <c r="W757" s="1977"/>
      <c r="X757" s="1977"/>
      <c r="Y757" s="1977"/>
      <c r="Z757" s="1977"/>
      <c r="AA757" s="1977"/>
      <c r="AB757" s="1977"/>
      <c r="AC757" s="1977"/>
      <c r="AD757" s="1977"/>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518</v>
      </c>
      <c r="E759" s="2012" t="s">
        <v>1957</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0"/>
      <c r="AF759" s="1924" t="s">
        <v>1524</v>
      </c>
      <c r="AG759" s="1924"/>
      <c r="AH759" s="1924"/>
      <c r="AI759" s="1924"/>
      <c r="AJ759" s="1924"/>
      <c r="AK759" s="1924"/>
      <c r="AL759" s="1924"/>
      <c r="AM759" s="647"/>
      <c r="AN759" s="631"/>
    </row>
    <row r="760" spans="1:81" s="584" customFormat="1" ht="12.75" customHeight="1">
      <c r="B760" s="650"/>
      <c r="C760" s="976"/>
      <c r="D760" s="697"/>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8"/>
      <c r="AF760" s="628"/>
      <c r="AG760" s="628"/>
      <c r="AH760" s="628"/>
      <c r="AI760" s="628"/>
      <c r="AJ760" s="628"/>
      <c r="AK760" s="628"/>
      <c r="AL760" s="628"/>
      <c r="AM760" s="647"/>
      <c r="AN760" s="631"/>
    </row>
    <row r="761" spans="1:81" s="584" customFormat="1" ht="12.75" customHeight="1">
      <c r="B761" s="650"/>
      <c r="C761" s="976"/>
      <c r="D761" s="697"/>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8"/>
      <c r="AF761" s="628"/>
      <c r="AG761" s="628"/>
      <c r="AH761" s="628"/>
      <c r="AI761" s="628"/>
      <c r="AJ761" s="628"/>
      <c r="AK761" s="628"/>
      <c r="AL761" s="628"/>
      <c r="AM761" s="647"/>
      <c r="AN761" s="631"/>
    </row>
    <row r="762" spans="1:81" s="584" customFormat="1" ht="12.75" customHeight="1">
      <c r="B762" s="650"/>
      <c r="C762" s="976"/>
      <c r="D762" s="697"/>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1572</v>
      </c>
      <c r="E764" s="972"/>
      <c r="F764" s="972"/>
      <c r="G764" s="972"/>
      <c r="H764" s="2006" t="s">
        <v>600</v>
      </c>
      <c r="I764" s="2006"/>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1620</v>
      </c>
      <c r="AJ766" s="1957">
        <f>VLOOKUP($H$764,$AP$705:$AQ$707,2,FALSE)</f>
        <v>0</v>
      </c>
      <c r="AK766" s="1959"/>
      <c r="AL766" s="629"/>
      <c r="AN766" s="631"/>
    </row>
    <row r="767" spans="1:81" s="604" customFormat="1">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c r="A768" s="584"/>
      <c r="B768" s="650"/>
      <c r="C768" s="573" t="s">
        <v>1621</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600</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65" customHeight="1">
      <c r="A770" s="584"/>
      <c r="B770" s="650"/>
      <c r="C770" s="976"/>
      <c r="D770" s="697" t="s">
        <v>697</v>
      </c>
      <c r="E770" s="1977" t="s">
        <v>2430</v>
      </c>
      <c r="F770" s="1977"/>
      <c r="G770" s="1977"/>
      <c r="H770" s="1977"/>
      <c r="I770" s="1977"/>
      <c r="J770" s="1977"/>
      <c r="K770" s="1977"/>
      <c r="L770" s="1977"/>
      <c r="M770" s="1977"/>
      <c r="N770" s="1977"/>
      <c r="O770" s="1977"/>
      <c r="P770" s="1977"/>
      <c r="Q770" s="1977"/>
      <c r="R770" s="1977"/>
      <c r="S770" s="1977"/>
      <c r="T770" s="1977"/>
      <c r="U770" s="1977"/>
      <c r="V770" s="1977"/>
      <c r="W770" s="1977"/>
      <c r="X770" s="1977"/>
      <c r="Y770" s="1977"/>
      <c r="Z770" s="1977"/>
      <c r="AA770" s="1977"/>
      <c r="AB770" s="1977"/>
      <c r="AC770" s="1977"/>
      <c r="AD770" s="1977"/>
      <c r="AE770" s="570"/>
      <c r="AF770" s="1924" t="s">
        <v>1524</v>
      </c>
      <c r="AG770" s="1924"/>
      <c r="AH770" s="1924"/>
      <c r="AI770" s="1924"/>
      <c r="AJ770" s="1924"/>
      <c r="AK770" s="1924"/>
      <c r="AL770" s="1924"/>
      <c r="AM770" s="647"/>
      <c r="AN770" s="718"/>
      <c r="AO770" s="645" t="s">
        <v>554</v>
      </c>
      <c r="AP770" s="584">
        <v>3</v>
      </c>
      <c r="AT770" s="708"/>
      <c r="AU770" s="708"/>
      <c r="AV770" s="708"/>
      <c r="AW770" s="708"/>
      <c r="AX770" s="708"/>
      <c r="AY770" s="708"/>
      <c r="AZ770" s="708"/>
    </row>
    <row r="771" spans="1:81" s="604" customFormat="1" ht="13.65" customHeight="1">
      <c r="A771" s="584"/>
      <c r="B771" s="650"/>
      <c r="C771" s="976"/>
      <c r="D771" s="697"/>
      <c r="E771" s="1977"/>
      <c r="F771" s="1977"/>
      <c r="G771" s="1977"/>
      <c r="H771" s="1977"/>
      <c r="I771" s="1977"/>
      <c r="J771" s="1977"/>
      <c r="K771" s="1977"/>
      <c r="L771" s="1977"/>
      <c r="M771" s="1977"/>
      <c r="N771" s="1977"/>
      <c r="O771" s="1977"/>
      <c r="P771" s="1977"/>
      <c r="Q771" s="1977"/>
      <c r="R771" s="1977"/>
      <c r="S771" s="1977"/>
      <c r="T771" s="1977"/>
      <c r="U771" s="1977"/>
      <c r="V771" s="1977"/>
      <c r="W771" s="1977"/>
      <c r="X771" s="1977"/>
      <c r="Y771" s="1977"/>
      <c r="Z771" s="1977"/>
      <c r="AA771" s="1977"/>
      <c r="AB771" s="1977"/>
      <c r="AC771" s="1977"/>
      <c r="AD771" s="1977"/>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c r="A772" s="584"/>
      <c r="B772" s="650"/>
      <c r="C772" s="976"/>
      <c r="D772" s="697"/>
      <c r="E772" s="1977"/>
      <c r="F772" s="1977"/>
      <c r="G772" s="1977"/>
      <c r="H772" s="1977"/>
      <c r="I772" s="1977"/>
      <c r="J772" s="1977"/>
      <c r="K772" s="1977"/>
      <c r="L772" s="1977"/>
      <c r="M772" s="1977"/>
      <c r="N772" s="1977"/>
      <c r="O772" s="1977"/>
      <c r="P772" s="1977"/>
      <c r="Q772" s="1977"/>
      <c r="R772" s="1977"/>
      <c r="S772" s="1977"/>
      <c r="T772" s="1977"/>
      <c r="U772" s="1977"/>
      <c r="V772" s="1977"/>
      <c r="W772" s="1977"/>
      <c r="X772" s="1977"/>
      <c r="Y772" s="1977"/>
      <c r="Z772" s="1977"/>
      <c r="AA772" s="1977"/>
      <c r="AB772" s="1977"/>
      <c r="AC772" s="1977"/>
      <c r="AD772" s="1977"/>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c r="A773" s="584"/>
      <c r="B773" s="650"/>
      <c r="C773" s="976"/>
      <c r="D773" s="697"/>
      <c r="E773" s="1977"/>
      <c r="F773" s="1977"/>
      <c r="G773" s="1977"/>
      <c r="H773" s="1977"/>
      <c r="I773" s="1977"/>
      <c r="J773" s="1977"/>
      <c r="K773" s="1977"/>
      <c r="L773" s="1977"/>
      <c r="M773" s="1977"/>
      <c r="N773" s="1977"/>
      <c r="O773" s="1977"/>
      <c r="P773" s="1977"/>
      <c r="Q773" s="1977"/>
      <c r="R773" s="1977"/>
      <c r="S773" s="1977"/>
      <c r="T773" s="1977"/>
      <c r="U773" s="1977"/>
      <c r="V773" s="1977"/>
      <c r="W773" s="1977"/>
      <c r="X773" s="1977"/>
      <c r="Y773" s="1977"/>
      <c r="Z773" s="1977"/>
      <c r="AA773" s="1977"/>
      <c r="AB773" s="1977"/>
      <c r="AC773" s="1977"/>
      <c r="AD773" s="1977"/>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c r="A775" s="584"/>
      <c r="B775" s="650"/>
      <c r="C775" s="976"/>
      <c r="D775" s="570" t="s">
        <v>1572</v>
      </c>
      <c r="E775" s="972"/>
      <c r="F775" s="972"/>
      <c r="G775" s="972"/>
      <c r="H775" s="2006" t="s">
        <v>600</v>
      </c>
      <c r="I775" s="2006"/>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1622</v>
      </c>
      <c r="AJ777" s="1957">
        <f>VLOOKUP($H$775,$AO$769:$AP$770,2,FALSE)</f>
        <v>0</v>
      </c>
      <c r="AK777" s="1959"/>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1623</v>
      </c>
      <c r="AK779" s="1957">
        <f>IF(($AJ$610+$AJ$629+$AJ$641+$AJ$676+$AJ$696+$AJ$710+$AJ$722+$AJ$738+$AJ$750+$AJ$766+AJ777)&gt;10,10,($AJ$610+$AJ$629+$AJ$641+$AJ$676+$AJ$696+$AJ$710+$AJ$722+$AJ$738+$AJ$750+$AJ$766+AJ777))</f>
        <v>10</v>
      </c>
      <c r="AL779" s="1958"/>
      <c r="AM779" s="1959"/>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2063" t="s">
        <v>1745</v>
      </c>
      <c r="B782" s="2064"/>
      <c r="C782" s="2064"/>
      <c r="D782" s="2064"/>
      <c r="E782" s="2064"/>
      <c r="F782" s="2064"/>
      <c r="G782" s="2064"/>
      <c r="H782" s="2064"/>
      <c r="I782" s="2064"/>
      <c r="J782" s="2064"/>
      <c r="K782" s="2064"/>
      <c r="L782" s="2064"/>
      <c r="M782" s="2064"/>
      <c r="N782" s="2064"/>
      <c r="O782" s="2064"/>
      <c r="P782" s="2064"/>
      <c r="Q782" s="2064"/>
      <c r="R782" s="2064"/>
      <c r="S782" s="2064"/>
      <c r="T782" s="2064"/>
      <c r="U782" s="2064"/>
      <c r="V782" s="2064"/>
      <c r="W782" s="2064"/>
      <c r="X782" s="2064"/>
      <c r="Y782" s="2064"/>
      <c r="Z782" s="2064"/>
      <c r="AA782" s="2064"/>
      <c r="AB782" s="2064"/>
      <c r="AC782" s="2064"/>
      <c r="AD782" s="2064"/>
      <c r="AE782" s="2064"/>
      <c r="AF782" s="2064"/>
      <c r="AG782" s="2064"/>
      <c r="AH782" s="2064"/>
      <c r="AI782" s="2064"/>
      <c r="AJ782" s="2064"/>
      <c r="AK782" s="2064"/>
      <c r="AL782" s="2064"/>
      <c r="AM782" s="2064"/>
    </row>
    <row r="783" spans="1:81">
      <c r="A783" s="2065"/>
      <c r="B783" s="2065"/>
      <c r="C783" s="2065"/>
      <c r="D783" s="2065"/>
      <c r="E783" s="2065"/>
      <c r="F783" s="2065"/>
      <c r="G783" s="2065"/>
      <c r="H783" s="2065"/>
      <c r="I783" s="2065"/>
      <c r="J783" s="2065"/>
      <c r="K783" s="2065"/>
      <c r="L783" s="2065"/>
      <c r="M783" s="2065"/>
      <c r="N783" s="2065"/>
      <c r="O783" s="2065"/>
      <c r="P783" s="2065"/>
      <c r="Q783" s="2065"/>
      <c r="R783" s="2065"/>
      <c r="S783" s="2065"/>
      <c r="T783" s="2065"/>
      <c r="U783" s="2065"/>
      <c r="V783" s="2065"/>
      <c r="W783" s="2065"/>
      <c r="X783" s="2065"/>
      <c r="Y783" s="2065"/>
      <c r="Z783" s="2065"/>
      <c r="AA783" s="2065"/>
      <c r="AB783" s="2065"/>
      <c r="AC783" s="2065"/>
      <c r="AD783" s="2065"/>
      <c r="AE783" s="2065"/>
      <c r="AF783" s="2065"/>
      <c r="AG783" s="2065"/>
      <c r="AH783" s="2065"/>
      <c r="AI783" s="2065"/>
      <c r="AJ783" s="2065"/>
      <c r="AK783" s="2065"/>
      <c r="AL783" s="2065"/>
      <c r="AM783" s="2065"/>
      <c r="AO783" s="851"/>
      <c r="AP783" s="851"/>
      <c r="AQ783" s="851"/>
    </row>
    <row r="784" spans="1:81">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c r="A785" s="1998"/>
      <c r="B785" s="1998"/>
      <c r="C785" s="1998"/>
      <c r="D785" s="1998"/>
      <c r="E785" s="1998"/>
      <c r="F785" s="1998"/>
      <c r="G785" s="1998"/>
      <c r="H785" s="1998"/>
      <c r="I785" s="1998"/>
      <c r="J785" s="1998"/>
      <c r="K785" s="1998"/>
      <c r="L785" s="1998"/>
      <c r="M785" s="1998"/>
      <c r="N785" s="1998"/>
      <c r="O785" s="1998"/>
      <c r="P785" s="1998"/>
      <c r="Q785" s="1998"/>
      <c r="R785" s="1998"/>
      <c r="S785" s="1998"/>
      <c r="T785" s="1998"/>
      <c r="U785" s="1998"/>
      <c r="V785" s="1998"/>
      <c r="W785" s="1998"/>
      <c r="X785" s="1998"/>
      <c r="Y785" s="1998"/>
      <c r="Z785" s="1998"/>
      <c r="AA785" s="1998"/>
      <c r="AB785" s="1998"/>
      <c r="AC785" s="1998"/>
      <c r="AD785" s="1998"/>
      <c r="AE785" s="1998"/>
      <c r="AF785" s="1998"/>
      <c r="AG785" s="1998"/>
      <c r="AH785" s="1998"/>
      <c r="AI785" s="1998"/>
      <c r="AJ785" s="1998"/>
      <c r="AK785" s="1998"/>
      <c r="AL785" s="1998"/>
      <c r="AM785" s="1998"/>
      <c r="AP785" s="851"/>
      <c r="AQ785" s="851"/>
    </row>
    <row r="786" spans="1:81">
      <c r="A786" s="1998"/>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c r="AO786" s="851"/>
      <c r="AQ786" s="851"/>
    </row>
    <row r="787" spans="1:81">
      <c r="A787" s="852"/>
      <c r="B787" s="701"/>
      <c r="C787" s="701"/>
      <c r="D787" s="701"/>
      <c r="E787" s="701"/>
      <c r="F787" s="701"/>
      <c r="G787" s="701"/>
      <c r="H787" s="701"/>
      <c r="I787" s="701"/>
      <c r="J787" s="701"/>
      <c r="K787" s="701"/>
      <c r="L787" s="701"/>
      <c r="M787" s="701"/>
      <c r="N787" s="701"/>
      <c r="O787" s="701"/>
      <c r="P787" s="701"/>
      <c r="Q787" s="701"/>
      <c r="R787" s="701"/>
      <c r="S787" s="703"/>
      <c r="T787" s="2066" t="s">
        <v>1746</v>
      </c>
      <c r="U787" s="2067"/>
      <c r="V787" s="2067"/>
      <c r="W787" s="2067"/>
      <c r="X787" s="2067"/>
      <c r="Y787" s="2068"/>
      <c r="Z787" s="2066" t="s">
        <v>1747</v>
      </c>
      <c r="AA787" s="2067"/>
      <c r="AB787" s="2067"/>
      <c r="AC787" s="2067"/>
      <c r="AD787" s="2067"/>
      <c r="AE787" s="2068"/>
      <c r="AF787" s="2066" t="s">
        <v>1748</v>
      </c>
      <c r="AG787" s="2067"/>
      <c r="AH787" s="2067"/>
      <c r="AI787" s="2067"/>
      <c r="AJ787" s="2067"/>
      <c r="AK787" s="2068"/>
      <c r="AL787" s="853"/>
      <c r="AM787" s="630"/>
      <c r="AO787" s="851"/>
      <c r="AP787" s="851"/>
      <c r="AQ787" s="851"/>
    </row>
    <row r="788" spans="1:81">
      <c r="A788" s="854"/>
      <c r="B788" s="728"/>
      <c r="C788" s="728"/>
      <c r="D788" s="728"/>
      <c r="E788" s="728"/>
      <c r="F788" s="728"/>
      <c r="G788" s="728"/>
      <c r="H788" s="728"/>
      <c r="I788" s="728"/>
      <c r="J788" s="728"/>
      <c r="K788" s="728"/>
      <c r="L788" s="728"/>
      <c r="M788" s="728"/>
      <c r="N788" s="728"/>
      <c r="O788" s="728"/>
      <c r="P788" s="728"/>
      <c r="Q788" s="728"/>
      <c r="R788" s="728"/>
      <c r="S788" s="742"/>
      <c r="T788" s="2069"/>
      <c r="U788" s="2070"/>
      <c r="V788" s="2070"/>
      <c r="W788" s="2070"/>
      <c r="X788" s="2070"/>
      <c r="Y788" s="2071"/>
      <c r="Z788" s="2069"/>
      <c r="AA788" s="2070"/>
      <c r="AB788" s="2070"/>
      <c r="AC788" s="2070"/>
      <c r="AD788" s="2070"/>
      <c r="AE788" s="2071"/>
      <c r="AF788" s="2069"/>
      <c r="AG788" s="2070"/>
      <c r="AH788" s="2070"/>
      <c r="AI788" s="2070"/>
      <c r="AJ788" s="2070"/>
      <c r="AK788" s="2071"/>
      <c r="AL788" s="853"/>
      <c r="AM788" s="630"/>
      <c r="AO788" s="851"/>
      <c r="AP788" s="851"/>
      <c r="AQ788" s="851"/>
    </row>
    <row r="789" spans="1:81">
      <c r="A789" s="854" t="s">
        <v>769</v>
      </c>
      <c r="B789" s="2046" t="s">
        <v>1476</v>
      </c>
      <c r="C789" s="2046"/>
      <c r="D789" s="2046"/>
      <c r="E789" s="2046"/>
      <c r="F789" s="2046"/>
      <c r="G789" s="2046"/>
      <c r="H789" s="2046"/>
      <c r="I789" s="2046"/>
      <c r="J789" s="2046"/>
      <c r="K789" s="2046"/>
      <c r="L789" s="2046"/>
      <c r="M789" s="2046"/>
      <c r="N789" s="2046"/>
      <c r="O789" s="2046"/>
      <c r="P789" s="2046"/>
      <c r="Q789" s="2046"/>
      <c r="R789" s="2046"/>
      <c r="S789" s="2047"/>
      <c r="T789" s="2048">
        <f>AK56</f>
        <v>0</v>
      </c>
      <c r="U789" s="2049"/>
      <c r="V789" s="2049"/>
      <c r="W789" s="2049"/>
      <c r="X789" s="2049"/>
      <c r="Y789" s="2050"/>
      <c r="Z789" s="2051">
        <v>20</v>
      </c>
      <c r="AA789" s="2049"/>
      <c r="AB789" s="2049"/>
      <c r="AC789" s="2049"/>
      <c r="AD789" s="2049"/>
      <c r="AE789" s="2050"/>
      <c r="AF789" s="2015">
        <f>IF(T789&gt;Z789,Z789,T789)</f>
        <v>0</v>
      </c>
      <c r="AG789" s="2015"/>
      <c r="AH789" s="2015"/>
      <c r="AI789" s="2015"/>
      <c r="AJ789" s="2015"/>
      <c r="AK789" s="2015"/>
      <c r="AL789" s="853"/>
      <c r="AM789" s="630"/>
      <c r="AO789" s="851"/>
      <c r="AP789" s="851"/>
      <c r="AQ789" s="851"/>
    </row>
    <row r="790" spans="1:81">
      <c r="A790" s="854" t="s">
        <v>1718</v>
      </c>
      <c r="B790" s="2046" t="s">
        <v>1485</v>
      </c>
      <c r="C790" s="2046"/>
      <c r="D790" s="2046"/>
      <c r="E790" s="2046"/>
      <c r="F790" s="2046"/>
      <c r="G790" s="2046"/>
      <c r="H790" s="2046"/>
      <c r="I790" s="2046"/>
      <c r="J790" s="2046"/>
      <c r="K790" s="2046"/>
      <c r="L790" s="2046"/>
      <c r="M790" s="2046"/>
      <c r="N790" s="2046"/>
      <c r="O790" s="2046"/>
      <c r="P790" s="2046"/>
      <c r="Q790" s="2046"/>
      <c r="R790" s="2046"/>
      <c r="S790" s="2047"/>
      <c r="T790" s="2048">
        <f>AK78</f>
        <v>10</v>
      </c>
      <c r="U790" s="2049"/>
      <c r="V790" s="2049"/>
      <c r="W790" s="2049"/>
      <c r="X790" s="2049"/>
      <c r="Y790" s="2050"/>
      <c r="Z790" s="2051">
        <v>10</v>
      </c>
      <c r="AA790" s="2049"/>
      <c r="AB790" s="2049"/>
      <c r="AC790" s="2049"/>
      <c r="AD790" s="2049"/>
      <c r="AE790" s="2050"/>
      <c r="AF790" s="2015">
        <f>IF(T790&gt;Z790,Z790,T790)</f>
        <v>10</v>
      </c>
      <c r="AG790" s="2015"/>
      <c r="AH790" s="2015"/>
      <c r="AI790" s="2015"/>
      <c r="AJ790" s="2015"/>
      <c r="AK790" s="2015"/>
      <c r="AL790" s="853"/>
      <c r="AM790" s="630"/>
      <c r="AO790" s="851"/>
      <c r="AP790" s="851"/>
      <c r="AQ790" s="851"/>
    </row>
    <row r="791" spans="1:81">
      <c r="A791" s="854" t="s">
        <v>1727</v>
      </c>
      <c r="B791" s="2046" t="s">
        <v>1495</v>
      </c>
      <c r="C791" s="2046"/>
      <c r="D791" s="2046"/>
      <c r="E791" s="2046"/>
      <c r="F791" s="2046"/>
      <c r="G791" s="2046"/>
      <c r="H791" s="2046"/>
      <c r="I791" s="2046"/>
      <c r="J791" s="2046"/>
      <c r="K791" s="2046"/>
      <c r="L791" s="2046"/>
      <c r="M791" s="2046"/>
      <c r="N791" s="2046"/>
      <c r="O791" s="2046"/>
      <c r="P791" s="2046"/>
      <c r="Q791" s="2046"/>
      <c r="R791" s="2046"/>
      <c r="S791" s="2047"/>
      <c r="T791" s="2048">
        <f>AK103</f>
        <v>20</v>
      </c>
      <c r="U791" s="2049"/>
      <c r="V791" s="2049"/>
      <c r="W791" s="2049"/>
      <c r="X791" s="2049"/>
      <c r="Y791" s="2050"/>
      <c r="Z791" s="2051">
        <v>20</v>
      </c>
      <c r="AA791" s="2049"/>
      <c r="AB791" s="2049"/>
      <c r="AC791" s="2049"/>
      <c r="AD791" s="2049"/>
      <c r="AE791" s="2050"/>
      <c r="AF791" s="2015">
        <f>IF(T791&gt;Z791,Z791,T791)</f>
        <v>20</v>
      </c>
      <c r="AG791" s="2015"/>
      <c r="AH791" s="2015"/>
      <c r="AI791" s="2015"/>
      <c r="AJ791" s="2015"/>
      <c r="AK791" s="2015"/>
      <c r="AL791" s="853"/>
      <c r="AM791" s="630"/>
      <c r="AO791" s="851"/>
      <c r="AP791" s="851"/>
      <c r="AQ791" s="851"/>
    </row>
    <row r="792" spans="1:81">
      <c r="A792" s="854" t="s">
        <v>1749</v>
      </c>
      <c r="B792" s="2046" t="s">
        <v>1505</v>
      </c>
      <c r="C792" s="2046"/>
      <c r="D792" s="2046"/>
      <c r="E792" s="2046"/>
      <c r="F792" s="2046"/>
      <c r="G792" s="2046"/>
      <c r="H792" s="2046"/>
      <c r="I792" s="2046"/>
      <c r="J792" s="2046"/>
      <c r="K792" s="2046"/>
      <c r="L792" s="2046"/>
      <c r="M792" s="2046"/>
      <c r="N792" s="2046"/>
      <c r="O792" s="2046"/>
      <c r="P792" s="2046"/>
      <c r="Q792" s="2046"/>
      <c r="R792" s="2046"/>
      <c r="S792" s="2047"/>
      <c r="T792" s="2048">
        <f>AK137</f>
        <v>10</v>
      </c>
      <c r="U792" s="2049"/>
      <c r="V792" s="2049"/>
      <c r="W792" s="2049"/>
      <c r="X792" s="2049"/>
      <c r="Y792" s="2050"/>
      <c r="Z792" s="2051">
        <v>10</v>
      </c>
      <c r="AA792" s="2049"/>
      <c r="AB792" s="2049"/>
      <c r="AC792" s="2049"/>
      <c r="AD792" s="2049"/>
      <c r="AE792" s="2050"/>
      <c r="AF792" s="2015">
        <f>IF(T792&gt;Z792,Z792,T792)</f>
        <v>10</v>
      </c>
      <c r="AG792" s="2015"/>
      <c r="AH792" s="2015"/>
      <c r="AI792" s="2015"/>
      <c r="AJ792" s="2015"/>
      <c r="AK792" s="2015"/>
      <c r="AL792" s="853"/>
      <c r="AM792" s="630"/>
      <c r="AO792" s="851"/>
      <c r="AP792" s="851"/>
      <c r="AQ792" s="851"/>
    </row>
    <row r="793" spans="1:81">
      <c r="A793" s="855" t="s">
        <v>1750</v>
      </c>
      <c r="B793" s="2046" t="s">
        <v>1751</v>
      </c>
      <c r="C793" s="2046"/>
      <c r="D793" s="2046"/>
      <c r="E793" s="2046"/>
      <c r="F793" s="2046"/>
      <c r="G793" s="2046"/>
      <c r="H793" s="2046"/>
      <c r="I793" s="2046"/>
      <c r="J793" s="2046"/>
      <c r="K793" s="2046"/>
      <c r="L793" s="2046"/>
      <c r="M793" s="2046"/>
      <c r="N793" s="2046"/>
      <c r="O793" s="2046"/>
      <c r="P793" s="2046"/>
      <c r="Q793" s="2046"/>
      <c r="R793" s="2046"/>
      <c r="S793" s="2047"/>
      <c r="T793" s="2072">
        <f>SUM(T794:Y795)</f>
        <v>10</v>
      </c>
      <c r="U793" s="2072"/>
      <c r="V793" s="2072"/>
      <c r="W793" s="2072"/>
      <c r="X793" s="2072"/>
      <c r="Y793" s="2072"/>
      <c r="Z793" s="2015">
        <v>10</v>
      </c>
      <c r="AA793" s="2015"/>
      <c r="AB793" s="2015"/>
      <c r="AC793" s="2015"/>
      <c r="AD793" s="2015"/>
      <c r="AE793" s="2015"/>
      <c r="AF793" s="2015">
        <f>IF(T793&gt;Z793,Z793,T793)</f>
        <v>10</v>
      </c>
      <c r="AG793" s="2015"/>
      <c r="AH793" s="2015"/>
      <c r="AI793" s="2015"/>
      <c r="AJ793" s="2015"/>
      <c r="AK793" s="2015"/>
      <c r="AL793" s="853"/>
      <c r="AM793" s="630"/>
    </row>
    <row r="794" spans="1:81">
      <c r="A794" s="569"/>
      <c r="B794" s="635"/>
      <c r="C794" s="2073" t="s">
        <v>1752</v>
      </c>
      <c r="D794" s="2073"/>
      <c r="E794" s="2073"/>
      <c r="F794" s="2073"/>
      <c r="G794" s="2073"/>
      <c r="H794" s="2073"/>
      <c r="I794" s="2073"/>
      <c r="J794" s="2073"/>
      <c r="K794" s="2073"/>
      <c r="L794" s="2073"/>
      <c r="M794" s="2073"/>
      <c r="N794" s="2073"/>
      <c r="O794" s="2073"/>
      <c r="P794" s="2073"/>
      <c r="Q794" s="2073"/>
      <c r="R794" s="2073"/>
      <c r="S794" s="2074"/>
      <c r="T794" s="1952">
        <f>AJ155</f>
        <v>7</v>
      </c>
      <c r="U794" s="1952"/>
      <c r="V794" s="1952"/>
      <c r="W794" s="1952"/>
      <c r="X794" s="1952"/>
      <c r="Y794" s="1952"/>
      <c r="Z794" s="1953">
        <v>7</v>
      </c>
      <c r="AA794" s="1953"/>
      <c r="AB794" s="1953"/>
      <c r="AC794" s="1953"/>
      <c r="AD794" s="1953"/>
      <c r="AE794" s="1953"/>
      <c r="AF794" s="2075"/>
      <c r="AG794" s="2075"/>
      <c r="AH794" s="2075"/>
      <c r="AI794" s="2075"/>
      <c r="AJ794" s="2075"/>
      <c r="AK794" s="2075"/>
      <c r="AL794" s="853"/>
      <c r="AM794" s="630"/>
    </row>
    <row r="795" spans="1:81">
      <c r="A795" s="634"/>
      <c r="B795" s="635"/>
      <c r="C795" s="2073" t="s">
        <v>1753</v>
      </c>
      <c r="D795" s="2073"/>
      <c r="E795" s="2073"/>
      <c r="F795" s="2073"/>
      <c r="G795" s="2073"/>
      <c r="H795" s="2073"/>
      <c r="I795" s="2073"/>
      <c r="J795" s="2073"/>
      <c r="K795" s="2073"/>
      <c r="L795" s="2073"/>
      <c r="M795" s="2073"/>
      <c r="N795" s="2073"/>
      <c r="O795" s="2073"/>
      <c r="P795" s="2073"/>
      <c r="Q795" s="2073"/>
      <c r="R795" s="2073"/>
      <c r="S795" s="2074"/>
      <c r="T795" s="1952">
        <f>AJ169</f>
        <v>3</v>
      </c>
      <c r="U795" s="1952"/>
      <c r="V795" s="1952"/>
      <c r="W795" s="1952"/>
      <c r="X795" s="1952"/>
      <c r="Y795" s="1952"/>
      <c r="Z795" s="1953">
        <v>3</v>
      </c>
      <c r="AA795" s="1953"/>
      <c r="AB795" s="1953"/>
      <c r="AC795" s="1953"/>
      <c r="AD795" s="1953"/>
      <c r="AE795" s="1953"/>
      <c r="AF795" s="2075"/>
      <c r="AG795" s="2075"/>
      <c r="AH795" s="2075"/>
      <c r="AI795" s="2075"/>
      <c r="AJ795" s="2075"/>
      <c r="AK795" s="2075"/>
      <c r="AL795" s="853"/>
      <c r="AM795" s="630"/>
      <c r="AO795" s="584"/>
    </row>
    <row r="796" spans="1:81">
      <c r="A796" s="855" t="s">
        <v>1533</v>
      </c>
      <c r="B796" s="2046" t="s">
        <v>1754</v>
      </c>
      <c r="C796" s="2046"/>
      <c r="D796" s="2046"/>
      <c r="E796" s="2046"/>
      <c r="F796" s="2046"/>
      <c r="G796" s="2046"/>
      <c r="H796" s="2046"/>
      <c r="I796" s="2046"/>
      <c r="J796" s="2046"/>
      <c r="K796" s="2046"/>
      <c r="L796" s="2046"/>
      <c r="M796" s="2046"/>
      <c r="N796" s="2046"/>
      <c r="O796" s="2046"/>
      <c r="P796" s="2046"/>
      <c r="Q796" s="2046"/>
      <c r="R796" s="2046"/>
      <c r="S796" s="2047"/>
      <c r="T796" s="2072">
        <f>AK180</f>
        <v>10</v>
      </c>
      <c r="U796" s="2072"/>
      <c r="V796" s="2072"/>
      <c r="W796" s="2072"/>
      <c r="X796" s="2072"/>
      <c r="Y796" s="2072"/>
      <c r="Z796" s="2015">
        <v>10</v>
      </c>
      <c r="AA796" s="2015"/>
      <c r="AB796" s="2015"/>
      <c r="AC796" s="2015"/>
      <c r="AD796" s="2015"/>
      <c r="AE796" s="2015"/>
      <c r="AF796" s="2015">
        <f>IF(T796&gt;Z796,Z796,T796)</f>
        <v>10</v>
      </c>
      <c r="AG796" s="2015"/>
      <c r="AH796" s="2015"/>
      <c r="AI796" s="2015"/>
      <c r="AJ796" s="2015"/>
      <c r="AK796" s="2015"/>
      <c r="AL796" s="853"/>
      <c r="AM796" s="630"/>
    </row>
    <row r="797" spans="1:81">
      <c r="A797" s="854" t="s">
        <v>1542</v>
      </c>
      <c r="B797" s="2046" t="s">
        <v>1543</v>
      </c>
      <c r="C797" s="2046"/>
      <c r="D797" s="2046"/>
      <c r="E797" s="2046"/>
      <c r="F797" s="2046"/>
      <c r="G797" s="2046"/>
      <c r="H797" s="2046"/>
      <c r="I797" s="2046"/>
      <c r="J797" s="2046"/>
      <c r="K797" s="2046"/>
      <c r="L797" s="2046"/>
      <c r="M797" s="2046"/>
      <c r="N797" s="2046"/>
      <c r="O797" s="2046"/>
      <c r="P797" s="2046"/>
      <c r="Q797" s="2046"/>
      <c r="R797" s="2046"/>
      <c r="S797" s="2047"/>
      <c r="T797" s="2072">
        <f>AK262</f>
        <v>8</v>
      </c>
      <c r="U797" s="2072"/>
      <c r="V797" s="2072"/>
      <c r="W797" s="2072"/>
      <c r="X797" s="2072"/>
      <c r="Y797" s="2072"/>
      <c r="Z797" s="2051">
        <v>8</v>
      </c>
      <c r="AA797" s="2049"/>
      <c r="AB797" s="2049"/>
      <c r="AC797" s="2049"/>
      <c r="AD797" s="2049"/>
      <c r="AE797" s="2050"/>
      <c r="AF797" s="2015">
        <f>IF(T797&gt;Z797,Z797,T797)</f>
        <v>8</v>
      </c>
      <c r="AG797" s="2015"/>
      <c r="AH797" s="2015"/>
      <c r="AI797" s="2015"/>
      <c r="AJ797" s="2015"/>
      <c r="AK797" s="2015"/>
      <c r="AL797" s="853"/>
      <c r="AM797" s="630"/>
    </row>
    <row r="798" spans="1:81" s="568" customFormat="1" hidden="1">
      <c r="A798" s="855" t="s">
        <v>598</v>
      </c>
      <c r="B798" s="2046" t="s">
        <v>1755</v>
      </c>
      <c r="C798" s="2046"/>
      <c r="D798" s="2046"/>
      <c r="E798" s="2046"/>
      <c r="F798" s="2046"/>
      <c r="G798" s="2046"/>
      <c r="H798" s="2046"/>
      <c r="I798" s="2046"/>
      <c r="J798" s="2046"/>
      <c r="K798" s="2046"/>
      <c r="L798" s="2046"/>
      <c r="M798" s="2046"/>
      <c r="N798" s="2046"/>
      <c r="O798" s="2046"/>
      <c r="P798" s="2046"/>
      <c r="Q798" s="2046"/>
      <c r="R798" s="2046"/>
      <c r="S798" s="2047"/>
      <c r="T798" s="2072">
        <f>IF(AK524&gt;5,5,AK524)</f>
        <v>0</v>
      </c>
      <c r="U798" s="2072"/>
      <c r="V798" s="2072"/>
      <c r="W798" s="2072"/>
      <c r="X798" s="2072"/>
      <c r="Y798" s="2072"/>
      <c r="Z798" s="2015">
        <v>5</v>
      </c>
      <c r="AA798" s="2015"/>
      <c r="AB798" s="2015"/>
      <c r="AC798" s="2015"/>
      <c r="AD798" s="2015"/>
      <c r="AE798" s="2015"/>
      <c r="AF798" s="2015">
        <f>IF(T798&gt;Z798,5,T798)</f>
        <v>0</v>
      </c>
      <c r="AG798" s="2015"/>
      <c r="AH798" s="2015"/>
      <c r="AI798" s="2015"/>
      <c r="AJ798" s="2015"/>
      <c r="AK798" s="2015"/>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c r="A799" s="854" t="s">
        <v>1548</v>
      </c>
      <c r="B799" s="2046" t="s">
        <v>1756</v>
      </c>
      <c r="C799" s="2046"/>
      <c r="D799" s="2046"/>
      <c r="E799" s="2046"/>
      <c r="F799" s="2046"/>
      <c r="G799" s="2046"/>
      <c r="H799" s="2046"/>
      <c r="I799" s="2046"/>
      <c r="J799" s="2046"/>
      <c r="K799" s="2046"/>
      <c r="L799" s="2046"/>
      <c r="M799" s="2046"/>
      <c r="N799" s="2046"/>
      <c r="O799" s="2046"/>
      <c r="P799" s="2046"/>
      <c r="Q799" s="2046"/>
      <c r="R799" s="2046"/>
      <c r="S799" s="2047"/>
      <c r="T799" s="2072">
        <f>AK274</f>
        <v>10</v>
      </c>
      <c r="U799" s="2072"/>
      <c r="V799" s="2072"/>
      <c r="W799" s="2072"/>
      <c r="X799" s="2072"/>
      <c r="Y799" s="2072"/>
      <c r="Z799" s="2015">
        <v>10</v>
      </c>
      <c r="AA799" s="2015"/>
      <c r="AB799" s="2015"/>
      <c r="AC799" s="2015"/>
      <c r="AD799" s="2015"/>
      <c r="AE799" s="2015"/>
      <c r="AF799" s="2078">
        <f>IF(T799&gt;Z799,Z799,T799)</f>
        <v>10</v>
      </c>
      <c r="AG799" s="2079"/>
      <c r="AH799" s="2079"/>
      <c r="AI799" s="2079"/>
      <c r="AJ799" s="2079"/>
      <c r="AK799" s="2080"/>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c r="A800" s="855" t="s">
        <v>1552</v>
      </c>
      <c r="B800" s="2046" t="s">
        <v>1553</v>
      </c>
      <c r="C800" s="2046"/>
      <c r="D800" s="2046"/>
      <c r="E800" s="2046"/>
      <c r="F800" s="2046"/>
      <c r="G800" s="2046"/>
      <c r="H800" s="2046"/>
      <c r="I800" s="2046"/>
      <c r="J800" s="2046"/>
      <c r="K800" s="2046"/>
      <c r="L800" s="2046"/>
      <c r="M800" s="2046"/>
      <c r="N800" s="2046"/>
      <c r="O800" s="2046"/>
      <c r="P800" s="2046"/>
      <c r="Q800" s="2046"/>
      <c r="R800" s="2046"/>
      <c r="S800" s="2047"/>
      <c r="T800" s="2072">
        <f>AK327</f>
        <v>9</v>
      </c>
      <c r="U800" s="2072"/>
      <c r="V800" s="2072"/>
      <c r="W800" s="2072"/>
      <c r="X800" s="2072"/>
      <c r="Y800" s="2072"/>
      <c r="Z800" s="2078">
        <v>10</v>
      </c>
      <c r="AA800" s="2079"/>
      <c r="AB800" s="2079"/>
      <c r="AC800" s="2079"/>
      <c r="AD800" s="2079"/>
      <c r="AE800" s="2080"/>
      <c r="AF800" s="2078">
        <f>IF(T800&gt;Z800,Z800,T800)</f>
        <v>9</v>
      </c>
      <c r="AG800" s="2079"/>
      <c r="AH800" s="2079"/>
      <c r="AI800" s="2079"/>
      <c r="AJ800" s="2079"/>
      <c r="AK800" s="2080"/>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idden="1">
      <c r="A801" s="855"/>
      <c r="B801" s="856"/>
      <c r="C801" s="857" t="s">
        <v>1757</v>
      </c>
      <c r="D801" s="858"/>
      <c r="E801" s="858"/>
      <c r="F801" s="858"/>
      <c r="G801" s="858"/>
      <c r="H801" s="858"/>
      <c r="I801" s="858"/>
      <c r="J801" s="858"/>
      <c r="K801" s="858"/>
      <c r="L801" s="858"/>
      <c r="M801" s="858"/>
      <c r="N801" s="858"/>
      <c r="O801" s="858"/>
      <c r="P801" s="858"/>
      <c r="Q801" s="858"/>
      <c r="R801" s="856"/>
      <c r="S801" s="859"/>
      <c r="T801" s="1952">
        <f>AK327</f>
        <v>9</v>
      </c>
      <c r="U801" s="1952"/>
      <c r="V801" s="1952"/>
      <c r="W801" s="1952"/>
      <c r="X801" s="1952"/>
      <c r="Y801" s="1952"/>
      <c r="Z801" s="1957">
        <v>20</v>
      </c>
      <c r="AA801" s="1958"/>
      <c r="AB801" s="1958"/>
      <c r="AC801" s="1958"/>
      <c r="AD801" s="1958"/>
      <c r="AE801" s="1959"/>
      <c r="AF801" s="2075"/>
      <c r="AG801" s="2075"/>
      <c r="AH801" s="2075"/>
      <c r="AI801" s="2075"/>
      <c r="AJ801" s="2075"/>
      <c r="AK801" s="2075"/>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c r="A802" s="855" t="s">
        <v>1625</v>
      </c>
      <c r="B802" s="2046" t="s">
        <v>873</v>
      </c>
      <c r="C802" s="2046"/>
      <c r="D802" s="2046"/>
      <c r="E802" s="2046"/>
      <c r="F802" s="2046"/>
      <c r="G802" s="2046"/>
      <c r="H802" s="2046"/>
      <c r="I802" s="2046"/>
      <c r="J802" s="2046"/>
      <c r="K802" s="2046"/>
      <c r="L802" s="2046"/>
      <c r="M802" s="2046"/>
      <c r="N802" s="2046"/>
      <c r="O802" s="2046"/>
      <c r="P802" s="2046"/>
      <c r="Q802" s="2046"/>
      <c r="R802" s="2046"/>
      <c r="S802" s="2047"/>
      <c r="T802" s="2072">
        <f>AK458</f>
        <v>10</v>
      </c>
      <c r="U802" s="2072"/>
      <c r="V802" s="2072"/>
      <c r="W802" s="2072"/>
      <c r="X802" s="2072"/>
      <c r="Y802" s="2072"/>
      <c r="Z802" s="2078">
        <v>10</v>
      </c>
      <c r="AA802" s="2079"/>
      <c r="AB802" s="2079"/>
      <c r="AC802" s="2079"/>
      <c r="AD802" s="2079"/>
      <c r="AE802" s="2080"/>
      <c r="AF802" s="2015">
        <f>IF(T802&gt;Z802,Z802,T802)</f>
        <v>10</v>
      </c>
      <c r="AG802" s="2015"/>
      <c r="AH802" s="2015"/>
      <c r="AI802" s="2015"/>
      <c r="AJ802" s="2015"/>
      <c r="AK802" s="2015"/>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5" t="s">
        <v>1735</v>
      </c>
      <c r="B803" s="2046" t="s">
        <v>1736</v>
      </c>
      <c r="C803" s="2046"/>
      <c r="D803" s="2046"/>
      <c r="E803" s="2046"/>
      <c r="F803" s="2046"/>
      <c r="G803" s="2046"/>
      <c r="H803" s="2046"/>
      <c r="I803" s="2046"/>
      <c r="J803" s="2046"/>
      <c r="K803" s="2046"/>
      <c r="L803" s="2046"/>
      <c r="M803" s="2046"/>
      <c r="N803" s="2046"/>
      <c r="O803" s="2046"/>
      <c r="P803" s="2046"/>
      <c r="Q803" s="2046"/>
      <c r="R803" s="2046"/>
      <c r="S803" s="2047"/>
      <c r="T803" s="2072">
        <f>AK548</f>
        <v>12</v>
      </c>
      <c r="U803" s="2072"/>
      <c r="V803" s="2072"/>
      <c r="W803" s="2072"/>
      <c r="X803" s="2072"/>
      <c r="Y803" s="2072"/>
      <c r="Z803" s="2078">
        <v>12</v>
      </c>
      <c r="AA803" s="2079"/>
      <c r="AB803" s="2079"/>
      <c r="AC803" s="2079"/>
      <c r="AD803" s="2079"/>
      <c r="AE803" s="2080"/>
      <c r="AF803" s="2015">
        <f>IF(T803&gt;Z803,Z803,T803)</f>
        <v>12</v>
      </c>
      <c r="AG803" s="2015"/>
      <c r="AH803" s="2015"/>
      <c r="AI803" s="2015"/>
      <c r="AJ803" s="2015"/>
      <c r="AK803" s="2015"/>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5" t="s">
        <v>2418</v>
      </c>
      <c r="B804" s="2046" t="s">
        <v>1758</v>
      </c>
      <c r="C804" s="2046"/>
      <c r="D804" s="2046"/>
      <c r="E804" s="2046"/>
      <c r="F804" s="2046"/>
      <c r="G804" s="2046"/>
      <c r="H804" s="2046"/>
      <c r="I804" s="2046"/>
      <c r="J804" s="2046"/>
      <c r="K804" s="2046"/>
      <c r="L804" s="2046"/>
      <c r="M804" s="2046"/>
      <c r="N804" s="2046"/>
      <c r="O804" s="2046"/>
      <c r="P804" s="2046"/>
      <c r="Q804" s="2046"/>
      <c r="R804" s="2046"/>
      <c r="S804" s="2047"/>
      <c r="T804" s="2072">
        <f>AK779</f>
        <v>10</v>
      </c>
      <c r="U804" s="2072"/>
      <c r="V804" s="2072"/>
      <c r="W804" s="2072"/>
      <c r="X804" s="2072"/>
      <c r="Y804" s="2072"/>
      <c r="Z804" s="2078">
        <v>10</v>
      </c>
      <c r="AA804" s="2079"/>
      <c r="AB804" s="2079"/>
      <c r="AC804" s="2079"/>
      <c r="AD804" s="2079"/>
      <c r="AE804" s="2080"/>
      <c r="AF804" s="2015">
        <f>IF(T804&gt;Z804,Z804,T804)</f>
        <v>10</v>
      </c>
      <c r="AG804" s="2015"/>
      <c r="AH804" s="2015"/>
      <c r="AI804" s="2015"/>
      <c r="AJ804" s="2015"/>
      <c r="AK804" s="201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c r="A805" s="2076" t="s">
        <v>1759</v>
      </c>
      <c r="B805" s="2046"/>
      <c r="C805" s="2046"/>
      <c r="D805" s="2046"/>
      <c r="E805" s="2046"/>
      <c r="F805" s="2046"/>
      <c r="G805" s="2046"/>
      <c r="H805" s="2046"/>
      <c r="I805" s="2046"/>
      <c r="J805" s="2046"/>
      <c r="K805" s="2046"/>
      <c r="L805" s="2046"/>
      <c r="M805" s="2046"/>
      <c r="N805" s="2046"/>
      <c r="O805" s="2046"/>
      <c r="P805" s="2046"/>
      <c r="Q805" s="2046"/>
      <c r="R805" s="2046"/>
      <c r="S805" s="2047"/>
      <c r="T805" s="2077"/>
      <c r="U805" s="2077"/>
      <c r="V805" s="2077"/>
      <c r="W805" s="2077"/>
      <c r="X805" s="2077"/>
      <c r="Y805" s="2077"/>
      <c r="Z805" s="1953" t="s">
        <v>1760</v>
      </c>
      <c r="AA805" s="1953"/>
      <c r="AB805" s="1953"/>
      <c r="AC805" s="1953"/>
      <c r="AD805" s="1953"/>
      <c r="AE805" s="1953"/>
      <c r="AF805" s="2078">
        <f>IF(T805&gt;0,T805,0)</f>
        <v>0</v>
      </c>
      <c r="AG805" s="2079"/>
      <c r="AH805" s="2079"/>
      <c r="AI805" s="2079"/>
      <c r="AJ805" s="2079"/>
      <c r="AK805" s="2080"/>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6">
      <c r="A806" s="2081" t="s">
        <v>1761</v>
      </c>
      <c r="B806" s="2082"/>
      <c r="C806" s="2082"/>
      <c r="D806" s="2082"/>
      <c r="E806" s="2082"/>
      <c r="F806" s="2082"/>
      <c r="G806" s="2082"/>
      <c r="H806" s="2082"/>
      <c r="I806" s="2082"/>
      <c r="J806" s="2082"/>
      <c r="K806" s="2082"/>
      <c r="L806" s="2082"/>
      <c r="M806" s="2082"/>
      <c r="N806" s="2082"/>
      <c r="O806" s="2082"/>
      <c r="P806" s="2082"/>
      <c r="Q806" s="2082"/>
      <c r="R806" s="2082"/>
      <c r="S806" s="2082"/>
      <c r="T806" s="2082"/>
      <c r="U806" s="2082"/>
      <c r="V806" s="2082"/>
      <c r="W806" s="2082"/>
      <c r="X806" s="2082"/>
      <c r="Y806" s="2082"/>
      <c r="Z806" s="2082"/>
      <c r="AA806" s="2082"/>
      <c r="AB806" s="2082"/>
      <c r="AC806" s="2082"/>
      <c r="AD806" s="2082"/>
      <c r="AE806" s="2083"/>
      <c r="AF806" s="2087">
        <f>SUM(AF789:AK804)-AF805</f>
        <v>119</v>
      </c>
      <c r="AG806" s="2088"/>
      <c r="AH806" s="2088"/>
      <c r="AI806" s="2088"/>
      <c r="AJ806" s="2088"/>
      <c r="AK806" s="2089"/>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6">
      <c r="A807" s="2084"/>
      <c r="B807" s="2085"/>
      <c r="C807" s="2085"/>
      <c r="D807" s="2085"/>
      <c r="E807" s="2085"/>
      <c r="F807" s="2085"/>
      <c r="G807" s="2085"/>
      <c r="H807" s="2085"/>
      <c r="I807" s="2085"/>
      <c r="J807" s="2085"/>
      <c r="K807" s="2085"/>
      <c r="L807" s="2085"/>
      <c r="M807" s="2085"/>
      <c r="N807" s="2085"/>
      <c r="O807" s="2085"/>
      <c r="P807" s="2085"/>
      <c r="Q807" s="2085"/>
      <c r="R807" s="2085"/>
      <c r="S807" s="2085"/>
      <c r="T807" s="2085"/>
      <c r="U807" s="2085"/>
      <c r="V807" s="2085"/>
      <c r="W807" s="2085"/>
      <c r="X807" s="2085"/>
      <c r="Y807" s="2085"/>
      <c r="Z807" s="2085"/>
      <c r="AA807" s="2085"/>
      <c r="AB807" s="2085"/>
      <c r="AC807" s="2085"/>
      <c r="AD807" s="2085"/>
      <c r="AE807" s="2086"/>
      <c r="AF807" s="2090"/>
      <c r="AG807" s="2091"/>
      <c r="AH807" s="2091"/>
      <c r="AI807" s="2091"/>
      <c r="AJ807" s="2091"/>
      <c r="AK807" s="2092"/>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N9" sqref="N9"/>
    </sheetView>
  </sheetViews>
  <sheetFormatPr defaultColWidth="9.109375" defaultRowHeight="13.8"/>
  <cols>
    <col min="1" max="1" width="2.44140625" style="1087" customWidth="1"/>
    <col min="2" max="9" width="14.6640625" style="1087" customWidth="1"/>
    <col min="10" max="10" width="2.33203125" style="1087" customWidth="1"/>
    <col min="11" max="11" width="11.88671875" style="1088" customWidth="1"/>
    <col min="12" max="12" width="10.6640625" style="1087" customWidth="1"/>
    <col min="13" max="13" width="10.44140625" style="1087" customWidth="1"/>
    <col min="14" max="14" width="10.88671875" style="1087" customWidth="1"/>
    <col min="15" max="16384" width="9.109375" style="1087"/>
  </cols>
  <sheetData>
    <row r="1" spans="1:13" ht="30" customHeight="1">
      <c r="A1" s="2137" t="s">
        <v>1762</v>
      </c>
      <c r="B1" s="2137"/>
      <c r="C1" s="2137"/>
      <c r="D1" s="2137"/>
      <c r="E1" s="2137"/>
      <c r="F1" s="2137"/>
      <c r="G1" s="2137"/>
      <c r="H1" s="2137"/>
      <c r="I1" s="2137"/>
      <c r="J1" s="2137"/>
    </row>
    <row r="2" spans="1:13" ht="15" customHeight="1" thickBot="1">
      <c r="A2" s="1089"/>
      <c r="B2" s="1089"/>
      <c r="I2" s="1090"/>
      <c r="K2" s="1091"/>
    </row>
    <row r="3" spans="1:13" s="1094" customFormat="1" ht="20.100000000000001" customHeight="1">
      <c r="A3" s="1148"/>
      <c r="B3" s="1149"/>
      <c r="C3" s="1150"/>
      <c r="D3" s="1155"/>
      <c r="E3" s="1150"/>
      <c r="F3" s="1151" t="s">
        <v>2383</v>
      </c>
      <c r="G3" s="1150"/>
      <c r="H3" s="1152">
        <f>E16</f>
        <v>66750912.000000007</v>
      </c>
      <c r="I3" s="1153"/>
    </row>
    <row r="4" spans="1:13" s="1094" customFormat="1" ht="20.100000000000001" customHeight="1">
      <c r="B4" s="1142"/>
      <c r="D4" s="1156"/>
      <c r="F4" s="1140" t="s">
        <v>2385</v>
      </c>
      <c r="G4" s="1139" t="s">
        <v>2384</v>
      </c>
      <c r="H4" s="1141">
        <f>I16</f>
        <v>62855643.773120917</v>
      </c>
      <c r="I4" s="1143"/>
      <c r="K4" s="1098"/>
    </row>
    <row r="5" spans="1:13" s="1094" customFormat="1" ht="20.100000000000001" customHeight="1" thickBot="1">
      <c r="B5" s="1144"/>
      <c r="C5" s="1145"/>
      <c r="D5" s="1157"/>
      <c r="E5" s="1146"/>
      <c r="F5" s="1157" t="s">
        <v>2325</v>
      </c>
      <c r="G5" s="1158"/>
      <c r="H5" s="1154">
        <f>H3/H4</f>
        <v>1.0619716543026616</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39" t="s">
        <v>2323</v>
      </c>
      <c r="C8" s="2140"/>
      <c r="D8" s="2140"/>
      <c r="E8" s="2141"/>
      <c r="G8" s="2142" t="s">
        <v>2324</v>
      </c>
      <c r="H8" s="2143"/>
      <c r="I8" s="2144"/>
      <c r="K8" s="1100"/>
    </row>
    <row r="9" spans="1:13" ht="15" customHeight="1">
      <c r="A9" s="1089"/>
      <c r="B9" s="2138" t="s">
        <v>2362</v>
      </c>
      <c r="C9" s="2138"/>
      <c r="D9" s="2138"/>
      <c r="E9" s="1102">
        <f>G31</f>
        <v>10155000</v>
      </c>
      <c r="G9" s="2147" t="s">
        <v>2360</v>
      </c>
      <c r="H9" s="2147"/>
      <c r="I9" s="1103">
        <f>Application!AM550</f>
        <v>73842097</v>
      </c>
      <c r="K9" s="1104"/>
      <c r="M9" s="1105"/>
    </row>
    <row r="10" spans="1:13" ht="15" customHeight="1" thickBot="1">
      <c r="A10" s="1089"/>
      <c r="B10" s="2138" t="s">
        <v>2363</v>
      </c>
      <c r="C10" s="2138"/>
      <c r="D10" s="2138"/>
      <c r="E10" s="1103">
        <f>G40</f>
        <v>39985812.000000007</v>
      </c>
      <c r="G10" s="2147" t="s">
        <v>2326</v>
      </c>
      <c r="H10" s="2147"/>
      <c r="I10" s="1190">
        <f>'Basis &amp; Credits'!AB77</f>
        <v>19673532</v>
      </c>
      <c r="M10" s="1105"/>
    </row>
    <row r="11" spans="1:13" ht="15" customHeight="1">
      <c r="A11" s="1106"/>
      <c r="B11" s="2138" t="s">
        <v>2364</v>
      </c>
      <c r="C11" s="2138"/>
      <c r="D11" s="2138"/>
      <c r="E11" s="1103">
        <f>G49</f>
        <v>450000</v>
      </c>
      <c r="G11" s="2147" t="s">
        <v>2375</v>
      </c>
      <c r="H11" s="2147"/>
      <c r="I11" s="1189">
        <f>I9+I10</f>
        <v>93515629</v>
      </c>
      <c r="M11" s="1105"/>
    </row>
    <row r="12" spans="1:13" ht="15" customHeight="1">
      <c r="A12" s="1092"/>
      <c r="B12" s="2138" t="s">
        <v>2365</v>
      </c>
      <c r="C12" s="2138"/>
      <c r="D12" s="2138"/>
      <c r="E12" s="1103">
        <f>G58</f>
        <v>1740000</v>
      </c>
      <c r="G12" s="1191" t="s">
        <v>2400</v>
      </c>
      <c r="H12" s="1192"/>
      <c r="M12" s="1105"/>
    </row>
    <row r="13" spans="1:13" ht="15" customHeight="1">
      <c r="A13" s="1089"/>
      <c r="B13" s="2138" t="s">
        <v>2366</v>
      </c>
      <c r="C13" s="2138"/>
      <c r="D13" s="2138"/>
      <c r="E13" s="1108">
        <f>G83</f>
        <v>12389100</v>
      </c>
      <c r="G13" s="2148" t="s">
        <v>140</v>
      </c>
      <c r="H13" s="2148"/>
      <c r="I13" s="1107">
        <f>15%*(Application!AJ963&gt;0)</f>
        <v>0.15</v>
      </c>
      <c r="M13" s="1105"/>
    </row>
    <row r="14" spans="1:13" ht="15" customHeight="1">
      <c r="A14" s="1089"/>
      <c r="B14" s="2138" t="s">
        <v>2367</v>
      </c>
      <c r="C14" s="2138"/>
      <c r="D14" s="2138"/>
      <c r="E14" s="1103">
        <f>IF(G96&gt;G106,G96,0)</f>
        <v>2031000</v>
      </c>
      <c r="G14" s="1187" t="s">
        <v>2376</v>
      </c>
      <c r="H14" s="1187"/>
      <c r="I14" s="1107">
        <f>IF(Application!AJ997&gt;0,10%,IF(Application!AJ1001&gt;0,5%,0))</f>
        <v>0.05</v>
      </c>
      <c r="M14" s="1105"/>
    </row>
    <row r="15" spans="1:13" ht="15" customHeight="1" thickBot="1">
      <c r="A15" s="1089"/>
      <c r="B15" s="2145" t="s">
        <v>2386</v>
      </c>
      <c r="C15" s="2145"/>
      <c r="D15" s="2145"/>
      <c r="E15" s="1159">
        <f>IF(E14&gt;0,0,G106)</f>
        <v>0</v>
      </c>
      <c r="G15" s="2151" t="s">
        <v>2377</v>
      </c>
      <c r="H15" s="2152"/>
      <c r="I15" s="1161">
        <f>G114</f>
        <v>0.127859477124183</v>
      </c>
      <c r="M15" s="1105"/>
    </row>
    <row r="16" spans="1:13" ht="15" customHeight="1">
      <c r="A16" s="1089"/>
      <c r="B16" s="2146" t="s">
        <v>2322</v>
      </c>
      <c r="C16" s="2146"/>
      <c r="D16" s="2146"/>
      <c r="E16" s="1160">
        <f>SUM(E9:E15)</f>
        <v>66750912.000000007</v>
      </c>
      <c r="G16" s="1188" t="s">
        <v>2361</v>
      </c>
      <c r="H16" s="1188"/>
      <c r="I16" s="1162">
        <f>I11-((I11*I13)+(I11*I14)+(I11*I15))</f>
        <v>62855643.773120917</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174</v>
      </c>
      <c r="O18" s="1132" t="s">
        <v>591</v>
      </c>
      <c r="P18" s="1087">
        <f>MATCH(Application!T189,Application!BP656:BP713,0)</f>
        <v>43</v>
      </c>
      <c r="S18" s="1109">
        <f>SUM(Cdlac[Population])</f>
        <v>45</v>
      </c>
    </row>
    <row r="19" spans="1:20" ht="15" customHeight="1">
      <c r="A19" s="1089"/>
      <c r="B19" s="1089"/>
      <c r="I19" s="1115"/>
      <c r="L19" s="1087" t="s">
        <v>2318</v>
      </c>
      <c r="M19" s="1087" t="s">
        <v>2317</v>
      </c>
      <c r="N19" s="1087" t="s">
        <v>2331</v>
      </c>
      <c r="O19" s="1087" t="s">
        <v>2332</v>
      </c>
      <c r="P19" s="1087" t="s">
        <v>2319</v>
      </c>
      <c r="Q19" s="1087" t="s">
        <v>2320</v>
      </c>
      <c r="R19" s="1087" t="s">
        <v>2333</v>
      </c>
      <c r="S19" s="1087" t="s">
        <v>2339</v>
      </c>
      <c r="T19" s="1087" t="s">
        <v>387</v>
      </c>
    </row>
    <row r="20" spans="1:20" ht="15" customHeight="1">
      <c r="A20" s="1092"/>
      <c r="C20" s="2149" t="s">
        <v>2379</v>
      </c>
      <c r="D20" s="2149" t="s">
        <v>2380</v>
      </c>
      <c r="E20" s="2149" t="s">
        <v>2381</v>
      </c>
      <c r="F20" s="2149" t="s">
        <v>2382</v>
      </c>
      <c r="G20" s="2149" t="s">
        <v>2378</v>
      </c>
      <c r="H20" s="1116"/>
      <c r="I20" s="1115"/>
      <c r="L20" s="1087">
        <f>IFERROR(MIN(4,MATCH(Application!B714,UnitSizes,0)-1),"")</f>
        <v>0</v>
      </c>
      <c r="M20" s="1109">
        <f>Application!G714</f>
        <v>20</v>
      </c>
      <c r="N20" s="1117">
        <f>Application!AC714</f>
        <v>0.3</v>
      </c>
      <c r="O20" s="1117">
        <f>IF(Cdlac[[#This Row],[Quantity]]&gt;0,IF(Cdlac[[#This Row],[Federal]],30%,IF($G$36,40%,Cdlac[[#This Row],[iAMI]])),"")</f>
        <v>0.3</v>
      </c>
      <c r="P20" s="1109" cm="1">
        <f t="array" ref="P20">IF(Cdlac[[#This Row],[Quantity]]&gt;0,INDEX(TcacRents,$P$18,Cdlac[[#This Row],[Bedrooms]]+1)*Cdlac[[#This Row],[AMI]],"")</f>
        <v>885</v>
      </c>
      <c r="Q20" s="1109" cm="1">
        <f t="array" ref="Q20">IF(Cdlac[[#This Row],[Quantity]]&gt;0,INDEX(HudFmrs,$P$18,Cdlac[[#This Row],[Bedrooms]]+1),"")</f>
        <v>2145</v>
      </c>
      <c r="R20" s="1109">
        <f>IF(Cdlac[[#This Row],[Quantity]]&gt;0,MAX(0,Cdlac[[#This Row],[Fair Market Rent]]-Cdlac[[#This Row],[Restricted Rent]]),"")</f>
        <v>1260</v>
      </c>
      <c r="S20" s="1087">
        <f>IF(Cdlac[[#This Row],[Quantity]]&gt;0,AND(Application!AK714&lt;&gt;"N/A",Application!AK714&lt;&gt;"")*Cdlac[[#This Row],[Quantity]],"")</f>
        <v>20</v>
      </c>
      <c r="T20" s="1087" t="b">
        <f>AND('Subsidy Contract Calculation'!F4&gt;0,'Subsidy Contract Calculation'!C4="Federal",Cdlac[[#This Row],[Quantity]]&gt;0)</f>
        <v>1</v>
      </c>
    </row>
    <row r="21" spans="1:20" ht="15" customHeight="1">
      <c r="A21" s="1092"/>
      <c r="C21" s="2150"/>
      <c r="D21" s="2150"/>
      <c r="E21" s="2150"/>
      <c r="F21" s="2150"/>
      <c r="G21" s="2150"/>
      <c r="H21" s="1116"/>
      <c r="I21" s="1115"/>
      <c r="L21" s="1087">
        <f>IFERROR(MIN(4,MATCH(Application!B715,UnitSizes,0)-1),"")</f>
        <v>0</v>
      </c>
      <c r="M21" s="1109">
        <f>Application!G715</f>
        <v>10</v>
      </c>
      <c r="N21" s="1117">
        <f>Application!AC715</f>
        <v>0.3</v>
      </c>
      <c r="O21" s="1117">
        <f>IF(Cdlac[[#This Row],[Quantity]]&gt;0,IF(Cdlac[[#This Row],[Federal]],30%,IF($G$36,40%,Cdlac[[#This Row],[iAMI]])),"")</f>
        <v>0.3</v>
      </c>
      <c r="P21" s="1109" cm="1">
        <f t="array" ref="P21">IF(Cdlac[[#This Row],[Quantity]]&gt;0,INDEX(TcacRents,$P$18,Cdlac[[#This Row],[Bedrooms]]+1)*Cdlac[[#This Row],[AMI]],"")</f>
        <v>885</v>
      </c>
      <c r="Q21" s="1109" cm="1">
        <f t="array" ref="Q21">IF(Cdlac[[#This Row],[Quantity]]&gt;0,INDEX(HudFmrs,$P$18,Cdlac[[#This Row],[Bedrooms]]+1),"")</f>
        <v>2145</v>
      </c>
      <c r="R21" s="1109">
        <f>IF(Cdlac[[#This Row],[Quantity]]&gt;0,MAX(0,Cdlac[[#This Row],[Fair Market Rent]]-Cdlac[[#This Row],[Restricted Rent]]),"")</f>
        <v>1260</v>
      </c>
      <c r="S21" s="1087">
        <f>IF(Cdlac[[#This Row],[Quantity]]&gt;0,AND(Application!AK715&lt;&gt;"N/A",Application!AK715&lt;&gt;"")*Cdlac[[#This Row],[Quantity]],"")</f>
        <v>0</v>
      </c>
      <c r="T21" s="1087" t="b">
        <f>AND('Subsidy Contract Calculation'!F5&gt;0,'Subsidy Contract Calculation'!C5="Federal",Cdlac[[#This Row],[Quantity]]&gt;0)</f>
        <v>0</v>
      </c>
    </row>
    <row r="22" spans="1:20" ht="15" customHeight="1">
      <c r="C22" s="1118">
        <v>0</v>
      </c>
      <c r="D22" s="1119">
        <v>0.9</v>
      </c>
      <c r="E22" s="1118">
        <f>SUMIFS(Cdlac[Quantity],Cdlac[Bedrooms],C22)</f>
        <v>39</v>
      </c>
      <c r="F22" s="1118">
        <f>E22</f>
        <v>39</v>
      </c>
      <c r="G22" s="1118">
        <f>D22*F22</f>
        <v>35.1</v>
      </c>
      <c r="L22" s="1087">
        <f>IFERROR(MIN(4,MATCH(Application!B716,UnitSizes,0)-1),"")</f>
        <v>0</v>
      </c>
      <c r="M22" s="1109">
        <f>Application!G716</f>
        <v>5</v>
      </c>
      <c r="N22" s="1117">
        <f>Application!AC716</f>
        <v>0.4</v>
      </c>
      <c r="O22" s="1117">
        <f>IF(Cdlac[[#This Row],[Quantity]]&gt;0,IF(Cdlac[[#This Row],[Federal]],30%,IF($G$36,40%,Cdlac[[#This Row],[iAMI]])),"")</f>
        <v>0.4</v>
      </c>
      <c r="P22" s="1109" cm="1">
        <f t="array" ref="P22">IF(Cdlac[[#This Row],[Quantity]]&gt;0,INDEX(TcacRents,$P$18,Cdlac[[#This Row],[Bedrooms]]+1)*Cdlac[[#This Row],[AMI]],"")</f>
        <v>1180</v>
      </c>
      <c r="Q22" s="1109" cm="1">
        <f t="array" ref="Q22">IF(Cdlac[[#This Row],[Quantity]]&gt;0,INDEX(HudFmrs,$P$18,Cdlac[[#This Row],[Bedrooms]]+1),"")</f>
        <v>2145</v>
      </c>
      <c r="R22" s="1109">
        <f>IF(Cdlac[[#This Row],[Quantity]]&gt;0,MAX(0,Cdlac[[#This Row],[Fair Market Rent]]-Cdlac[[#This Row],[Restricted Rent]]),"")</f>
        <v>965</v>
      </c>
      <c r="S22" s="1087">
        <f>IF(Cdlac[[#This Row],[Quantity]]&gt;0,AND(Application!AK716&lt;&gt;"N/A",Application!AK716&lt;&gt;"")*Cdlac[[#This Row],[Quantity]],"")</f>
        <v>0</v>
      </c>
      <c r="T22" s="1087" t="b">
        <f>AND('Subsidy Contract Calculation'!F6&gt;0,'Subsidy Contract Calculation'!C6="Federal",Cdlac[[#This Row],[Quantity]]&gt;0)</f>
        <v>0</v>
      </c>
    </row>
    <row r="23" spans="1:20" ht="15" customHeight="1">
      <c r="C23" s="1118">
        <v>1</v>
      </c>
      <c r="D23" s="1119">
        <v>1</v>
      </c>
      <c r="E23" s="1118">
        <f>SUMIFS(Cdlac[Quantity],Cdlac[Bedrooms],C23)</f>
        <v>47</v>
      </c>
      <c r="F23" s="1118">
        <f>E23</f>
        <v>47</v>
      </c>
      <c r="G23" s="1118">
        <f>D23*F23</f>
        <v>47</v>
      </c>
      <c r="L23" s="1087">
        <f>IFERROR(MIN(4,MATCH(Application!B717,UnitSizes,0)-1),"")</f>
        <v>0</v>
      </c>
      <c r="M23" s="1109">
        <f>Application!G717</f>
        <v>4</v>
      </c>
      <c r="N23" s="1117">
        <f>Application!AC717</f>
        <v>0.5</v>
      </c>
      <c r="O23" s="1117">
        <f>IF(Cdlac[[#This Row],[Quantity]]&gt;0,IF(Cdlac[[#This Row],[Federal]],30%,IF($G$36,40%,Cdlac[[#This Row],[iAMI]])),"")</f>
        <v>0.5</v>
      </c>
      <c r="P23" s="1109" cm="1">
        <f t="array" ref="P23">IF(Cdlac[[#This Row],[Quantity]]&gt;0,INDEX(TcacRents,$P$18,Cdlac[[#This Row],[Bedrooms]]+1)*Cdlac[[#This Row],[AMI]],"")</f>
        <v>1475</v>
      </c>
      <c r="Q23" s="1109" cm="1">
        <f t="array" ref="Q23">IF(Cdlac[[#This Row],[Quantity]]&gt;0,INDEX(HudFmrs,$P$18,Cdlac[[#This Row],[Bedrooms]]+1),"")</f>
        <v>2145</v>
      </c>
      <c r="R23" s="1109">
        <f>IF(Cdlac[[#This Row],[Quantity]]&gt;0,MAX(0,Cdlac[[#This Row],[Fair Market Rent]]-Cdlac[[#This Row],[Restricted Rent]]),"")</f>
        <v>670</v>
      </c>
      <c r="S23" s="1087">
        <f>IF(Cdlac[[#This Row],[Quantity]]&gt;0,AND(Application!AK717&lt;&gt;"N/A",Application!AK717&lt;&gt;"")*Cdlac[[#This Row],[Quantity]],"")</f>
        <v>0</v>
      </c>
      <c r="T23" s="1087" t="b">
        <f>AND('Subsidy Contract Calculation'!F7&gt;0,'Subsidy Contract Calculation'!C7="Federal",Cdlac[[#This Row],[Quantity]]&gt;0)</f>
        <v>0</v>
      </c>
    </row>
    <row r="24" spans="1:20" ht="15" customHeight="1">
      <c r="A24" s="1120"/>
      <c r="C24" s="1121">
        <v>2</v>
      </c>
      <c r="D24" s="1119">
        <v>1.25</v>
      </c>
      <c r="E24" s="1118">
        <f>SUMIFS(Cdlac[Quantity],Cdlac[Bedrooms],C24)</f>
        <v>44</v>
      </c>
      <c r="F24" s="1121">
        <f>SUM(E24:E26)-SUM(F25:F26)</f>
        <v>44</v>
      </c>
      <c r="G24" s="1118">
        <f>D24*F24</f>
        <v>55</v>
      </c>
      <c r="H24" s="1120"/>
      <c r="I24" s="1120"/>
      <c r="L24" s="1087">
        <f>IFERROR(MIN(4,MATCH(Application!B718,UnitSizes,0)-1),"")</f>
        <v>1</v>
      </c>
      <c r="M24" s="1109">
        <f>Application!G718</f>
        <v>20</v>
      </c>
      <c r="N24" s="1117">
        <f>Application!AC718</f>
        <v>0.3</v>
      </c>
      <c r="O24" s="1117">
        <f>IF(Cdlac[[#This Row],[Quantity]]&gt;0,IF(Cdlac[[#This Row],[Federal]],30%,IF($G$36,40%,Cdlac[[#This Row],[iAMI]])),"")</f>
        <v>0.3</v>
      </c>
      <c r="P24" s="1109" cm="1">
        <f t="array" ref="P24">IF(Cdlac[[#This Row],[Quantity]]&gt;0,INDEX(TcacRents,$P$18,Cdlac[[#This Row],[Bedrooms]]+1)*Cdlac[[#This Row],[AMI]],"")</f>
        <v>948</v>
      </c>
      <c r="Q24" s="1109" cm="1">
        <f t="array" ref="Q24">IF(Cdlac[[#This Row],[Quantity]]&gt;0,INDEX(HudFmrs,$P$18,Cdlac[[#This Row],[Bedrooms]]+1),"")</f>
        <v>2418</v>
      </c>
      <c r="R24" s="1109">
        <f>IF(Cdlac[[#This Row],[Quantity]]&gt;0,MAX(0,Cdlac[[#This Row],[Fair Market Rent]]-Cdlac[[#This Row],[Restricted Rent]]),"")</f>
        <v>1470</v>
      </c>
      <c r="S24" s="1087">
        <f>IF(Cdlac[[#This Row],[Quantity]]&gt;0,AND(Application!AK718&lt;&gt;"N/A",Application!AK718&lt;&gt;"")*Cdlac[[#This Row],[Quantity]],"")</f>
        <v>20</v>
      </c>
      <c r="T24" s="1087" t="b">
        <f>AND('Subsidy Contract Calculation'!F8&gt;0,'Subsidy Contract Calculation'!C8="Federal",Cdlac[[#This Row],[Quantity]]&gt;0)</f>
        <v>1</v>
      </c>
    </row>
    <row r="25" spans="1:20" ht="15" customHeight="1">
      <c r="A25" s="1120"/>
      <c r="C25" s="1121">
        <v>3</v>
      </c>
      <c r="D25" s="1119">
        <f>1.5+0.25*0</f>
        <v>1.5</v>
      </c>
      <c r="E25" s="1118">
        <f>SUMIFS(Cdlac[Quantity],Cdlac[Bedrooms],C25)</f>
        <v>44</v>
      </c>
      <c r="F25" s="1121">
        <f>MIN(E25,ROUNDDOWN(E27*30%,0))</f>
        <v>44</v>
      </c>
      <c r="G25" s="1118">
        <f>D25*F25</f>
        <v>66</v>
      </c>
      <c r="H25" s="1120"/>
      <c r="I25" s="1120"/>
      <c r="L25" s="1087">
        <f>IFERROR(MIN(4,MATCH(Application!B719,UnitSizes,0)-1),"")</f>
        <v>1</v>
      </c>
      <c r="M25" s="1109">
        <f>Application!G719</f>
        <v>7</v>
      </c>
      <c r="N25" s="1117">
        <f>Application!AC719</f>
        <v>0.3</v>
      </c>
      <c r="O25" s="1117">
        <f>IF(Cdlac[[#This Row],[Quantity]]&gt;0,IF(Cdlac[[#This Row],[Federal]],30%,IF($G$36,40%,Cdlac[[#This Row],[iAMI]])),"")</f>
        <v>0.3</v>
      </c>
      <c r="P25" s="1109" cm="1">
        <f t="array" ref="P25">IF(Cdlac[[#This Row],[Quantity]]&gt;0,INDEX(TcacRents,$P$18,Cdlac[[#This Row],[Bedrooms]]+1)*Cdlac[[#This Row],[AMI]],"")</f>
        <v>948</v>
      </c>
      <c r="Q25" s="1109" cm="1">
        <f t="array" ref="Q25">IF(Cdlac[[#This Row],[Quantity]]&gt;0,INDEX(HudFmrs,$P$18,Cdlac[[#This Row],[Bedrooms]]+1),"")</f>
        <v>2418</v>
      </c>
      <c r="R25" s="1109">
        <f>IF(Cdlac[[#This Row],[Quantity]]&gt;0,MAX(0,Cdlac[[#This Row],[Fair Market Rent]]-Cdlac[[#This Row],[Restricted Rent]]),"")</f>
        <v>1470</v>
      </c>
      <c r="S25" s="1087">
        <f>IF(Cdlac[[#This Row],[Quantity]]&gt;0,AND(Application!AK719&lt;&gt;"N/A",Application!AK719&lt;&gt;"")*Cdlac[[#This Row],[Quantity]],"")</f>
        <v>0</v>
      </c>
      <c r="T25" s="1087" t="b">
        <f>AND('Subsidy Contract Calculation'!F9&gt;0,'Subsidy Contract Calculation'!C9="Federal",Cdlac[[#This Row],[Quantity]]&gt;0)</f>
        <v>0</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f>IFERROR(MIN(4,MATCH(Application!B720,UnitSizes,0)-1),"")</f>
        <v>1</v>
      </c>
      <c r="M26" s="1109">
        <f>Application!G720</f>
        <v>5</v>
      </c>
      <c r="N26" s="1117">
        <f>Application!AC720</f>
        <v>0.4</v>
      </c>
      <c r="O26" s="1117">
        <f>IF(Cdlac[[#This Row],[Quantity]]&gt;0,IF(Cdlac[[#This Row],[Federal]],30%,IF($G$36,40%,Cdlac[[#This Row],[iAMI]])),"")</f>
        <v>0.4</v>
      </c>
      <c r="P26" s="1109" cm="1">
        <f t="array" ref="P26">IF(Cdlac[[#This Row],[Quantity]]&gt;0,INDEX(TcacRents,$P$18,Cdlac[[#This Row],[Bedrooms]]+1)*Cdlac[[#This Row],[AMI]],"")</f>
        <v>1264</v>
      </c>
      <c r="Q26" s="1109" cm="1">
        <f t="array" ref="Q26">IF(Cdlac[[#This Row],[Quantity]]&gt;0,INDEX(HudFmrs,$P$18,Cdlac[[#This Row],[Bedrooms]]+1),"")</f>
        <v>2418</v>
      </c>
      <c r="R26" s="1109">
        <f>IF(Cdlac[[#This Row],[Quantity]]&gt;0,MAX(0,Cdlac[[#This Row],[Fair Market Rent]]-Cdlac[[#This Row],[Restricted Rent]]),"")</f>
        <v>1154</v>
      </c>
      <c r="S26" s="1087">
        <f>IF(Cdlac[[#This Row],[Quantity]]&gt;0,AND(Application!AK720&lt;&gt;"N/A",Application!AK720&lt;&gt;"")*Cdlac[[#This Row],[Quantity]],"")</f>
        <v>0</v>
      </c>
      <c r="T26" s="1087" t="b">
        <f>AND('Subsidy Contract Calculation'!F10&gt;0,'Subsidy Contract Calculation'!C10="Federal",Cdlac[[#This Row],[Quantity]]&gt;0)</f>
        <v>0</v>
      </c>
    </row>
    <row r="27" spans="1:20" ht="15" customHeight="1">
      <c r="A27" s="1120"/>
      <c r="C27" s="2133" t="s">
        <v>1763</v>
      </c>
      <c r="D27" s="2134"/>
      <c r="E27" s="1137">
        <f>SUM(E22:E26)</f>
        <v>174</v>
      </c>
      <c r="F27" s="1137">
        <f>SUM(F22:F26)</f>
        <v>174</v>
      </c>
      <c r="G27" s="1138">
        <f>SUMPRODUCT(D22:D26,F22:F26)</f>
        <v>203.1</v>
      </c>
      <c r="H27" s="1120"/>
      <c r="I27" s="1120"/>
      <c r="L27" s="1087">
        <f>IFERROR(MIN(4,MATCH(Application!B721,UnitSizes,0)-1),"")</f>
        <v>1</v>
      </c>
      <c r="M27" s="1109">
        <f>Application!G721</f>
        <v>6</v>
      </c>
      <c r="N27" s="1117">
        <f>Application!AC721</f>
        <v>0.5</v>
      </c>
      <c r="O27" s="1117">
        <f>IF(Cdlac[[#This Row],[Quantity]]&gt;0,IF(Cdlac[[#This Row],[Federal]],30%,IF($G$36,40%,Cdlac[[#This Row],[iAMI]])),"")</f>
        <v>0.5</v>
      </c>
      <c r="P27" s="1109" cm="1">
        <f t="array" ref="P27">IF(Cdlac[[#This Row],[Quantity]]&gt;0,INDEX(TcacRents,$P$18,Cdlac[[#This Row],[Bedrooms]]+1)*Cdlac[[#This Row],[AMI]],"")</f>
        <v>1580</v>
      </c>
      <c r="Q27" s="1109" cm="1">
        <f t="array" ref="Q27">IF(Cdlac[[#This Row],[Quantity]]&gt;0,INDEX(HudFmrs,$P$18,Cdlac[[#This Row],[Bedrooms]]+1),"")</f>
        <v>2418</v>
      </c>
      <c r="R27" s="1109">
        <f>IF(Cdlac[[#This Row],[Quantity]]&gt;0,MAX(0,Cdlac[[#This Row],[Fair Market Rent]]-Cdlac[[#This Row],[Restricted Rent]]),"")</f>
        <v>838</v>
      </c>
      <c r="S27" s="1087">
        <f>IF(Cdlac[[#This Row],[Quantity]]&gt;0,AND(Application!AK721&lt;&gt;"N/A",Application!AK721&lt;&gt;"")*Cdlac[[#This Row],[Quantity]],"")</f>
        <v>0</v>
      </c>
      <c r="T27" s="1087" t="b">
        <f>AND('Subsidy Contract Calculation'!F11&gt;0,'Subsidy Contract Calculation'!C11="Federal",Cdlac[[#This Row],[Quantity]]&gt;0)</f>
        <v>0</v>
      </c>
    </row>
    <row r="28" spans="1:20" ht="15" customHeight="1">
      <c r="A28" s="1120"/>
      <c r="C28" s="1120"/>
      <c r="D28" s="1120"/>
      <c r="E28" s="1120"/>
      <c r="F28" s="1120"/>
      <c r="G28" s="1120"/>
      <c r="H28" s="1120"/>
      <c r="I28" s="1120"/>
      <c r="L28" s="1087">
        <f>IFERROR(MIN(4,MATCH(Application!B722,UnitSizes,0)-1),"")</f>
        <v>1</v>
      </c>
      <c r="M28" s="1109">
        <f>Application!G722</f>
        <v>9</v>
      </c>
      <c r="N28" s="1117">
        <f>Application!AC722</f>
        <v>0.6</v>
      </c>
      <c r="O28" s="1117">
        <f>IF(Cdlac[[#This Row],[Quantity]]&gt;0,IF(Cdlac[[#This Row],[Federal]],30%,IF($G$36,40%,Cdlac[[#This Row],[iAMI]])),"")</f>
        <v>0.6</v>
      </c>
      <c r="P28" s="1109" cm="1">
        <f t="array" ref="P28">IF(Cdlac[[#This Row],[Quantity]]&gt;0,INDEX(TcacRents,$P$18,Cdlac[[#This Row],[Bedrooms]]+1)*Cdlac[[#This Row],[AMI]],"")</f>
        <v>1896</v>
      </c>
      <c r="Q28" s="1109" cm="1">
        <f t="array" ref="Q28">IF(Cdlac[[#This Row],[Quantity]]&gt;0,INDEX(HudFmrs,$P$18,Cdlac[[#This Row],[Bedrooms]]+1),"")</f>
        <v>2418</v>
      </c>
      <c r="R28" s="1109">
        <f>IF(Cdlac[[#This Row],[Quantity]]&gt;0,MAX(0,Cdlac[[#This Row],[Fair Market Rent]]-Cdlac[[#This Row],[Restricted Rent]]),"")</f>
        <v>522</v>
      </c>
      <c r="S28" s="1087">
        <f>IF(Cdlac[[#This Row],[Quantity]]&gt;0,AND(Application!AK722&lt;&gt;"N/A",Application!AK722&lt;&gt;"")*Cdlac[[#This Row],[Quantity]],"")</f>
        <v>0</v>
      </c>
      <c r="T28" s="1087" t="b">
        <f>AND('Subsidy Contract Calculation'!F12&gt;0,'Subsidy Contract Calculation'!C12="Federal",Cdlac[[#This Row],[Quantity]]&gt;0)</f>
        <v>0</v>
      </c>
    </row>
    <row r="29" spans="1:20" ht="15" customHeight="1">
      <c r="A29" s="1120"/>
      <c r="E29" s="1167" t="s">
        <v>2378</v>
      </c>
      <c r="G29" s="1164">
        <f>G27</f>
        <v>203.1</v>
      </c>
      <c r="H29" s="1120"/>
      <c r="I29" s="1120"/>
      <c r="L29" s="1087">
        <f>IFERROR(MIN(4,MATCH(Application!B723,UnitSizes,0)-1),"")</f>
        <v>2</v>
      </c>
      <c r="M29" s="1109">
        <f>Application!G723</f>
        <v>3</v>
      </c>
      <c r="N29" s="1117">
        <f>Application!AC723</f>
        <v>0.3</v>
      </c>
      <c r="O29" s="1117">
        <f>IF(Cdlac[[#This Row],[Quantity]]&gt;0,IF(Cdlac[[#This Row],[Federal]],30%,IF($G$36,40%,Cdlac[[#This Row],[iAMI]])),"")</f>
        <v>0.3</v>
      </c>
      <c r="P29" s="1109" cm="1">
        <f t="array" ref="P29">IF(Cdlac[[#This Row],[Quantity]]&gt;0,INDEX(TcacRents,$P$18,Cdlac[[#This Row],[Bedrooms]]+1)*Cdlac[[#This Row],[AMI]],"")</f>
        <v>1137.5999999999999</v>
      </c>
      <c r="Q29" s="1109" cm="1">
        <f t="array" ref="Q29">IF(Cdlac[[#This Row],[Quantity]]&gt;0,INDEX(HudFmrs,$P$18,Cdlac[[#This Row],[Bedrooms]]+1),"")</f>
        <v>2868</v>
      </c>
      <c r="R29" s="1109">
        <f>IF(Cdlac[[#This Row],[Quantity]]&gt;0,MAX(0,Cdlac[[#This Row],[Fair Market Rent]]-Cdlac[[#This Row],[Restricted Rent]]),"")</f>
        <v>1730.4</v>
      </c>
      <c r="S29" s="1087">
        <f>IF(Cdlac[[#This Row],[Quantity]]&gt;0,AND(Application!AK723&lt;&gt;"N/A",Application!AK723&lt;&gt;"")*Cdlac[[#This Row],[Quantity]],"")</f>
        <v>3</v>
      </c>
      <c r="T29" s="1087" t="b">
        <f>AND('Subsidy Contract Calculation'!F13&gt;0,'Subsidy Contract Calculation'!C13="Federal",Cdlac[[#This Row],[Quantity]]&gt;0)</f>
        <v>1</v>
      </c>
    </row>
    <row r="30" spans="1:20" ht="15" customHeight="1">
      <c r="A30" s="1120"/>
      <c r="E30" s="1167" t="s">
        <v>2330</v>
      </c>
      <c r="F30" s="1163" t="s">
        <v>2387</v>
      </c>
      <c r="G30" s="1165">
        <v>50000</v>
      </c>
      <c r="H30" s="1120"/>
      <c r="I30" s="1120"/>
      <c r="L30" s="1087">
        <f>IFERROR(MIN(4,MATCH(Application!B724,UnitSizes,0)-1),"")</f>
        <v>2</v>
      </c>
      <c r="M30" s="1109">
        <f>Application!G724</f>
        <v>12</v>
      </c>
      <c r="N30" s="1117">
        <f>Application!AC724</f>
        <v>0.3</v>
      </c>
      <c r="O30" s="1117">
        <f>IF(Cdlac[[#This Row],[Quantity]]&gt;0,IF(Cdlac[[#This Row],[Federal]],30%,IF($G$36,40%,Cdlac[[#This Row],[iAMI]])),"")</f>
        <v>0.3</v>
      </c>
      <c r="P30" s="1109" cm="1">
        <f t="array" ref="P30">IF(Cdlac[[#This Row],[Quantity]]&gt;0,INDEX(TcacRents,$P$18,Cdlac[[#This Row],[Bedrooms]]+1)*Cdlac[[#This Row],[AMI]],"")</f>
        <v>1137.5999999999999</v>
      </c>
      <c r="Q30" s="1109" cm="1">
        <f t="array" ref="Q30">IF(Cdlac[[#This Row],[Quantity]]&gt;0,INDEX(HudFmrs,$P$18,Cdlac[[#This Row],[Bedrooms]]+1),"")</f>
        <v>2868</v>
      </c>
      <c r="R30" s="1109">
        <f>IF(Cdlac[[#This Row],[Quantity]]&gt;0,MAX(0,Cdlac[[#This Row],[Fair Market Rent]]-Cdlac[[#This Row],[Restricted Rent]]),"")</f>
        <v>1730.4</v>
      </c>
      <c r="S30" s="1087">
        <f>IF(Cdlac[[#This Row],[Quantity]]&gt;0,AND(Application!AK724&lt;&gt;"N/A",Application!AK724&lt;&gt;"")*Cdlac[[#This Row],[Quantity]],"")</f>
        <v>0</v>
      </c>
      <c r="T30" s="1087" t="b">
        <f>AND('Subsidy Contract Calculation'!F14&gt;0,'Subsidy Contract Calculation'!C14="Federal",Cdlac[[#This Row],[Quantity]]&gt;0)</f>
        <v>1</v>
      </c>
    </row>
    <row r="31" spans="1:20" ht="15" customHeight="1">
      <c r="A31" s="1120"/>
      <c r="E31" s="1168" t="s">
        <v>2371</v>
      </c>
      <c r="F31" s="1089"/>
      <c r="G31" s="1169">
        <f>G30*G29</f>
        <v>10155000</v>
      </c>
      <c r="H31" s="1120"/>
      <c r="I31" s="1120"/>
      <c r="L31" s="1087">
        <f>IFERROR(MIN(4,MATCH(Application!B725,UnitSizes,0)-1),"")</f>
        <v>2</v>
      </c>
      <c r="M31" s="1109">
        <f>Application!G725</f>
        <v>3</v>
      </c>
      <c r="N31" s="1117">
        <f>Application!AC725</f>
        <v>0.4</v>
      </c>
      <c r="O31" s="1117">
        <f>IF(Cdlac[[#This Row],[Quantity]]&gt;0,IF(Cdlac[[#This Row],[Federal]],30%,IF($G$36,40%,Cdlac[[#This Row],[iAMI]])),"")</f>
        <v>0.4</v>
      </c>
      <c r="P31" s="1109" cm="1">
        <f t="array" ref="P31">IF(Cdlac[[#This Row],[Quantity]]&gt;0,INDEX(TcacRents,$P$18,Cdlac[[#This Row],[Bedrooms]]+1)*Cdlac[[#This Row],[AMI]],"")</f>
        <v>1516.8000000000002</v>
      </c>
      <c r="Q31" s="1109" cm="1">
        <f t="array" ref="Q31">IF(Cdlac[[#This Row],[Quantity]]&gt;0,INDEX(HudFmrs,$P$18,Cdlac[[#This Row],[Bedrooms]]+1),"")</f>
        <v>2868</v>
      </c>
      <c r="R31" s="1109">
        <f>IF(Cdlac[[#This Row],[Quantity]]&gt;0,MAX(0,Cdlac[[#This Row],[Fair Market Rent]]-Cdlac[[#This Row],[Restricted Rent]]),"")</f>
        <v>1351.1999999999998</v>
      </c>
      <c r="S31" s="1087">
        <f>IF(Cdlac[[#This Row],[Quantity]]&gt;0,AND(Application!AK725&lt;&gt;"N/A",Application!AK725&lt;&gt;"")*Cdlac[[#This Row],[Quantity]],"")</f>
        <v>0</v>
      </c>
      <c r="T31" s="1087" t="b">
        <f>AND('Subsidy Contract Calculation'!F15&gt;0,'Subsidy Contract Calculation'!C15="Federal",Cdlac[[#This Row],[Quantity]]&gt;0)</f>
        <v>0</v>
      </c>
    </row>
    <row r="32" spans="1:20" ht="15" customHeight="1">
      <c r="A32" s="1120"/>
      <c r="B32" s="1120"/>
      <c r="C32" s="1120"/>
      <c r="D32" s="1120"/>
      <c r="E32" s="1120"/>
      <c r="F32" s="1120"/>
      <c r="G32" s="1120"/>
      <c r="H32" s="1120"/>
      <c r="I32" s="1120"/>
      <c r="L32" s="1087">
        <f>IFERROR(MIN(4,MATCH(Application!B726,UnitSizes,0)-1),"")</f>
        <v>2</v>
      </c>
      <c r="M32" s="1109">
        <f>Application!G726</f>
        <v>3</v>
      </c>
      <c r="N32" s="1117">
        <f>Application!AC726</f>
        <v>0.5</v>
      </c>
      <c r="O32" s="1117">
        <f>IF(Cdlac[[#This Row],[Quantity]]&gt;0,IF(Cdlac[[#This Row],[Federal]],30%,IF($G$36,40%,Cdlac[[#This Row],[iAMI]])),"")</f>
        <v>0.3</v>
      </c>
      <c r="P32" s="1109" cm="1">
        <f t="array" ref="P32">IF(Cdlac[[#This Row],[Quantity]]&gt;0,INDEX(TcacRents,$P$18,Cdlac[[#This Row],[Bedrooms]]+1)*Cdlac[[#This Row],[AMI]],"")</f>
        <v>1137.5999999999999</v>
      </c>
      <c r="Q32" s="1109" cm="1">
        <f t="array" ref="Q32">IF(Cdlac[[#This Row],[Quantity]]&gt;0,INDEX(HudFmrs,$P$18,Cdlac[[#This Row],[Bedrooms]]+1),"")</f>
        <v>2868</v>
      </c>
      <c r="R32" s="1109">
        <f>IF(Cdlac[[#This Row],[Quantity]]&gt;0,MAX(0,Cdlac[[#This Row],[Fair Market Rent]]-Cdlac[[#This Row],[Restricted Rent]]),"")</f>
        <v>1730.4</v>
      </c>
      <c r="S32" s="1087">
        <f>IF(Cdlac[[#This Row],[Quantity]]&gt;0,AND(Application!AK726&lt;&gt;"N/A",Application!AK726&lt;&gt;"")*Cdlac[[#This Row],[Quantity]],"")</f>
        <v>0</v>
      </c>
      <c r="T32" s="1087" t="b">
        <f>AND('Subsidy Contract Calculation'!F16&gt;0,'Subsidy Contract Calculation'!C16="Federal",Cdlac[[#This Row],[Quantity]]&gt;0)</f>
        <v>1</v>
      </c>
    </row>
    <row r="33" spans="2:20" ht="15" customHeight="1">
      <c r="B33" s="1112" t="str">
        <f>B10</f>
        <v>B. Rent Savings Benefit</v>
      </c>
      <c r="C33" s="1113"/>
      <c r="D33" s="1113"/>
      <c r="E33" s="1113"/>
      <c r="F33" s="1113"/>
      <c r="G33" s="1113"/>
      <c r="H33" s="1113"/>
      <c r="I33" s="1114"/>
      <c r="L33" s="1087">
        <f>IFERROR(MIN(4,MATCH(Application!B727,UnitSizes,0)-1),"")</f>
        <v>2</v>
      </c>
      <c r="M33" s="1109">
        <f>Application!G727</f>
        <v>6</v>
      </c>
      <c r="N33" s="1117">
        <f>Application!AC727</f>
        <v>0.5</v>
      </c>
      <c r="O33" s="1117">
        <f>IF(Cdlac[[#This Row],[Quantity]]&gt;0,IF(Cdlac[[#This Row],[Federal]],30%,IF($G$36,40%,Cdlac[[#This Row],[iAMI]])),"")</f>
        <v>0.5</v>
      </c>
      <c r="P33" s="1109" cm="1">
        <f t="array" ref="P33">IF(Cdlac[[#This Row],[Quantity]]&gt;0,INDEX(TcacRents,$P$18,Cdlac[[#This Row],[Bedrooms]]+1)*Cdlac[[#This Row],[AMI]],"")</f>
        <v>1896</v>
      </c>
      <c r="Q33" s="1109" cm="1">
        <f t="array" ref="Q33">IF(Cdlac[[#This Row],[Quantity]]&gt;0,INDEX(HudFmrs,$P$18,Cdlac[[#This Row],[Bedrooms]]+1),"")</f>
        <v>2868</v>
      </c>
      <c r="R33" s="1109">
        <f>IF(Cdlac[[#This Row],[Quantity]]&gt;0,MAX(0,Cdlac[[#This Row],[Fair Market Rent]]-Cdlac[[#This Row],[Restricted Rent]]),"")</f>
        <v>972</v>
      </c>
      <c r="S33" s="1087">
        <f>IF(Cdlac[[#This Row],[Quantity]]&gt;0,AND(Application!AK727&lt;&gt;"N/A",Application!AK727&lt;&gt;"")*Cdlac[[#This Row],[Quantity]],"")</f>
        <v>0</v>
      </c>
      <c r="T33" s="1087" t="b">
        <f>AND('Subsidy Contract Calculation'!F17&gt;0,'Subsidy Contract Calculation'!C17="Federal",Cdlac[[#This Row],[Quantity]]&gt;0)</f>
        <v>0</v>
      </c>
    </row>
    <row r="34" spans="2:20" ht="15" customHeight="1">
      <c r="L34" s="1087">
        <f>IFERROR(MIN(4,MATCH(Application!B728,UnitSizes,0)-1),"")</f>
        <v>2</v>
      </c>
      <c r="M34" s="1109">
        <f>Application!G728</f>
        <v>12</v>
      </c>
      <c r="N34" s="1117">
        <f>Application!AC728</f>
        <v>0.6</v>
      </c>
      <c r="O34" s="1117">
        <f>IF(Cdlac[[#This Row],[Quantity]]&gt;0,IF(Cdlac[[#This Row],[Federal]],30%,IF($G$36,40%,Cdlac[[#This Row],[iAMI]])),"")</f>
        <v>0.6</v>
      </c>
      <c r="P34" s="1109" cm="1">
        <f t="array" ref="P34">IF(Cdlac[[#This Row],[Quantity]]&gt;0,INDEX(TcacRents,$P$18,Cdlac[[#This Row],[Bedrooms]]+1)*Cdlac[[#This Row],[AMI]],"")</f>
        <v>2275.1999999999998</v>
      </c>
      <c r="Q34" s="1109" cm="1">
        <f t="array" ref="Q34">IF(Cdlac[[#This Row],[Quantity]]&gt;0,INDEX(HudFmrs,$P$18,Cdlac[[#This Row],[Bedrooms]]+1),"")</f>
        <v>2868</v>
      </c>
      <c r="R34" s="1109">
        <f>IF(Cdlac[[#This Row],[Quantity]]&gt;0,MAX(0,Cdlac[[#This Row],[Fair Market Rent]]-Cdlac[[#This Row],[Restricted Rent]]),"")</f>
        <v>592.80000000000018</v>
      </c>
      <c r="S34" s="1087">
        <f>IF(Cdlac[[#This Row],[Quantity]]&gt;0,AND(Application!AK728&lt;&gt;"N/A",Application!AK728&lt;&gt;"")*Cdlac[[#This Row],[Quantity]],"")</f>
        <v>0</v>
      </c>
      <c r="T34" s="1087" t="b">
        <f>AND('Subsidy Contract Calculation'!F18&gt;0,'Subsidy Contract Calculation'!C18="Federal",Cdlac[[#This Row],[Quantity]]&gt;0)</f>
        <v>0</v>
      </c>
    </row>
    <row r="35" spans="2:20" ht="15" customHeight="1">
      <c r="E35" s="1132" t="s">
        <v>2398</v>
      </c>
      <c r="G35" s="1170" cm="1">
        <f t="array" ref="G35">SUMPRODUCT(Cdlac[Quantity],Cdlac[iAMI],IF(Cdlac[Federal],0,1))/SUMIFS(Cdlac[Quantity],Cdlac[Federal],FALSE)</f>
        <v>0.50303030303030305</v>
      </c>
      <c r="L35" s="1087">
        <f>IFERROR(MIN(4,MATCH(Application!B729,UnitSizes,0)-1),"")</f>
        <v>2</v>
      </c>
      <c r="M35" s="1109">
        <f>Application!G729</f>
        <v>5</v>
      </c>
      <c r="N35" s="1117">
        <f>Application!AC729</f>
        <v>0.7</v>
      </c>
      <c r="O35" s="1117">
        <f>IF(Cdlac[[#This Row],[Quantity]]&gt;0,IF(Cdlac[[#This Row],[Federal]],30%,IF($G$36,40%,Cdlac[[#This Row],[iAMI]])),"")</f>
        <v>0.7</v>
      </c>
      <c r="P35" s="1109" cm="1">
        <f t="array" ref="P35">IF(Cdlac[[#This Row],[Quantity]]&gt;0,INDEX(TcacRents,$P$18,Cdlac[[#This Row],[Bedrooms]]+1)*Cdlac[[#This Row],[AMI]],"")</f>
        <v>2654.3999999999996</v>
      </c>
      <c r="Q35" s="1109" cm="1">
        <f t="array" ref="Q35">IF(Cdlac[[#This Row],[Quantity]]&gt;0,INDEX(HudFmrs,$P$18,Cdlac[[#This Row],[Bedrooms]]+1),"")</f>
        <v>2868</v>
      </c>
      <c r="R35" s="1109">
        <f>IF(Cdlac[[#This Row],[Quantity]]&gt;0,MAX(0,Cdlac[[#This Row],[Fair Market Rent]]-Cdlac[[#This Row],[Restricted Rent]]),"")</f>
        <v>213.60000000000036</v>
      </c>
      <c r="S35" s="1087">
        <f>IF(Cdlac[[#This Row],[Quantity]]&gt;0,AND(Application!AK729&lt;&gt;"N/A",Application!AK729&lt;&gt;"")*Cdlac[[#This Row],[Quantity]],"")</f>
        <v>0</v>
      </c>
      <c r="T35" s="1087" t="b">
        <f>AND('Subsidy Contract Calculation'!F19&gt;0,'Subsidy Contract Calculation'!C19="Federal",Cdlac[[#This Row],[Quantity]]&gt;0)</f>
        <v>0</v>
      </c>
    </row>
    <row r="36" spans="2:20" ht="15" customHeight="1">
      <c r="E36" s="1132" t="s">
        <v>2393</v>
      </c>
      <c r="G36" s="1127" t="b">
        <f>G35&lt;40%</f>
        <v>0</v>
      </c>
      <c r="L36" s="1087">
        <f>IFERROR(MIN(4,MATCH(Application!B730,UnitSizes,0)-1),"")</f>
        <v>3</v>
      </c>
      <c r="M36" s="1109">
        <f>Application!G730</f>
        <v>2</v>
      </c>
      <c r="N36" s="1117">
        <f>Application!AC730</f>
        <v>0.3</v>
      </c>
      <c r="O36" s="1117">
        <f>IF(Cdlac[[#This Row],[Quantity]]&gt;0,IF(Cdlac[[#This Row],[Federal]],30%,IF($G$36,40%,Cdlac[[#This Row],[iAMI]])),"")</f>
        <v>0.3</v>
      </c>
      <c r="P36" s="1109" cm="1">
        <f t="array" ref="P36">IF(Cdlac[[#This Row],[Quantity]]&gt;0,INDEX(TcacRents,$P$18,Cdlac[[#This Row],[Bedrooms]]+1)*Cdlac[[#This Row],[AMI]],"")</f>
        <v>1314</v>
      </c>
      <c r="Q36" s="1109" cm="1">
        <f t="array" ref="Q36">IF(Cdlac[[#This Row],[Quantity]]&gt;0,INDEX(HudFmrs,$P$18,Cdlac[[#This Row],[Bedrooms]]+1),"")</f>
        <v>3687</v>
      </c>
      <c r="R36" s="1109">
        <f>IF(Cdlac[[#This Row],[Quantity]]&gt;0,MAX(0,Cdlac[[#This Row],[Fair Market Rent]]-Cdlac[[#This Row],[Restricted Rent]]),"")</f>
        <v>2373</v>
      </c>
      <c r="S36" s="1087">
        <f>IF(Cdlac[[#This Row],[Quantity]]&gt;0,AND(Application!AK730&lt;&gt;"N/A",Application!AK730&lt;&gt;"")*Cdlac[[#This Row],[Quantity]],"")</f>
        <v>2</v>
      </c>
      <c r="T36" s="1087" t="b">
        <f>AND('Subsidy Contract Calculation'!F20&gt;0,'Subsidy Contract Calculation'!C20="Federal",Cdlac[[#This Row],[Quantity]]&gt;0)</f>
        <v>1</v>
      </c>
    </row>
    <row r="37" spans="2:20" ht="15" customHeight="1">
      <c r="L37" s="1087">
        <f>IFERROR(MIN(4,MATCH(Application!B731,UnitSizes,0)-1),"")</f>
        <v>3</v>
      </c>
      <c r="M37" s="1109">
        <f>Application!G731</f>
        <v>13</v>
      </c>
      <c r="N37" s="1117">
        <f>Application!AC731</f>
        <v>0.3</v>
      </c>
      <c r="O37" s="1117">
        <f>IF(Cdlac[[#This Row],[Quantity]]&gt;0,IF(Cdlac[[#This Row],[Federal]],30%,IF($G$36,40%,Cdlac[[#This Row],[iAMI]])),"")</f>
        <v>0.3</v>
      </c>
      <c r="P37" s="1109" cm="1">
        <f t="array" ref="P37">IF(Cdlac[[#This Row],[Quantity]]&gt;0,INDEX(TcacRents,$P$18,Cdlac[[#This Row],[Bedrooms]]+1)*Cdlac[[#This Row],[AMI]],"")</f>
        <v>1314</v>
      </c>
      <c r="Q37" s="1109" cm="1">
        <f t="array" ref="Q37">IF(Cdlac[[#This Row],[Quantity]]&gt;0,INDEX(HudFmrs,$P$18,Cdlac[[#This Row],[Bedrooms]]+1),"")</f>
        <v>3687</v>
      </c>
      <c r="R37" s="1109">
        <f>IF(Cdlac[[#This Row],[Quantity]]&gt;0,MAX(0,Cdlac[[#This Row],[Fair Market Rent]]-Cdlac[[#This Row],[Restricted Rent]]),"")</f>
        <v>2373</v>
      </c>
      <c r="S37" s="1087">
        <f>IF(Cdlac[[#This Row],[Quantity]]&gt;0,AND(Application!AK731&lt;&gt;"N/A",Application!AK731&lt;&gt;"")*Cdlac[[#This Row],[Quantity]],"")</f>
        <v>0</v>
      </c>
      <c r="T37" s="1087" t="b">
        <f>AND('Subsidy Contract Calculation'!F21&gt;0,'Subsidy Contract Calculation'!C21="Federal",Cdlac[[#This Row],[Quantity]]&gt;0)</f>
        <v>1</v>
      </c>
    </row>
    <row r="38" spans="2:20" ht="15" customHeight="1">
      <c r="E38" s="1132" t="s">
        <v>2334</v>
      </c>
      <c r="G38" s="1124">
        <f>SUMPRODUCT(Cdlac[Quantity],Cdlac[Delta])</f>
        <v>222143.40000000002</v>
      </c>
      <c r="L38" s="1087">
        <f>IFERROR(MIN(4,MATCH(Application!B732,UnitSizes,0)-1),"")</f>
        <v>3</v>
      </c>
      <c r="M38" s="1109">
        <f>Application!G732</f>
        <v>3</v>
      </c>
      <c r="N38" s="1117">
        <f>Application!AC732</f>
        <v>0.4</v>
      </c>
      <c r="O38" s="1117">
        <f>IF(Cdlac[[#This Row],[Quantity]]&gt;0,IF(Cdlac[[#This Row],[Federal]],30%,IF($G$36,40%,Cdlac[[#This Row],[iAMI]])),"")</f>
        <v>0.4</v>
      </c>
      <c r="P38" s="1109" cm="1">
        <f t="array" ref="P38">IF(Cdlac[[#This Row],[Quantity]]&gt;0,INDEX(TcacRents,$P$18,Cdlac[[#This Row],[Bedrooms]]+1)*Cdlac[[#This Row],[AMI]],"")</f>
        <v>1752</v>
      </c>
      <c r="Q38" s="1109" cm="1">
        <f t="array" ref="Q38">IF(Cdlac[[#This Row],[Quantity]]&gt;0,INDEX(HudFmrs,$P$18,Cdlac[[#This Row],[Bedrooms]]+1),"")</f>
        <v>3687</v>
      </c>
      <c r="R38" s="1109">
        <f>IF(Cdlac[[#This Row],[Quantity]]&gt;0,MAX(0,Cdlac[[#This Row],[Fair Market Rent]]-Cdlac[[#This Row],[Restricted Rent]]),"")</f>
        <v>1935</v>
      </c>
      <c r="S38" s="1087">
        <f>IF(Cdlac[[#This Row],[Quantity]]&gt;0,AND(Application!AK732&lt;&gt;"N/A",Application!AK732&lt;&gt;"")*Cdlac[[#This Row],[Quantity]],"")</f>
        <v>0</v>
      </c>
      <c r="T38" s="1087" t="b">
        <f>AND('Subsidy Contract Calculation'!F22&gt;0,'Subsidy Contract Calculation'!C22="Federal",Cdlac[[#This Row],[Quantity]]&gt;0)</f>
        <v>0</v>
      </c>
    </row>
    <row r="39" spans="2:20" ht="15" customHeight="1">
      <c r="E39" s="1167" t="s">
        <v>2399</v>
      </c>
      <c r="F39" s="1163" t="s">
        <v>2387</v>
      </c>
      <c r="G39" s="1171">
        <f>12*15</f>
        <v>180</v>
      </c>
      <c r="L39" s="1087">
        <f>IFERROR(MIN(4,MATCH(Application!B733,UnitSizes,0)-1),"")</f>
        <v>3</v>
      </c>
      <c r="M39" s="1109">
        <f>Application!G733</f>
        <v>2</v>
      </c>
      <c r="N39" s="1117">
        <f>Application!AC733</f>
        <v>0.5</v>
      </c>
      <c r="O39" s="1117">
        <f>IF(Cdlac[[#This Row],[Quantity]]&gt;0,IF(Cdlac[[#This Row],[Federal]],30%,IF($G$36,40%,Cdlac[[#This Row],[iAMI]])),"")</f>
        <v>0.3</v>
      </c>
      <c r="P39" s="1109" cm="1">
        <f t="array" ref="P39">IF(Cdlac[[#This Row],[Quantity]]&gt;0,INDEX(TcacRents,$P$18,Cdlac[[#This Row],[Bedrooms]]+1)*Cdlac[[#This Row],[AMI]],"")</f>
        <v>1314</v>
      </c>
      <c r="Q39" s="1109" cm="1">
        <f t="array" ref="Q39">IF(Cdlac[[#This Row],[Quantity]]&gt;0,INDEX(HudFmrs,$P$18,Cdlac[[#This Row],[Bedrooms]]+1),"")</f>
        <v>3687</v>
      </c>
      <c r="R39" s="1109">
        <f>IF(Cdlac[[#This Row],[Quantity]]&gt;0,MAX(0,Cdlac[[#This Row],[Fair Market Rent]]-Cdlac[[#This Row],[Restricted Rent]]),"")</f>
        <v>2373</v>
      </c>
      <c r="S39" s="1087">
        <f>IF(Cdlac[[#This Row],[Quantity]]&gt;0,AND(Application!AK733&lt;&gt;"N/A",Application!AK733&lt;&gt;"")*Cdlac[[#This Row],[Quantity]],"")</f>
        <v>0</v>
      </c>
      <c r="T39" s="1087" t="b">
        <f>AND('Subsidy Contract Calculation'!F23&gt;0,'Subsidy Contract Calculation'!C23="Federal",Cdlac[[#This Row],[Quantity]]&gt;0)</f>
        <v>1</v>
      </c>
    </row>
    <row r="40" spans="2:20" ht="15" customHeight="1">
      <c r="E40" s="1172" t="s">
        <v>2327</v>
      </c>
      <c r="F40" s="1089"/>
      <c r="G40" s="1173">
        <f>G38*G39</f>
        <v>39985812.000000007</v>
      </c>
      <c r="L40" s="1087">
        <f>IFERROR(MIN(4,MATCH(Application!B734,UnitSizes,0)-1),"")</f>
        <v>3</v>
      </c>
      <c r="M40" s="1109">
        <f>Application!G734</f>
        <v>7</v>
      </c>
      <c r="N40" s="1117">
        <f>Application!AC734</f>
        <v>0.5</v>
      </c>
      <c r="O40" s="1117">
        <f>IF(Cdlac[[#This Row],[Quantity]]&gt;0,IF(Cdlac[[#This Row],[Federal]],30%,IF($G$36,40%,Cdlac[[#This Row],[iAMI]])),"")</f>
        <v>0.5</v>
      </c>
      <c r="P40" s="1109" cm="1">
        <f t="array" ref="P40">IF(Cdlac[[#This Row],[Quantity]]&gt;0,INDEX(TcacRents,$P$18,Cdlac[[#This Row],[Bedrooms]]+1)*Cdlac[[#This Row],[AMI]],"")</f>
        <v>2190</v>
      </c>
      <c r="Q40" s="1109" cm="1">
        <f t="array" ref="Q40">IF(Cdlac[[#This Row],[Quantity]]&gt;0,INDEX(HudFmrs,$P$18,Cdlac[[#This Row],[Bedrooms]]+1),"")</f>
        <v>3687</v>
      </c>
      <c r="R40" s="1109">
        <f>IF(Cdlac[[#This Row],[Quantity]]&gt;0,MAX(0,Cdlac[[#This Row],[Fair Market Rent]]-Cdlac[[#This Row],[Restricted Rent]]),"")</f>
        <v>1497</v>
      </c>
      <c r="S40" s="1087">
        <f>IF(Cdlac[[#This Row],[Quantity]]&gt;0,AND(Application!AK734&lt;&gt;"N/A",Application!AK734&lt;&gt;"")*Cdlac[[#This Row],[Quantity]],"")</f>
        <v>0</v>
      </c>
      <c r="T40" s="1087" t="b">
        <f>AND('Subsidy Contract Calculation'!F24&gt;0,'Subsidy Contract Calculation'!C24="Federal",Cdlac[[#This Row],[Quantity]]&gt;0)</f>
        <v>0</v>
      </c>
    </row>
    <row r="41" spans="2:20" ht="15" customHeight="1">
      <c r="L41" s="1087">
        <f>IFERROR(MIN(4,MATCH(Application!B735,UnitSizes,0)-1),"")</f>
        <v>3</v>
      </c>
      <c r="M41" s="1109">
        <f>Application!G735</f>
        <v>12</v>
      </c>
      <c r="N41" s="1117">
        <f>Application!AC735</f>
        <v>0.6</v>
      </c>
      <c r="O41" s="1117">
        <f>IF(Cdlac[[#This Row],[Quantity]]&gt;0,IF(Cdlac[[#This Row],[Federal]],30%,IF($G$36,40%,Cdlac[[#This Row],[iAMI]])),"")</f>
        <v>0.6</v>
      </c>
      <c r="P41" s="1109" cm="1">
        <f t="array" ref="P41">IF(Cdlac[[#This Row],[Quantity]]&gt;0,INDEX(TcacRents,$P$18,Cdlac[[#This Row],[Bedrooms]]+1)*Cdlac[[#This Row],[AMI]],"")</f>
        <v>2628</v>
      </c>
      <c r="Q41" s="1109" cm="1">
        <f t="array" ref="Q41">IF(Cdlac[[#This Row],[Quantity]]&gt;0,INDEX(HudFmrs,$P$18,Cdlac[[#This Row],[Bedrooms]]+1),"")</f>
        <v>3687</v>
      </c>
      <c r="R41" s="1109">
        <f>IF(Cdlac[[#This Row],[Quantity]]&gt;0,MAX(0,Cdlac[[#This Row],[Fair Market Rent]]-Cdlac[[#This Row],[Restricted Rent]]),"")</f>
        <v>1059</v>
      </c>
      <c r="S41" s="1087">
        <f>IF(Cdlac[[#This Row],[Quantity]]&gt;0,AND(Application!AK735&lt;&gt;"N/A",Application!AK735&lt;&gt;"")*Cdlac[[#This Row],[Quantity]],"")</f>
        <v>0</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f>IFERROR(MIN(4,MATCH(Application!B736,UnitSizes,0)-1),"")</f>
        <v>3</v>
      </c>
      <c r="M42" s="1109">
        <f>Application!G736</f>
        <v>5</v>
      </c>
      <c r="N42" s="1117">
        <f>Application!AC736</f>
        <v>0.7</v>
      </c>
      <c r="O42" s="1117">
        <f>IF(Cdlac[[#This Row],[Quantity]]&gt;0,IF(Cdlac[[#This Row],[Federal]],30%,IF($G$36,40%,Cdlac[[#This Row],[iAMI]])),"")</f>
        <v>0.7</v>
      </c>
      <c r="P42" s="1109" cm="1">
        <f t="array" ref="P42">IF(Cdlac[[#This Row],[Quantity]]&gt;0,INDEX(TcacRents,$P$18,Cdlac[[#This Row],[Bedrooms]]+1)*Cdlac[[#This Row],[AMI]],"")</f>
        <v>3066</v>
      </c>
      <c r="Q42" s="1109" cm="1">
        <f t="array" ref="Q42">IF(Cdlac[[#This Row],[Quantity]]&gt;0,INDEX(HudFmrs,$P$18,Cdlac[[#This Row],[Bedrooms]]+1),"")</f>
        <v>3687</v>
      </c>
      <c r="R42" s="1109">
        <f>IF(Cdlac[[#This Row],[Quantity]]&gt;0,MAX(0,Cdlac[[#This Row],[Fair Market Rent]]-Cdlac[[#This Row],[Restricted Rent]]),"")</f>
        <v>621</v>
      </c>
      <c r="S42" s="1087">
        <f>IF(Cdlac[[#This Row],[Quantity]]&gt;0,AND(Application!AK736&lt;&gt;"N/A",Application!AK736&lt;&gt;"")*Cdlac[[#This Row],[Quantity]],"")</f>
        <v>0</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2388</v>
      </c>
      <c r="G44" s="1175">
        <f>S18</f>
        <v>45</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2389</v>
      </c>
      <c r="G45" s="1175">
        <f>ROUNDDOWN(E27*50%,0)</f>
        <v>87</v>
      </c>
    </row>
    <row r="46" spans="2:20" ht="15" customHeight="1">
      <c r="E46" s="1167"/>
      <c r="G46" s="1175"/>
    </row>
    <row r="47" spans="2:20" ht="15" customHeight="1">
      <c r="E47" s="1167" t="s">
        <v>2340</v>
      </c>
      <c r="G47" s="1164">
        <f>MIN(G44:G45)</f>
        <v>45</v>
      </c>
    </row>
    <row r="48" spans="2:20" ht="15" customHeight="1">
      <c r="E48" s="1167" t="s">
        <v>2330</v>
      </c>
      <c r="F48" s="1163" t="s">
        <v>2387</v>
      </c>
      <c r="G48" s="1174">
        <v>10000</v>
      </c>
    </row>
    <row r="49" spans="2:14" ht="15" customHeight="1">
      <c r="E49" s="1168" t="s">
        <v>2370</v>
      </c>
      <c r="F49" s="1089"/>
      <c r="G49" s="1173">
        <f>G47*G48</f>
        <v>450000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2390</v>
      </c>
      <c r="G53" s="1125">
        <f>SUMIFS(Cdlac[Quantity],Cdlac[iAMI],"&lt;=30%")</f>
        <v>87</v>
      </c>
    </row>
    <row r="54" spans="2:14" ht="15" customHeight="1">
      <c r="E54" s="1167" t="s">
        <v>2389</v>
      </c>
      <c r="G54" s="1125">
        <f>ROUNDDOWN(E27*50%,0)</f>
        <v>87</v>
      </c>
    </row>
    <row r="55" spans="2:14" ht="15" customHeight="1">
      <c r="E55" s="1167"/>
      <c r="G55" s="1125"/>
    </row>
    <row r="56" spans="2:14" ht="15" customHeight="1">
      <c r="E56" s="1167" t="s">
        <v>2340</v>
      </c>
      <c r="G56" s="1164">
        <f>MIN(G53:G54)</f>
        <v>87</v>
      </c>
    </row>
    <row r="57" spans="2:14" ht="15" customHeight="1">
      <c r="E57" s="1167" t="s">
        <v>2330</v>
      </c>
      <c r="F57" s="1163" t="s">
        <v>2387</v>
      </c>
      <c r="G57" s="1174">
        <v>20000</v>
      </c>
    </row>
    <row r="58" spans="2:14" ht="15" customHeight="1">
      <c r="E58" s="1168" t="s">
        <v>2369</v>
      </c>
      <c r="F58" s="1089"/>
      <c r="G58" s="1173">
        <f>G56*G57</f>
        <v>1740000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2343</v>
      </c>
      <c r="G62" s="1164">
        <f>VLOOKUP('Points System'!$H$595,'Points System'!$AO$575:$AP$580,2,FALSE)</f>
        <v>7</v>
      </c>
      <c r="L62" s="1177" t="str">
        <f>'Points System'!H627</f>
        <v>N/A</v>
      </c>
      <c r="M62" s="2135" t="s">
        <v>1577</v>
      </c>
      <c r="N62" s="2136"/>
    </row>
    <row r="63" spans="2:14" ht="15" customHeight="1">
      <c r="E63" s="1132" t="s">
        <v>2330</v>
      </c>
      <c r="F63" s="1163" t="s">
        <v>2387</v>
      </c>
      <c r="G63" s="1122">
        <v>4000</v>
      </c>
      <c r="L63" s="1178" t="str">
        <f>'Points System'!H639</f>
        <v>N/A</v>
      </c>
      <c r="M63" s="2127" t="s">
        <v>2344</v>
      </c>
      <c r="N63" s="2128"/>
    </row>
    <row r="64" spans="2:14" ht="15" customHeight="1">
      <c r="E64" s="1132" t="s">
        <v>2391</v>
      </c>
      <c r="F64" s="1163" t="s">
        <v>2387</v>
      </c>
      <c r="G64" s="1176">
        <f>G27</f>
        <v>203.1</v>
      </c>
      <c r="L64" s="1178" t="str">
        <f>'Points System'!H674</f>
        <v>(i)</v>
      </c>
      <c r="M64" s="2127" t="s">
        <v>2345</v>
      </c>
      <c r="N64" s="2128"/>
    </row>
    <row r="65" spans="2:14" ht="15" customHeight="1">
      <c r="E65" s="1168" t="s">
        <v>2349</v>
      </c>
      <c r="F65" s="1089"/>
      <c r="G65" s="1173">
        <f>G62*G63*G64</f>
        <v>5686800</v>
      </c>
      <c r="L65" s="1178" t="str">
        <f>'Points System'!H694</f>
        <v>N/A</v>
      </c>
      <c r="M65" s="2127" t="s">
        <v>2346</v>
      </c>
      <c r="N65" s="2128"/>
    </row>
    <row r="66" spans="2:14" ht="15" customHeight="1">
      <c r="C66" s="1123"/>
      <c r="G66" s="1164"/>
      <c r="L66" s="1179" t="str">
        <f>'Points System'!H708</f>
        <v>N/A</v>
      </c>
      <c r="M66" s="2127" t="s">
        <v>1603</v>
      </c>
      <c r="N66" s="2128"/>
    </row>
    <row r="67" spans="2:14" ht="15" customHeight="1">
      <c r="E67" s="1132" t="s">
        <v>2392</v>
      </c>
      <c r="G67" s="1176">
        <f>COUNTIFS(L62:L69,"(i)")</f>
        <v>2</v>
      </c>
      <c r="L67" s="1178" t="str">
        <f>'Points System'!H720</f>
        <v>N/A</v>
      </c>
      <c r="M67" s="2127" t="s">
        <v>2347</v>
      </c>
      <c r="N67" s="2128"/>
    </row>
    <row r="68" spans="2:14" ht="15" customHeight="1">
      <c r="E68" s="1132" t="s">
        <v>2330</v>
      </c>
      <c r="F68" s="1163" t="s">
        <v>2387</v>
      </c>
      <c r="G68" s="1174">
        <v>4000</v>
      </c>
      <c r="L68" s="1178" t="str">
        <f>'Points System'!H736</f>
        <v>(ii)</v>
      </c>
      <c r="M68" s="2127" t="s">
        <v>2348</v>
      </c>
      <c r="N68" s="2128"/>
    </row>
    <row r="69" spans="2:14" ht="15" customHeight="1" thickBot="1">
      <c r="E69" s="1168" t="s">
        <v>2350</v>
      </c>
      <c r="F69" s="1089"/>
      <c r="G69" s="1173">
        <f>G64*G67*G68</f>
        <v>1624800</v>
      </c>
      <c r="L69" s="1180" t="str">
        <f>'Points System'!H748</f>
        <v>(i)</v>
      </c>
      <c r="M69" s="2129" t="s">
        <v>1606</v>
      </c>
      <c r="N69" s="2130"/>
    </row>
    <row r="70" spans="2:14" ht="15" customHeight="1"/>
    <row r="71" spans="2:14" ht="15" customHeight="1">
      <c r="C71" s="1126" t="s">
        <v>2352</v>
      </c>
    </row>
    <row r="72" spans="2:14" ht="15" customHeight="1">
      <c r="C72" s="1123" t="s">
        <v>2353</v>
      </c>
      <c r="G72" s="1086"/>
    </row>
    <row r="73" spans="2:14" ht="15" customHeight="1">
      <c r="C73" s="1123" t="s">
        <v>2354</v>
      </c>
      <c r="G73" s="1086"/>
    </row>
    <row r="74" spans="2:14" ht="15" customHeight="1">
      <c r="C74" s="1123" t="s">
        <v>2615</v>
      </c>
      <c r="G74" s="1086" t="s">
        <v>554</v>
      </c>
    </row>
    <row r="75" spans="2:14" ht="15" customHeight="1">
      <c r="C75" s="1123" t="s">
        <v>2616</v>
      </c>
      <c r="G75" s="1086"/>
    </row>
    <row r="76" spans="2:14" ht="15" customHeight="1"/>
    <row r="77" spans="2:14" ht="15" customHeight="1">
      <c r="B77" s="1124"/>
      <c r="C77" s="1123"/>
      <c r="E77" s="1132" t="s">
        <v>2394</v>
      </c>
      <c r="G77" s="1125" t="b">
        <f>COUNTIFS(G72:G75,"Yes")&gt;=1</f>
        <v>1</v>
      </c>
    </row>
    <row r="78" spans="2:14" ht="15" customHeight="1">
      <c r="E78" s="1123"/>
    </row>
    <row r="79" spans="2:14" ht="15" customHeight="1">
      <c r="E79" s="1132" t="s">
        <v>2391</v>
      </c>
      <c r="F79" s="1163" t="s">
        <v>2387</v>
      </c>
      <c r="G79" s="1164">
        <f>G27</f>
        <v>203.1</v>
      </c>
    </row>
    <row r="80" spans="2:14" ht="15" customHeight="1">
      <c r="E80" s="1132" t="s">
        <v>2330</v>
      </c>
      <c r="F80" s="1163" t="s">
        <v>2387</v>
      </c>
      <c r="G80" s="1174">
        <v>25000</v>
      </c>
    </row>
    <row r="81" spans="2:14" ht="15" customHeight="1">
      <c r="E81" s="1168" t="s">
        <v>2351</v>
      </c>
      <c r="F81" s="1089"/>
      <c r="G81" s="1173">
        <f>G77*G80*G64</f>
        <v>5077500</v>
      </c>
    </row>
    <row r="82" spans="2:14" ht="15" customHeight="1">
      <c r="C82" s="1123"/>
      <c r="E82" s="1123"/>
    </row>
    <row r="83" spans="2:14" ht="15" customHeight="1">
      <c r="E83" s="1168" t="s">
        <v>2328</v>
      </c>
      <c r="G83" s="1173">
        <f>G81+G69+G65</f>
        <v>12389100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2373</v>
      </c>
      <c r="G87" s="1086" t="s">
        <v>554</v>
      </c>
      <c r="L87" s="2131" t="s">
        <v>2357</v>
      </c>
      <c r="M87" s="2132"/>
      <c r="N87" s="1181">
        <v>30000</v>
      </c>
    </row>
    <row r="88" spans="2:14" ht="15" customHeight="1">
      <c r="C88" s="1123" t="s">
        <v>2374</v>
      </c>
      <c r="G88" s="1127" t="str">
        <f>IF(Application!D210="Large Family","Yes","No")</f>
        <v>Yes</v>
      </c>
      <c r="L88" s="2123" t="s">
        <v>2321</v>
      </c>
      <c r="M88" s="2124"/>
      <c r="N88" s="1182">
        <v>20000</v>
      </c>
    </row>
    <row r="89" spans="2:14" ht="15" customHeight="1" thickBot="1">
      <c r="C89" s="1123" t="s">
        <v>2355</v>
      </c>
      <c r="G89" s="1086" t="s">
        <v>678</v>
      </c>
      <c r="L89" s="2125" t="s">
        <v>2358</v>
      </c>
      <c r="M89" s="2126"/>
      <c r="N89" s="1183">
        <v>10000</v>
      </c>
    </row>
    <row r="90" spans="2:14" ht="15" customHeight="1">
      <c r="C90" s="1123" t="s">
        <v>2356</v>
      </c>
      <c r="G90" s="1087" t="str">
        <f>Application!T193</f>
        <v>Moderate Resource</v>
      </c>
    </row>
    <row r="91" spans="2:14" ht="15" customHeight="1">
      <c r="C91" s="1123"/>
    </row>
    <row r="92" spans="2:14" ht="15" customHeight="1">
      <c r="E92" s="1132" t="s">
        <v>2394</v>
      </c>
      <c r="G92" s="1125" t="b">
        <f>AND(COUNTIFS(G88:G89,"Yes")&gt;=1,G87="Yes")</f>
        <v>1</v>
      </c>
    </row>
    <row r="93" spans="2:14" ht="15" customHeight="1">
      <c r="E93" s="1132"/>
      <c r="G93" s="1125"/>
    </row>
    <row r="94" spans="2:14" ht="15" customHeight="1">
      <c r="E94" s="1132" t="s">
        <v>2330</v>
      </c>
      <c r="G94" s="1124">
        <f>IFERROR(INDEX(N87:N89,MATCH(LEFT(G90,17),L87:L89,0)),0)</f>
        <v>10000</v>
      </c>
    </row>
    <row r="95" spans="2:14" ht="15" customHeight="1">
      <c r="E95" s="1132" t="str">
        <f>E64</f>
        <v>Bedroom-Adjusted Low-Income Units</v>
      </c>
      <c r="F95" s="1163" t="s">
        <v>2387</v>
      </c>
      <c r="G95" s="1164">
        <f>G27</f>
        <v>203.1</v>
      </c>
    </row>
    <row r="96" spans="2:14" ht="15" customHeight="1">
      <c r="D96" s="1089"/>
      <c r="E96" s="1168" t="s">
        <v>2329</v>
      </c>
      <c r="F96" s="1089"/>
      <c r="G96" s="1173">
        <f>G95*G94*G92</f>
        <v>2031000</v>
      </c>
    </row>
    <row r="97" spans="2:9" ht="15" customHeight="1"/>
    <row r="98" spans="2:9" ht="15" customHeight="1">
      <c r="B98" s="1112" t="s">
        <v>2342</v>
      </c>
      <c r="C98" s="1113"/>
      <c r="D98" s="1113"/>
      <c r="E98" s="1113"/>
      <c r="F98" s="1113"/>
      <c r="G98" s="1113"/>
      <c r="H98" s="1113"/>
      <c r="I98" s="1114"/>
    </row>
    <row r="99" spans="2:9" ht="15" customHeight="1"/>
    <row r="100" spans="2:9" ht="15" customHeight="1">
      <c r="F100" s="1166" t="s">
        <v>2368</v>
      </c>
      <c r="G100" s="1086" t="s">
        <v>678</v>
      </c>
    </row>
    <row r="101" spans="2:9" ht="15" customHeight="1">
      <c r="F101" s="1166"/>
    </row>
    <row r="102" spans="2:9" ht="15" customHeight="1">
      <c r="E102" s="1132" t="s">
        <v>2394</v>
      </c>
      <c r="G102" s="1125" t="b">
        <f>G100="Yes"</f>
        <v>0</v>
      </c>
    </row>
    <row r="103" spans="2:9" ht="15" customHeight="1"/>
    <row r="104" spans="2:9" ht="15" customHeight="1">
      <c r="E104" s="1132" t="str">
        <f>E64</f>
        <v>Bedroom-Adjusted Low-Income Units</v>
      </c>
      <c r="G104" s="1164">
        <f>G27</f>
        <v>203.1</v>
      </c>
    </row>
    <row r="105" spans="2:9" ht="15" customHeight="1">
      <c r="E105" s="1132" t="s">
        <v>2330</v>
      </c>
      <c r="F105" s="1163" t="s">
        <v>2387</v>
      </c>
      <c r="G105" s="1093">
        <v>20000</v>
      </c>
    </row>
    <row r="106" spans="2:9" ht="15" customHeight="1">
      <c r="E106" s="1168" t="s">
        <v>2359</v>
      </c>
      <c r="F106" s="1089"/>
      <c r="G106" s="1173">
        <f>G102*G105*G104</f>
        <v>0</v>
      </c>
    </row>
    <row r="107" spans="2:9" ht="15" customHeight="1"/>
    <row r="108" spans="2:9" ht="15" customHeight="1">
      <c r="B108" s="1112" t="s">
        <v>2396</v>
      </c>
      <c r="C108" s="1113"/>
      <c r="D108" s="1113"/>
      <c r="E108" s="1113"/>
      <c r="F108" s="1113"/>
      <c r="G108" s="1113"/>
      <c r="H108" s="1113"/>
      <c r="I108" s="1114"/>
    </row>
    <row r="109" spans="2:9" ht="15" customHeight="1"/>
    <row r="110" spans="2:9" ht="15" customHeight="1">
      <c r="E110" s="1132" t="s">
        <v>591</v>
      </c>
      <c r="G110" s="1087" t="str">
        <f>IF(Application!T189="","",Application!T189)</f>
        <v>Santa Clara</v>
      </c>
    </row>
    <row r="111" spans="2:9" ht="15" customHeight="1">
      <c r="E111" s="1132"/>
      <c r="G111" s="1124"/>
    </row>
    <row r="112" spans="2:9" ht="15" customHeight="1">
      <c r="E112" s="1132" t="str">
        <f>"2-Bedroom "&amp;G110&amp;" County Basis Limit"</f>
        <v>2-Bedroom Santa Clara County Basis Limit</v>
      </c>
      <c r="G112" s="1124">
        <f>Application!R957</f>
        <v>740000</v>
      </c>
    </row>
    <row r="113" spans="4:9" ht="15" customHeight="1">
      <c r="E113" s="1132" t="s">
        <v>2395</v>
      </c>
      <c r="G113" s="1124">
        <f>MEDIAN((Application!BR795:BR852))</f>
        <v>489600</v>
      </c>
    </row>
    <row r="114" spans="4:9" ht="15" customHeight="1">
      <c r="D114" s="1089"/>
      <c r="E114" s="1168" t="s">
        <v>2397</v>
      </c>
      <c r="F114" s="1184"/>
      <c r="G114" s="1185">
        <f>((G112-G113)/G113)*0.25</f>
        <v>0.127859477124183</v>
      </c>
      <c r="H114" s="1085"/>
      <c r="I114" s="1085"/>
    </row>
    <row r="115" spans="4:9" ht="15" customHeight="1">
      <c r="D115" s="1088"/>
      <c r="E115" s="1088"/>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L. Liu</cp:lastModifiedBy>
  <cp:lastPrinted>2023-01-26T05:25:46Z</cp:lastPrinted>
  <dcterms:created xsi:type="dcterms:W3CDTF">2007-12-27T18:26:28Z</dcterms:created>
  <dcterms:modified xsi:type="dcterms:W3CDTF">2023-02-03T02:41:46Z</dcterms:modified>
</cp:coreProperties>
</file>