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3\2023 E-Apps\"/>
    </mc:Choice>
  </mc:AlternateContent>
  <xr:revisionPtr revIDLastSave="0" documentId="13_ncr:1_{0DFD5219-F46C-4138-AF34-BBB8092E0FCE}" xr6:coauthVersionLast="47" xr6:coauthVersionMax="47" xr10:uidLastSave="{00000000-0000-0000-0000-000000000000}"/>
  <bookViews>
    <workbookView xWindow="-2980" yWindow="2890" windowWidth="9600" windowHeight="491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Tie Breaker" sheetId="21" r:id="rId8"/>
    <sheet name="Points System" sheetId="20"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Forma'!$A$1:$S$77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7">'Tie Breaker'!$A$1:$I$114</definedName>
    <definedName name="_xlnm.Print_Titles" localSheetId="6">'Sources and Basis Breakdown'!$1:$2</definedName>
    <definedName name="_xlnm.Print_Titles" localSheetId="5">'Sources and Uses Budget'!$1:$2</definedName>
    <definedName name="_xlnm.Print_Titles" localSheetId="7">'Tie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Forma'!$A$1:$S$77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76" i="3" l="1"/>
  <c r="Z675" i="3"/>
  <c r="Z674" i="3"/>
  <c r="Z673" i="3"/>
  <c r="Z672" i="3"/>
  <c r="H676" i="3"/>
  <c r="G675" i="3"/>
  <c r="G674" i="3"/>
  <c r="G673" i="3"/>
  <c r="G672" i="3"/>
  <c r="H660" i="3"/>
  <c r="G659" i="3"/>
  <c r="G658" i="3"/>
  <c r="G657" i="3"/>
  <c r="G656" i="3"/>
  <c r="H668" i="3"/>
  <c r="G667" i="3"/>
  <c r="G666" i="3"/>
  <c r="G665" i="3"/>
  <c r="G664" i="3"/>
  <c r="G680" i="3"/>
  <c r="AA668" i="3"/>
  <c r="Z667" i="3"/>
  <c r="Z666" i="3"/>
  <c r="Z665" i="3"/>
  <c r="Z664" i="3"/>
  <c r="AA660" i="3"/>
  <c r="Z659" i="3"/>
  <c r="Z658" i="3"/>
  <c r="Z657" i="3"/>
  <c r="Z656" i="3"/>
  <c r="AA652" i="3"/>
  <c r="Z651" i="3"/>
  <c r="Z650" i="3"/>
  <c r="Z649" i="3"/>
  <c r="Z648" i="3"/>
  <c r="E41" i="7"/>
  <c r="E42" i="7"/>
  <c r="A41" i="7"/>
  <c r="A42" i="7"/>
  <c r="C5" i="7"/>
  <c r="C9" i="7"/>
  <c r="AD189" i="20"/>
  <c r="B189" i="20"/>
  <c r="AD188" i="20"/>
  <c r="B188" i="20"/>
  <c r="G30" i="4"/>
  <c r="H30" i="4"/>
  <c r="I30" i="4"/>
  <c r="J30" i="4"/>
  <c r="K30" i="4"/>
  <c r="L30" i="4"/>
  <c r="M30" i="4"/>
  <c r="F30" i="4"/>
  <c r="P53" i="4"/>
  <c r="O99" i="4"/>
  <c r="N95" i="4"/>
  <c r="E103" i="4"/>
  <c r="E102" i="4"/>
  <c r="E101" i="4"/>
  <c r="E100" i="4"/>
  <c r="E99" i="4"/>
  <c r="E95" i="4"/>
  <c r="E94" i="4"/>
  <c r="E93" i="4"/>
  <c r="E92" i="4"/>
  <c r="E91" i="4"/>
  <c r="E90" i="4"/>
  <c r="E89" i="4"/>
  <c r="E88" i="4"/>
  <c r="E87"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5" i="4"/>
  <c r="E14" i="4"/>
  <c r="E13" i="4"/>
  <c r="E10" i="4"/>
  <c r="E9" i="4"/>
  <c r="E7" i="4"/>
  <c r="E6" i="4"/>
  <c r="E5" i="4"/>
  <c r="E4" i="4"/>
  <c r="S103" i="4"/>
  <c r="S102" i="4"/>
  <c r="S101" i="4"/>
  <c r="S100" i="4"/>
  <c r="S99" i="4"/>
  <c r="S94" i="4"/>
  <c r="S93" i="4"/>
  <c r="S92" i="4"/>
  <c r="S91" i="4"/>
  <c r="S89" i="4"/>
  <c r="S87" i="4"/>
  <c r="S84" i="4"/>
  <c r="S80" i="4"/>
  <c r="S79" i="4"/>
  <c r="S69" i="4"/>
  <c r="S68" i="4"/>
  <c r="S67" i="4"/>
  <c r="S66" i="4"/>
  <c r="S52" i="4"/>
  <c r="S51" i="4"/>
  <c r="S50" i="4"/>
  <c r="S48" i="4"/>
  <c r="S43" i="4"/>
  <c r="S41" i="4"/>
  <c r="S40" i="4"/>
  <c r="S37" i="4"/>
  <c r="S36" i="4"/>
  <c r="S35" i="4"/>
  <c r="S34" i="4"/>
  <c r="S33" i="4"/>
  <c r="S32" i="4"/>
  <c r="S31" i="4"/>
  <c r="S30" i="4"/>
  <c r="S29" i="4"/>
  <c r="S10" i="4"/>
  <c r="I920" i="3"/>
  <c r="I919" i="3"/>
  <c r="I917" i="3"/>
  <c r="AA918" i="3"/>
  <c r="AA919" i="3"/>
  <c r="AA920" i="3"/>
  <c r="AA917" i="3"/>
  <c r="AA902" i="3"/>
  <c r="AA901" i="3"/>
  <c r="O732" i="3"/>
  <c r="O730" i="3"/>
  <c r="O728" i="3"/>
  <c r="O722" i="3"/>
  <c r="O720" i="3"/>
  <c r="O718" i="3"/>
  <c r="T734" i="3"/>
  <c r="K734" i="3"/>
  <c r="T726" i="3"/>
  <c r="T725" i="3"/>
  <c r="T724" i="3"/>
  <c r="T723" i="3"/>
  <c r="T722" i="3"/>
  <c r="T720" i="3"/>
  <c r="T718" i="3"/>
  <c r="T716" i="3"/>
  <c r="T737" i="3"/>
  <c r="T736" i="3"/>
  <c r="T735" i="3"/>
  <c r="T733" i="3"/>
  <c r="T731" i="3"/>
  <c r="T732" i="3"/>
  <c r="T729" i="3"/>
  <c r="T730" i="3"/>
  <c r="T727" i="3"/>
  <c r="T728" i="3"/>
  <c r="K737" i="3"/>
  <c r="K736" i="3"/>
  <c r="K735" i="3"/>
  <c r="K733" i="3"/>
  <c r="K731" i="3"/>
  <c r="K732" i="3"/>
  <c r="K729" i="3"/>
  <c r="K730" i="3"/>
  <c r="K727" i="3"/>
  <c r="K728" i="3"/>
  <c r="K726" i="3"/>
  <c r="K725" i="3"/>
  <c r="K724" i="3"/>
  <c r="K723" i="3"/>
  <c r="K722" i="3"/>
  <c r="K720" i="3"/>
  <c r="K718" i="3"/>
  <c r="K716" i="3"/>
  <c r="AF625" i="3"/>
  <c r="AF623" i="3"/>
  <c r="W624" i="3"/>
  <c r="T623" i="3"/>
  <c r="T624" i="3"/>
  <c r="Q626" i="3"/>
  <c r="Q627" i="3"/>
  <c r="Q628" i="3"/>
  <c r="Q629" i="3"/>
  <c r="Q630" i="3"/>
  <c r="Q623" i="3"/>
  <c r="Q624" i="3"/>
  <c r="AI550" i="3"/>
  <c r="AI551" i="3"/>
  <c r="Q551" i="3"/>
  <c r="Q552" i="3"/>
  <c r="Q553" i="3"/>
  <c r="Q554" i="3"/>
  <c r="Q555" i="3"/>
  <c r="Q556" i="3"/>
  <c r="Q557" i="3"/>
  <c r="Q558" i="3"/>
  <c r="Q559" i="3"/>
  <c r="Q560" i="3"/>
  <c r="Q561" i="3"/>
  <c r="AO632" i="3"/>
  <c r="AO633" i="3"/>
  <c r="AO628" i="3"/>
  <c r="AO629" i="3"/>
  <c r="AO630" i="3"/>
  <c r="AO631" i="3"/>
  <c r="AO627" i="3"/>
  <c r="C633" i="3"/>
  <c r="C632" i="3"/>
  <c r="C627" i="3"/>
  <c r="C628" i="3"/>
  <c r="C629" i="3"/>
  <c r="C630" i="3"/>
  <c r="C631" i="3"/>
  <c r="C626" i="3"/>
  <c r="N20" i="21"/>
  <c r="T18" i="21"/>
  <c r="G44" i="21"/>
  <c r="N21" i="21"/>
  <c r="N22" i="21"/>
  <c r="N23" i="21"/>
  <c r="N24" i="21"/>
  <c r="N25" i="21"/>
  <c r="N26" i="21"/>
  <c r="N27" i="21"/>
  <c r="N28" i="21"/>
  <c r="N29" i="21"/>
  <c r="N30" i="21"/>
  <c r="N31" i="21"/>
  <c r="N32" i="21"/>
  <c r="N33" i="21"/>
  <c r="N34" i="21"/>
  <c r="N35" i="21"/>
  <c r="N36" i="21"/>
  <c r="N37" i="21"/>
  <c r="N38" i="21"/>
  <c r="N39" i="21"/>
  <c r="N40" i="21"/>
  <c r="N41" i="21"/>
  <c r="N42" i="21"/>
  <c r="N43" i="21"/>
  <c r="N44" i="21"/>
  <c r="L20" i="21"/>
  <c r="AP282" i="20"/>
  <c r="P19" i="26" a="1"/>
  <c r="P19"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J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5" i="26"/>
  <c r="J19" i="26"/>
  <c r="J20" i="26"/>
  <c r="J27" i="26"/>
  <c r="J22" i="26"/>
  <c r="J21" i="26"/>
  <c r="V29" i="26"/>
  <c r="AH29" i="26"/>
  <c r="J26" i="26"/>
  <c r="P29" i="26"/>
  <c r="J24" i="26"/>
  <c r="AB29" i="26"/>
  <c r="AN29" i="26"/>
  <c r="J23" i="26"/>
  <c r="J29" i="26"/>
  <c r="AT21" i="26"/>
  <c r="AT24" i="26"/>
  <c r="AT23" i="26"/>
  <c r="AT26" i="26"/>
  <c r="AT29" i="26"/>
  <c r="AU46" i="26"/>
  <c r="AU42" i="26"/>
  <c r="AU38" i="26"/>
  <c r="AU44" i="26"/>
  <c r="AU40" i="26"/>
  <c r="AU36" i="26"/>
  <c r="AT28" i="26"/>
  <c r="AU39" i="26"/>
  <c r="AT27" i="26"/>
  <c r="AT20" i="26"/>
  <c r="AU47" i="26"/>
  <c r="AU41" i="26"/>
  <c r="AU37" i="26"/>
  <c r="AT22" i="26"/>
  <c r="AU45" i="26"/>
  <c r="AU43" i="26"/>
  <c r="AT25" i="26"/>
  <c r="AT19" i="26"/>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AB211" i="3"/>
  <c r="C7" i="7"/>
  <c r="E40" i="7"/>
  <c r="L40" i="7"/>
  <c r="A40" i="7"/>
  <c r="E33" i="7"/>
  <c r="E31" i="7"/>
  <c r="E30" i="7"/>
  <c r="E29" i="7"/>
  <c r="O29" i="7"/>
  <c r="E28" i="7"/>
  <c r="Q28" i="7"/>
  <c r="E27" i="7"/>
  <c r="E26" i="7"/>
  <c r="W831" i="3"/>
  <c r="E15" i="7"/>
  <c r="F15" i="7"/>
  <c r="E16" i="7"/>
  <c r="W839" i="3"/>
  <c r="E17" i="7"/>
  <c r="F17" i="7"/>
  <c r="G17" i="7"/>
  <c r="H17" i="7"/>
  <c r="I17" i="7"/>
  <c r="J17" i="7"/>
  <c r="K17" i="7"/>
  <c r="L17" i="7"/>
  <c r="M17" i="7"/>
  <c r="N17" i="7"/>
  <c r="O17" i="7"/>
  <c r="P17" i="7"/>
  <c r="Q17" i="7"/>
  <c r="R17" i="7"/>
  <c r="S17" i="7"/>
  <c r="W846" i="3"/>
  <c r="E18" i="7"/>
  <c r="F18" i="7"/>
  <c r="G18" i="7"/>
  <c r="H18" i="7"/>
  <c r="I18" i="7"/>
  <c r="J18" i="7"/>
  <c r="K18" i="7"/>
  <c r="L18" i="7"/>
  <c r="M18" i="7"/>
  <c r="N18" i="7"/>
  <c r="O18" i="7"/>
  <c r="P18" i="7"/>
  <c r="Q18" i="7"/>
  <c r="R18" i="7"/>
  <c r="S18" i="7"/>
  <c r="E19" i="7"/>
  <c r="W856" i="3"/>
  <c r="E20" i="7"/>
  <c r="F20" i="7"/>
  <c r="G20" i="7"/>
  <c r="H20" i="7"/>
  <c r="I20" i="7"/>
  <c r="J20" i="7"/>
  <c r="K20" i="7"/>
  <c r="L20" i="7"/>
  <c r="M20" i="7"/>
  <c r="N20" i="7"/>
  <c r="O20" i="7"/>
  <c r="P20" i="7"/>
  <c r="Q20" i="7"/>
  <c r="R20" i="7"/>
  <c r="S20" i="7"/>
  <c r="W863" i="3"/>
  <c r="E21" i="7"/>
  <c r="F21" i="7"/>
  <c r="G21" i="7"/>
  <c r="H21" i="7"/>
  <c r="I21" i="7"/>
  <c r="J21" i="7"/>
  <c r="K21" i="7"/>
  <c r="L21" i="7"/>
  <c r="M21" i="7"/>
  <c r="N21" i="7"/>
  <c r="O21" i="7"/>
  <c r="P21" i="7"/>
  <c r="Q21" i="7"/>
  <c r="R21" i="7"/>
  <c r="S21" i="7"/>
  <c r="Z801" i="3"/>
  <c r="E8" i="7"/>
  <c r="J5" i="8"/>
  <c r="J6" i="8"/>
  <c r="J7" i="8"/>
  <c r="J9" i="8"/>
  <c r="J11" i="8"/>
  <c r="J12" i="8"/>
  <c r="J13" i="8"/>
  <c r="J14" i="8"/>
  <c r="J15" i="8"/>
  <c r="J16" i="8"/>
  <c r="J17" i="8"/>
  <c r="J19"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BN597" i="3"/>
  <c r="DX597" i="3"/>
  <c r="BN598" i="3"/>
  <c r="BN599" i="3"/>
  <c r="BN600" i="3"/>
  <c r="BN601" i="3"/>
  <c r="BN602" i="3"/>
  <c r="BN603" i="3"/>
  <c r="BN604" i="3"/>
  <c r="BN605" i="3"/>
  <c r="DX605" i="3"/>
  <c r="BN606" i="3"/>
  <c r="DX606" i="3"/>
  <c r="BN607" i="3"/>
  <c r="BN608" i="3"/>
  <c r="BN609" i="3"/>
  <c r="DX609" i="3"/>
  <c r="BN610" i="3"/>
  <c r="DX610" i="3"/>
  <c r="BN611" i="3"/>
  <c r="BN612" i="3"/>
  <c r="BN613" i="3"/>
  <c r="DX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EC598" i="3"/>
  <c r="BS599" i="3"/>
  <c r="EC599" i="3"/>
  <c r="BS600" i="3"/>
  <c r="EC600" i="3"/>
  <c r="BS601" i="3"/>
  <c r="BS602" i="3"/>
  <c r="BS603" i="3"/>
  <c r="BS604" i="3"/>
  <c r="BS605" i="3"/>
  <c r="EC605" i="3"/>
  <c r="BS606" i="3"/>
  <c r="EC606" i="3"/>
  <c r="BS607" i="3"/>
  <c r="EC607" i="3"/>
  <c r="BS608" i="3"/>
  <c r="EC608" i="3"/>
  <c r="BS609" i="3"/>
  <c r="BS610" i="3"/>
  <c r="EC610" i="3"/>
  <c r="BS611" i="3"/>
  <c r="BS612" i="3"/>
  <c r="EC612" i="3"/>
  <c r="BS613" i="3"/>
  <c r="EC613" i="3"/>
  <c r="BS614" i="3"/>
  <c r="EC614" i="3"/>
  <c r="BS615" i="3"/>
  <c r="EC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EH599" i="3"/>
  <c r="BX600" i="3"/>
  <c r="EH600" i="3"/>
  <c r="BX601" i="3"/>
  <c r="BX602" i="3"/>
  <c r="BX603" i="3"/>
  <c r="EH603" i="3"/>
  <c r="BX604" i="3"/>
  <c r="BX605" i="3"/>
  <c r="BX606" i="3"/>
  <c r="BX607" i="3"/>
  <c r="EH607" i="3"/>
  <c r="BX608" i="3"/>
  <c r="EH608" i="3"/>
  <c r="BX609" i="3"/>
  <c r="BX610" i="3"/>
  <c r="EH610" i="3"/>
  <c r="BX611" i="3"/>
  <c r="BX612" i="3"/>
  <c r="BX613" i="3"/>
  <c r="BX614" i="3"/>
  <c r="BX615" i="3"/>
  <c r="EH615" i="3"/>
  <c r="BX616" i="3"/>
  <c r="EH616" i="3"/>
  <c r="BX617" i="3"/>
  <c r="BX618" i="3"/>
  <c r="EH618" i="3"/>
  <c r="BX619" i="3"/>
  <c r="BX620" i="3"/>
  <c r="EH620" i="3"/>
  <c r="BX626" i="3"/>
  <c r="BX627" i="3"/>
  <c r="BX628" i="3"/>
  <c r="BX629" i="3"/>
  <c r="BX634" i="3"/>
  <c r="BX635" i="3"/>
  <c r="BX636" i="3"/>
  <c r="DC636" i="3"/>
  <c r="BX637" i="3"/>
  <c r="DC637" i="3"/>
  <c r="BX638" i="3"/>
  <c r="DC638" i="3"/>
  <c r="BX639" i="3"/>
  <c r="BX640" i="3"/>
  <c r="DC640" i="3"/>
  <c r="BX641" i="3"/>
  <c r="BX642" i="3"/>
  <c r="DC642" i="3"/>
  <c r="BX643" i="3"/>
  <c r="CC596" i="3"/>
  <c r="CC597" i="3"/>
  <c r="CC598" i="3"/>
  <c r="CC599" i="3"/>
  <c r="EM599" i="3"/>
  <c r="CC600" i="3"/>
  <c r="EM600" i="3"/>
  <c r="CC601" i="3"/>
  <c r="EM601" i="3"/>
  <c r="CC602" i="3"/>
  <c r="CC603" i="3"/>
  <c r="CC604" i="3"/>
  <c r="EM604" i="3"/>
  <c r="CC605" i="3"/>
  <c r="CC606" i="3"/>
  <c r="EM606" i="3"/>
  <c r="CC607" i="3"/>
  <c r="CC608" i="3"/>
  <c r="EM608" i="3"/>
  <c r="CC609" i="3"/>
  <c r="EM609" i="3"/>
  <c r="CC610" i="3"/>
  <c r="CC611" i="3"/>
  <c r="CC612" i="3"/>
  <c r="EM612" i="3"/>
  <c r="CC613" i="3"/>
  <c r="EM613" i="3"/>
  <c r="CC614" i="3"/>
  <c r="CC615" i="3"/>
  <c r="CC616" i="3"/>
  <c r="EM616" i="3"/>
  <c r="CC617" i="3"/>
  <c r="EM617" i="3"/>
  <c r="CC618" i="3"/>
  <c r="CC619" i="3"/>
  <c r="EM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CM598" i="3"/>
  <c r="CM599" i="3"/>
  <c r="CM600" i="3"/>
  <c r="CM601" i="3"/>
  <c r="EW601" i="3"/>
  <c r="CM602" i="3"/>
  <c r="EW602" i="3"/>
  <c r="CM603" i="3"/>
  <c r="EW603" i="3"/>
  <c r="CM604" i="3"/>
  <c r="EW604" i="3"/>
  <c r="CM605" i="3"/>
  <c r="CM606" i="3"/>
  <c r="EW606" i="3"/>
  <c r="CM607" i="3"/>
  <c r="EW607" i="3"/>
  <c r="CM608" i="3"/>
  <c r="EW608" i="3"/>
  <c r="CM609" i="3"/>
  <c r="CM610" i="3"/>
  <c r="CM611" i="3"/>
  <c r="EW611" i="3"/>
  <c r="CM612" i="3"/>
  <c r="EW612" i="3"/>
  <c r="CM613" i="3"/>
  <c r="EW613" i="3"/>
  <c r="CM614" i="3"/>
  <c r="EW614" i="3"/>
  <c r="CM615" i="3"/>
  <c r="CM616" i="3"/>
  <c r="CM617" i="3"/>
  <c r="CM618" i="3"/>
  <c r="EW618" i="3"/>
  <c r="CM619" i="3"/>
  <c r="EW619" i="3"/>
  <c r="CM620" i="3"/>
  <c r="EW620" i="3"/>
  <c r="CH596" i="3"/>
  <c r="CH597" i="3"/>
  <c r="CH598" i="3"/>
  <c r="CH599" i="3"/>
  <c r="CH600" i="3"/>
  <c r="CH601" i="3"/>
  <c r="ER601" i="3"/>
  <c r="CH602" i="3"/>
  <c r="ER602" i="3"/>
  <c r="CH603" i="3"/>
  <c r="ER603" i="3"/>
  <c r="CH604" i="3"/>
  <c r="CH605" i="3"/>
  <c r="CH606" i="3"/>
  <c r="ER606" i="3"/>
  <c r="CH607" i="3"/>
  <c r="ER607" i="3"/>
  <c r="CH608" i="3"/>
  <c r="CH609" i="3"/>
  <c r="CH610" i="3"/>
  <c r="ER610" i="3"/>
  <c r="CH611" i="3"/>
  <c r="ER611" i="3"/>
  <c r="CH612" i="3"/>
  <c r="ER612" i="3"/>
  <c r="CH613" i="3"/>
  <c r="CH614" i="3"/>
  <c r="CH615" i="3"/>
  <c r="CH616" i="3"/>
  <c r="CH617" i="3"/>
  <c r="CH618" i="3"/>
  <c r="ER618" i="3"/>
  <c r="CH619" i="3"/>
  <c r="ER619" i="3"/>
  <c r="CH620" i="3"/>
  <c r="ER620" i="3"/>
  <c r="CH626" i="3"/>
  <c r="CH627" i="3"/>
  <c r="CH628" i="3"/>
  <c r="CH629" i="3"/>
  <c r="CH634" i="3"/>
  <c r="CH635" i="3"/>
  <c r="CH636" i="3"/>
  <c r="DM636" i="3"/>
  <c r="CH637" i="3"/>
  <c r="DM637" i="3"/>
  <c r="CH638" i="3"/>
  <c r="DM638" i="3"/>
  <c r="CH639" i="3"/>
  <c r="DM639" i="3"/>
  <c r="CH640" i="3"/>
  <c r="DM640" i="3"/>
  <c r="CH641" i="3"/>
  <c r="DM641" i="3"/>
  <c r="CH642" i="3"/>
  <c r="DM642" i="3"/>
  <c r="CH643" i="3"/>
  <c r="AJ966" i="3"/>
  <c r="AJ976" i="3"/>
  <c r="AJ978" i="3"/>
  <c r="AJ981" i="3"/>
  <c r="AJ994" i="3"/>
  <c r="AZ832" i="3"/>
  <c r="AJ997" i="3"/>
  <c r="AJ1001" i="3"/>
  <c r="I14" i="21"/>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c r="I1013"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c r="AK327" i="20"/>
  <c r="AO28" i="20"/>
  <c r="AO29" i="20"/>
  <c r="AO24" i="20"/>
  <c r="AO25" i="20"/>
  <c r="AO21" i="20"/>
  <c r="AO20" i="20"/>
  <c r="AO22" i="20"/>
  <c r="AO16" i="20"/>
  <c r="AO15" i="20"/>
  <c r="AO14" i="20"/>
  <c r="AO13" i="20"/>
  <c r="G113" i="21"/>
  <c r="G110" i="21"/>
  <c r="E112" i="21"/>
  <c r="I9" i="21"/>
  <c r="S26" i="4"/>
  <c r="C26" i="4"/>
  <c r="G90" i="21"/>
  <c r="G94" i="21"/>
  <c r="G77" i="21"/>
  <c r="M20" i="21"/>
  <c r="U20" i="21"/>
  <c r="M21" i="21"/>
  <c r="T21" i="21"/>
  <c r="M22" i="21"/>
  <c r="T22" i="21"/>
  <c r="M23" i="21"/>
  <c r="T23" i="21"/>
  <c r="M24" i="21"/>
  <c r="U24" i="21"/>
  <c r="M25" i="21"/>
  <c r="T25" i="21"/>
  <c r="M26" i="21"/>
  <c r="M27" i="21"/>
  <c r="T27" i="21"/>
  <c r="M28" i="21"/>
  <c r="U28" i="21"/>
  <c r="M29" i="21"/>
  <c r="M30" i="21"/>
  <c r="M31" i="21"/>
  <c r="T31" i="21"/>
  <c r="M32" i="21"/>
  <c r="M33" i="21"/>
  <c r="U33" i="21"/>
  <c r="M34" i="21"/>
  <c r="T34" i="21"/>
  <c r="M35" i="21"/>
  <c r="T35" i="21"/>
  <c r="M36" i="21"/>
  <c r="M37" i="21"/>
  <c r="M38" i="21"/>
  <c r="M39" i="21"/>
  <c r="T39" i="21"/>
  <c r="M40" i="21"/>
  <c r="T40" i="21"/>
  <c r="M41" i="21"/>
  <c r="M42" i="21"/>
  <c r="M43" i="21"/>
  <c r="T43" i="21"/>
  <c r="M44" i="21"/>
  <c r="T44" i="21"/>
  <c r="K62" i="21"/>
  <c r="K63" i="21"/>
  <c r="K64" i="21"/>
  <c r="K65" i="21"/>
  <c r="K66" i="21"/>
  <c r="K67" i="21"/>
  <c r="K68" i="21"/>
  <c r="K69" i="21"/>
  <c r="G62"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Q18"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4"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D85" i="11"/>
  <c r="C86" i="11"/>
  <c r="D86" i="11"/>
  <c r="C87" i="11"/>
  <c r="D87" i="11"/>
  <c r="C88" i="11"/>
  <c r="C89" i="11"/>
  <c r="C90" i="11"/>
  <c r="C91" i="11"/>
  <c r="C92" i="11"/>
  <c r="C93" i="11"/>
  <c r="C94" i="11"/>
  <c r="D94" i="11"/>
  <c r="C95" i="11"/>
  <c r="D95" i="11"/>
  <c r="C96" i="11"/>
  <c r="D96" i="11"/>
  <c r="B85" i="11"/>
  <c r="B97" i="11"/>
  <c r="B86" i="11"/>
  <c r="B87" i="11"/>
  <c r="B88" i="11"/>
  <c r="B89" i="11"/>
  <c r="B90" i="11"/>
  <c r="D90" i="11"/>
  <c r="B91" i="11"/>
  <c r="B92" i="11"/>
  <c r="B93" i="11"/>
  <c r="D93" i="11"/>
  <c r="B94" i="11"/>
  <c r="B95" i="11"/>
  <c r="B96" i="11"/>
  <c r="A70" i="11"/>
  <c r="C67" i="11"/>
  <c r="C68" i="11"/>
  <c r="C69" i="11"/>
  <c r="C70" i="11"/>
  <c r="D70" i="11"/>
  <c r="B67" i="11"/>
  <c r="B68" i="11"/>
  <c r="B69" i="11"/>
  <c r="B70" i="11"/>
  <c r="B71" i="11"/>
  <c r="A62" i="11"/>
  <c r="A54" i="11"/>
  <c r="A38" i="11"/>
  <c r="A26" i="11"/>
  <c r="C31" i="11"/>
  <c r="C32" i="11"/>
  <c r="D32" i="11"/>
  <c r="C33" i="11"/>
  <c r="C34" i="11"/>
  <c r="C35" i="11"/>
  <c r="C36" i="11"/>
  <c r="D36" i="11"/>
  <c r="C37" i="11"/>
  <c r="C38" i="11"/>
  <c r="B31" i="11"/>
  <c r="B32" i="11"/>
  <c r="B33" i="11"/>
  <c r="B34" i="11"/>
  <c r="B35" i="11"/>
  <c r="B36" i="11"/>
  <c r="B37" i="11"/>
  <c r="B38" i="11"/>
  <c r="C24" i="11"/>
  <c r="C25" i="11"/>
  <c r="C26" i="11"/>
  <c r="C27" i="11"/>
  <c r="B25" i="11"/>
  <c r="B26" i="11"/>
  <c r="D70" i="4"/>
  <c r="C70" i="4"/>
  <c r="B70" i="4"/>
  <c r="C54" i="11"/>
  <c r="D54" i="11"/>
  <c r="B54" i="11"/>
  <c r="B55"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F68" i="7"/>
  <c r="G68" i="7"/>
  <c r="H68" i="7"/>
  <c r="I68" i="7"/>
  <c r="J68" i="7"/>
  <c r="K68" i="7"/>
  <c r="L68" i="7"/>
  <c r="M68" i="7"/>
  <c r="N68" i="7"/>
  <c r="O68" i="7"/>
  <c r="P68" i="7"/>
  <c r="Q68" i="7"/>
  <c r="R68" i="7"/>
  <c r="S68" i="7"/>
  <c r="F69" i="7"/>
  <c r="G69" i="7"/>
  <c r="H69" i="7"/>
  <c r="I69" i="7"/>
  <c r="J69" i="7"/>
  <c r="K69" i="7"/>
  <c r="L69" i="7"/>
  <c r="M69" i="7"/>
  <c r="N69" i="7"/>
  <c r="O69" i="7"/>
  <c r="P69" i="7"/>
  <c r="Q69" i="7"/>
  <c r="R69" i="7"/>
  <c r="S69" i="7"/>
  <c r="F54" i="7"/>
  <c r="G54" i="7"/>
  <c r="H54" i="7"/>
  <c r="I54" i="7"/>
  <c r="F55" i="7"/>
  <c r="G55" i="7"/>
  <c r="H55" i="7"/>
  <c r="I55" i="7"/>
  <c r="J55" i="7"/>
  <c r="K55" i="7"/>
  <c r="L55" i="7"/>
  <c r="M55" i="7"/>
  <c r="N55" i="7"/>
  <c r="O55" i="7"/>
  <c r="P55" i="7"/>
  <c r="Q55" i="7"/>
  <c r="R55" i="7"/>
  <c r="S55" i="7"/>
  <c r="F56" i="7"/>
  <c r="G56" i="7"/>
  <c r="H56" i="7"/>
  <c r="I56" i="7"/>
  <c r="J56" i="7"/>
  <c r="K56" i="7"/>
  <c r="L56" i="7"/>
  <c r="M56" i="7"/>
  <c r="N56" i="7"/>
  <c r="O56" i="7"/>
  <c r="P56" i="7"/>
  <c r="Q56" i="7"/>
  <c r="R56" i="7"/>
  <c r="S56" i="7"/>
  <c r="F57" i="7"/>
  <c r="G57" i="7"/>
  <c r="H57" i="7"/>
  <c r="I57" i="7"/>
  <c r="J57" i="7"/>
  <c r="K57" i="7"/>
  <c r="L57" i="7"/>
  <c r="M57" i="7"/>
  <c r="N57" i="7"/>
  <c r="O57" i="7"/>
  <c r="P57" i="7"/>
  <c r="Q57" i="7"/>
  <c r="R57" i="7"/>
  <c r="S57" i="7"/>
  <c r="F53" i="7"/>
  <c r="G53" i="7"/>
  <c r="H53" i="7"/>
  <c r="I53" i="7"/>
  <c r="J53" i="7"/>
  <c r="K53" i="7"/>
  <c r="L53" i="7"/>
  <c r="M53" i="7"/>
  <c r="A61" i="15"/>
  <c r="BA478" i="3"/>
  <c r="BA470" i="3"/>
  <c r="F24" i="7"/>
  <c r="G24" i="7"/>
  <c r="H24" i="7"/>
  <c r="I24" i="7"/>
  <c r="J24" i="7"/>
  <c r="K24" i="7"/>
  <c r="L24" i="7"/>
  <c r="M24" i="7"/>
  <c r="N24" i="7"/>
  <c r="O24" i="7"/>
  <c r="P24" i="7"/>
  <c r="Q24" i="7"/>
  <c r="R24" i="7"/>
  <c r="S24" i="7"/>
  <c r="F31" i="7"/>
  <c r="G31" i="7"/>
  <c r="H31" i="7"/>
  <c r="I31" i="7"/>
  <c r="J31" i="7"/>
  <c r="K31" i="7"/>
  <c r="L31" i="7"/>
  <c r="M31" i="7"/>
  <c r="N31" i="7"/>
  <c r="O31" i="7"/>
  <c r="P31" i="7"/>
  <c r="Q31" i="7"/>
  <c r="R31" i="7"/>
  <c r="S31" i="7"/>
  <c r="F30" i="7"/>
  <c r="G30" i="7"/>
  <c r="H30" i="7"/>
  <c r="I30" i="7"/>
  <c r="J30" i="7"/>
  <c r="K30" i="7"/>
  <c r="L30" i="7"/>
  <c r="M30" i="7"/>
  <c r="N30" i="7"/>
  <c r="O30" i="7"/>
  <c r="P30" i="7"/>
  <c r="Q30" i="7"/>
  <c r="R30" i="7"/>
  <c r="S30" i="7"/>
  <c r="S29" i="7"/>
  <c r="J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O65" i="20"/>
  <c r="A3" i="15"/>
  <c r="BA986" i="3"/>
  <c r="T11" i="4"/>
  <c r="R10" i="4"/>
  <c r="R91" i="4"/>
  <c r="R84" i="4"/>
  <c r="AI7" i="15"/>
  <c r="B59" i="4"/>
  <c r="C80" i="11"/>
  <c r="C81" i="11"/>
  <c r="B80" i="11"/>
  <c r="B81" i="11"/>
  <c r="D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C12" i="4"/>
  <c r="B12"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c r="R95" i="4"/>
  <c r="R94" i="4"/>
  <c r="R93" i="4"/>
  <c r="R92" i="4"/>
  <c r="R90" i="4"/>
  <c r="R89" i="4"/>
  <c r="R88" i="4"/>
  <c r="R87" i="4"/>
  <c r="R83" i="4"/>
  <c r="R76" i="4"/>
  <c r="R75" i="4"/>
  <c r="R72" i="4"/>
  <c r="R73" i="4"/>
  <c r="R74" i="4"/>
  <c r="R77" i="4"/>
  <c r="R69" i="4"/>
  <c r="R65" i="4"/>
  <c r="R61" i="4"/>
  <c r="R60" i="4"/>
  <c r="R59" i="4"/>
  <c r="R62" i="4"/>
  <c r="R58" i="4"/>
  <c r="R57" i="4"/>
  <c r="R56" i="4"/>
  <c r="R53" i="4"/>
  <c r="R52" i="4"/>
  <c r="R51" i="4"/>
  <c r="R50" i="4"/>
  <c r="R49" i="4"/>
  <c r="R48" i="4"/>
  <c r="R47" i="4"/>
  <c r="R54" i="4"/>
  <c r="R46" i="4"/>
  <c r="R45" i="4"/>
  <c r="R43" i="4"/>
  <c r="R41" i="4"/>
  <c r="R40" i="4"/>
  <c r="R42"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B9" i="11"/>
  <c r="C7" i="11"/>
  <c r="D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B39" i="11"/>
  <c r="C30" i="11"/>
  <c r="C39" i="11"/>
  <c r="D39" i="11"/>
  <c r="D30" i="11"/>
  <c r="D33" i="11"/>
  <c r="D34" i="11"/>
  <c r="B41" i="11"/>
  <c r="C41" i="11"/>
  <c r="C42" i="11"/>
  <c r="B42" i="11"/>
  <c r="B44" i="11"/>
  <c r="C44" i="11"/>
  <c r="D44" i="11"/>
  <c r="B46" i="11"/>
  <c r="C46" i="11"/>
  <c r="D46" i="11"/>
  <c r="B47" i="11"/>
  <c r="C47" i="11"/>
  <c r="D47" i="11"/>
  <c r="B48" i="11"/>
  <c r="B49" i="11"/>
  <c r="B50" i="11"/>
  <c r="B51" i="11"/>
  <c r="D51" i="11"/>
  <c r="B52" i="11"/>
  <c r="B53" i="11"/>
  <c r="C48" i="11"/>
  <c r="C49" i="11"/>
  <c r="C50" i="11"/>
  <c r="D50" i="11"/>
  <c r="C51" i="11"/>
  <c r="C52" i="11"/>
  <c r="C53" i="11"/>
  <c r="B57" i="11"/>
  <c r="C57" i="11"/>
  <c r="B58" i="11"/>
  <c r="C58" i="11"/>
  <c r="B59" i="11"/>
  <c r="B63" i="11"/>
  <c r="C59" i="11"/>
  <c r="C63" i="11"/>
  <c r="D63" i="11"/>
  <c r="B60" i="11"/>
  <c r="C60" i="11"/>
  <c r="B61" i="11"/>
  <c r="C61" i="11"/>
  <c r="B62" i="11"/>
  <c r="C62" i="11"/>
  <c r="B66" i="11"/>
  <c r="C66" i="11"/>
  <c r="D66" i="11"/>
  <c r="B73" i="11"/>
  <c r="C73" i="11"/>
  <c r="B74" i="11"/>
  <c r="C74" i="11"/>
  <c r="D74" i="11"/>
  <c r="B75" i="11"/>
  <c r="C75" i="11"/>
  <c r="B76" i="11"/>
  <c r="C76" i="11"/>
  <c r="B77" i="11"/>
  <c r="C77" i="11"/>
  <c r="B84" i="11"/>
  <c r="C84" i="11"/>
  <c r="B100" i="11"/>
  <c r="B105" i="11"/>
  <c r="C100" i="11"/>
  <c r="D100" i="11"/>
  <c r="A4" i="8"/>
  <c r="D4" i="8"/>
  <c r="I4" i="8"/>
  <c r="J4" i="8"/>
  <c r="A5" i="8"/>
  <c r="D5" i="8"/>
  <c r="I5" i="8"/>
  <c r="A6" i="8"/>
  <c r="D6" i="8"/>
  <c r="I6" i="8"/>
  <c r="A7" i="8"/>
  <c r="D7" i="8"/>
  <c r="I7" i="8"/>
  <c r="A8" i="8"/>
  <c r="D8" i="8"/>
  <c r="I8" i="8"/>
  <c r="J8" i="8"/>
  <c r="A9" i="8"/>
  <c r="D9" i="8"/>
  <c r="I9" i="8"/>
  <c r="A10" i="8"/>
  <c r="D10" i="8"/>
  <c r="I10" i="8"/>
  <c r="J10" i="8"/>
  <c r="A11" i="8"/>
  <c r="D11" i="8"/>
  <c r="I11" i="8"/>
  <c r="A12" i="8"/>
  <c r="D12" i="8"/>
  <c r="I12" i="8"/>
  <c r="A13" i="8"/>
  <c r="D13" i="8"/>
  <c r="I13" i="8"/>
  <c r="A14" i="8"/>
  <c r="D14" i="8"/>
  <c r="I14" i="8"/>
  <c r="A15" i="8"/>
  <c r="D15" i="8"/>
  <c r="I15" i="8"/>
  <c r="A16" i="8"/>
  <c r="D16" i="8"/>
  <c r="I16" i="8"/>
  <c r="A17" i="8"/>
  <c r="D17" i="8"/>
  <c r="I17" i="8"/>
  <c r="A18" i="8"/>
  <c r="D18" i="8"/>
  <c r="I18" i="8"/>
  <c r="J18" i="8"/>
  <c r="A19" i="8"/>
  <c r="D19" i="8"/>
  <c r="I19" i="8"/>
  <c r="A20" i="8"/>
  <c r="D20" i="8"/>
  <c r="I20" i="8"/>
  <c r="J20" i="8"/>
  <c r="A21" i="8"/>
  <c r="D21" i="8"/>
  <c r="I21" i="8"/>
  <c r="A22" i="8"/>
  <c r="D22" i="8"/>
  <c r="I22" i="8"/>
  <c r="A23" i="8"/>
  <c r="D23" i="8"/>
  <c r="I23" i="8"/>
  <c r="A24" i="8"/>
  <c r="D24" i="8"/>
  <c r="I24" i="8"/>
  <c r="A25" i="8"/>
  <c r="D25" i="8"/>
  <c r="I25" i="8"/>
  <c r="A26" i="8"/>
  <c r="D26" i="8"/>
  <c r="I26" i="8"/>
  <c r="A27" i="8"/>
  <c r="D27" i="8"/>
  <c r="I27" i="8"/>
  <c r="A28" i="8"/>
  <c r="D28" i="8"/>
  <c r="I28" i="8"/>
  <c r="F16" i="7"/>
  <c r="G16" i="7"/>
  <c r="H16" i="7"/>
  <c r="I16" i="7"/>
  <c r="J16" i="7"/>
  <c r="K16" i="7"/>
  <c r="L16" i="7"/>
  <c r="M16" i="7"/>
  <c r="N16" i="7"/>
  <c r="O16" i="7"/>
  <c r="P16" i="7"/>
  <c r="Q16" i="7"/>
  <c r="R16" i="7"/>
  <c r="S16" i="7"/>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H11" i="13"/>
  <c r="T26" i="4"/>
  <c r="H26" i="13"/>
  <c r="T38" i="4"/>
  <c r="H38" i="13"/>
  <c r="T42" i="4"/>
  <c r="H42" i="13"/>
  <c r="T54" i="4"/>
  <c r="H54" i="13"/>
  <c r="T70" i="4"/>
  <c r="H70" i="13"/>
  <c r="T96" i="4"/>
  <c r="H96" i="13"/>
  <c r="DX596" i="3"/>
  <c r="DX599" i="3"/>
  <c r="DX600" i="3"/>
  <c r="DX601" i="3"/>
  <c r="DX602" i="3"/>
  <c r="DX603" i="3"/>
  <c r="DX604" i="3"/>
  <c r="DX607" i="3"/>
  <c r="DX608" i="3"/>
  <c r="DX611" i="3"/>
  <c r="DX612" i="3"/>
  <c r="DX615" i="3"/>
  <c r="DX616" i="3"/>
  <c r="DX617" i="3"/>
  <c r="DX618" i="3"/>
  <c r="DX619" i="3"/>
  <c r="DX620" i="3"/>
  <c r="EC596" i="3"/>
  <c r="EC597" i="3"/>
  <c r="EC601" i="3"/>
  <c r="EC602" i="3"/>
  <c r="EC603" i="3"/>
  <c r="EC604" i="3"/>
  <c r="EC609" i="3"/>
  <c r="EC611" i="3"/>
  <c r="EC617" i="3"/>
  <c r="EC620" i="3"/>
  <c r="EH596" i="3"/>
  <c r="EH597" i="3"/>
  <c r="EH598" i="3"/>
  <c r="EH601" i="3"/>
  <c r="EH604" i="3"/>
  <c r="EH605" i="3"/>
  <c r="EH606" i="3"/>
  <c r="EH609" i="3"/>
  <c r="EH611" i="3"/>
  <c r="EH612" i="3"/>
  <c r="EH613" i="3"/>
  <c r="EH614" i="3"/>
  <c r="EH617" i="3"/>
  <c r="EH619" i="3"/>
  <c r="EM597" i="3"/>
  <c r="EM598" i="3"/>
  <c r="EM602" i="3"/>
  <c r="EM603" i="3"/>
  <c r="EM605" i="3"/>
  <c r="EM607" i="3"/>
  <c r="EM610" i="3"/>
  <c r="EM611" i="3"/>
  <c r="EM614" i="3"/>
  <c r="EM615" i="3"/>
  <c r="EM618" i="3"/>
  <c r="EW597" i="3"/>
  <c r="EW599" i="3"/>
  <c r="EW600" i="3"/>
  <c r="EW605" i="3"/>
  <c r="EW609" i="3"/>
  <c r="EW610" i="3"/>
  <c r="EW615" i="3"/>
  <c r="EW616" i="3"/>
  <c r="EW617" i="3"/>
  <c r="ER596" i="3"/>
  <c r="ER597" i="3"/>
  <c r="ER598" i="3"/>
  <c r="ER599" i="3"/>
  <c r="ER600" i="3"/>
  <c r="ER604" i="3"/>
  <c r="ER605" i="3"/>
  <c r="ER608" i="3"/>
  <c r="ER609" i="3"/>
  <c r="ER613" i="3"/>
  <c r="ER614" i="3"/>
  <c r="ER615" i="3"/>
  <c r="ER616" i="3"/>
  <c r="ER617" i="3"/>
  <c r="C11" i="4"/>
  <c r="B26" i="13"/>
  <c r="C38" i="4"/>
  <c r="B38" i="13"/>
  <c r="C54" i="4"/>
  <c r="B54" i="13"/>
  <c r="C62" i="4"/>
  <c r="B62" i="13"/>
  <c r="C77" i="4"/>
  <c r="B77" i="13"/>
  <c r="C96" i="4"/>
  <c r="B96" i="13"/>
  <c r="D8" i="4"/>
  <c r="D11" i="4"/>
  <c r="D26" i="4"/>
  <c r="D38" i="4"/>
  <c r="D42" i="4"/>
  <c r="D54" i="4"/>
  <c r="B54" i="4"/>
  <c r="D62" i="4"/>
  <c r="D77" i="4"/>
  <c r="D96" i="4"/>
  <c r="D104" i="4"/>
  <c r="B104" i="4"/>
  <c r="AO637" i="3"/>
  <c r="E26" i="13"/>
  <c r="S38" i="4"/>
  <c r="E38" i="13"/>
  <c r="S42" i="4"/>
  <c r="E42" i="13"/>
  <c r="S54" i="4"/>
  <c r="E54"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c r="I97" i="4"/>
  <c r="I105"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c r="G97" i="4"/>
  <c r="G105" i="4"/>
  <c r="H38" i="4"/>
  <c r="H63" i="4"/>
  <c r="H97" i="4"/>
  <c r="H105" i="4"/>
  <c r="K38" i="4"/>
  <c r="K63" i="4"/>
  <c r="K97" i="4"/>
  <c r="K105" i="4"/>
  <c r="L38" i="4"/>
  <c r="L63" i="4"/>
  <c r="L97" i="4"/>
  <c r="L105"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c r="G54" i="4"/>
  <c r="H54" i="4"/>
  <c r="K54" i="4"/>
  <c r="L54" i="4"/>
  <c r="O54" i="4"/>
  <c r="Q54" i="4"/>
  <c r="B56" i="4"/>
  <c r="B57" i="4"/>
  <c r="B58" i="4"/>
  <c r="B60" i="4"/>
  <c r="B61" i="4"/>
  <c r="E62" i="4"/>
  <c r="G62" i="4"/>
  <c r="H62" i="4"/>
  <c r="K62" i="4"/>
  <c r="L62" i="4"/>
  <c r="O62" i="4"/>
  <c r="O70" i="4"/>
  <c r="O77" i="4"/>
  <c r="O96" i="4"/>
  <c r="O104" i="4"/>
  <c r="O105" i="4"/>
  <c r="Q62" i="4"/>
  <c r="B65" i="4"/>
  <c r="E70" i="4"/>
  <c r="F70" i="4"/>
  <c r="G70" i="4"/>
  <c r="H70" i="4"/>
  <c r="I70" i="4"/>
  <c r="K70" i="4"/>
  <c r="L70" i="4"/>
  <c r="Q70" i="4"/>
  <c r="B72" i="4"/>
  <c r="B73" i="4"/>
  <c r="B74" i="4"/>
  <c r="B75" i="4"/>
  <c r="AC870" i="3"/>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X730" i="3"/>
  <c r="X731" i="3"/>
  <c r="X732" i="3"/>
  <c r="X733" i="3"/>
  <c r="X734" i="3"/>
  <c r="AH734" i="3"/>
  <c r="X735" i="3"/>
  <c r="X736" i="3"/>
  <c r="X737" i="3"/>
  <c r="X738" i="3"/>
  <c r="AH738" i="3"/>
  <c r="M816" i="3"/>
  <c r="Q816" i="3"/>
  <c r="U816" i="3"/>
  <c r="Y816" i="3"/>
  <c r="AC816" i="3"/>
  <c r="AG816" i="3"/>
  <c r="BI830" i="3"/>
  <c r="Z885" i="3"/>
  <c r="BA983" i="3"/>
  <c r="BA984" i="3"/>
  <c r="BA985" i="3"/>
  <c r="BA987" i="3"/>
  <c r="BA988" i="3"/>
  <c r="BA989" i="3"/>
  <c r="BA990" i="3"/>
  <c r="BA991" i="3"/>
  <c r="B26" i="4"/>
  <c r="B77" i="4"/>
  <c r="D49" i="11"/>
  <c r="I63" i="13"/>
  <c r="I97" i="13"/>
  <c r="I105" i="13"/>
  <c r="I107" i="13"/>
  <c r="B81" i="13"/>
  <c r="D53" i="11"/>
  <c r="J63" i="13"/>
  <c r="J97" i="13"/>
  <c r="J105" i="13"/>
  <c r="J107" i="13"/>
  <c r="L12" i="4"/>
  <c r="D48" i="11"/>
  <c r="D5" i="11"/>
  <c r="D80" i="11"/>
  <c r="D52" i="11"/>
  <c r="I12" i="4"/>
  <c r="G12" i="4"/>
  <c r="D6" i="11"/>
  <c r="Q12" i="4"/>
  <c r="B11" i="4"/>
  <c r="O63" i="4"/>
  <c r="O97" i="4"/>
  <c r="D18" i="11"/>
  <c r="R70" i="4"/>
  <c r="D10" i="11"/>
  <c r="G63" i="13"/>
  <c r="G97" i="13"/>
  <c r="G105" i="13"/>
  <c r="G107" i="13"/>
  <c r="D61" i="11"/>
  <c r="D57" i="11"/>
  <c r="D20" i="11"/>
  <c r="D8" i="11"/>
  <c r="B43" i="11"/>
  <c r="D102" i="11"/>
  <c r="K12" i="4"/>
  <c r="C43" i="11"/>
  <c r="D43" i="11"/>
  <c r="C12" i="13"/>
  <c r="D63" i="4"/>
  <c r="D97" i="4"/>
  <c r="D105" i="4"/>
  <c r="B78" i="11"/>
  <c r="F63" i="4"/>
  <c r="F97" i="4"/>
  <c r="F105" i="4"/>
  <c r="J12" i="4"/>
  <c r="D22" i="11"/>
  <c r="O12" i="4"/>
  <c r="D25" i="11"/>
  <c r="B11" i="13"/>
  <c r="D12" i="4"/>
  <c r="H12" i="4"/>
  <c r="C82" i="11"/>
  <c r="D23" i="11"/>
  <c r="D19" i="11"/>
  <c r="D89" i="11"/>
  <c r="D73" i="11"/>
  <c r="D35" i="11"/>
  <c r="D76" i="11"/>
  <c r="D31" i="11"/>
  <c r="D15" i="11"/>
  <c r="D63" i="13"/>
  <c r="D97" i="13"/>
  <c r="D105" i="13"/>
  <c r="D14" i="11"/>
  <c r="Q63" i="4"/>
  <c r="Q97" i="4"/>
  <c r="Q105" i="4"/>
  <c r="C105" i="11"/>
  <c r="N63" i="4"/>
  <c r="N97" i="4"/>
  <c r="N105" i="4"/>
  <c r="N12" i="4"/>
  <c r="F12" i="4"/>
  <c r="D60" i="11"/>
  <c r="M12" i="4"/>
  <c r="R8" i="4"/>
  <c r="D84" i="11"/>
  <c r="D38" i="11"/>
  <c r="P63" i="4"/>
  <c r="P97" i="4"/>
  <c r="P105" i="4"/>
  <c r="C9" i="11"/>
  <c r="D12" i="13"/>
  <c r="D58" i="11"/>
  <c r="D62" i="11"/>
  <c r="D24" i="11"/>
  <c r="D101" i="11"/>
  <c r="C63" i="13"/>
  <c r="C97" i="13"/>
  <c r="C105" i="13"/>
  <c r="D92" i="11"/>
  <c r="D75" i="11"/>
  <c r="D28" i="11"/>
  <c r="D103" i="11"/>
  <c r="D88" i="11"/>
  <c r="D42" i="11"/>
  <c r="D21" i="11"/>
  <c r="D16" i="11"/>
  <c r="B12" i="11"/>
  <c r="R26" i="4"/>
  <c r="F63" i="13"/>
  <c r="F97" i="13"/>
  <c r="F105" i="13"/>
  <c r="F107" i="13"/>
  <c r="AD199" i="20"/>
  <c r="B42" i="4"/>
  <c r="D77" i="11"/>
  <c r="C71" i="11"/>
  <c r="D71" i="11"/>
  <c r="M63" i="4"/>
  <c r="M97" i="4"/>
  <c r="M105" i="4"/>
  <c r="D91" i="11"/>
  <c r="J63" i="4"/>
  <c r="J97" i="4"/>
  <c r="J105" i="4"/>
  <c r="D41" i="11"/>
  <c r="C12" i="11"/>
  <c r="B62" i="4"/>
  <c r="AD7" i="15"/>
  <c r="F40" i="7"/>
  <c r="F43" i="7"/>
  <c r="S40" i="7"/>
  <c r="N28" i="7"/>
  <c r="D104" i="11"/>
  <c r="E12" i="4"/>
  <c r="B96" i="4"/>
  <c r="T63" i="4"/>
  <c r="T97" i="4"/>
  <c r="D11" i="11"/>
  <c r="D12" i="11"/>
  <c r="C13" i="11"/>
  <c r="H63" i="13"/>
  <c r="T105" i="4"/>
  <c r="H97" i="13"/>
  <c r="T107" i="4"/>
  <c r="H105" i="13"/>
  <c r="H107" i="13"/>
  <c r="AD11" i="15"/>
  <c r="AK172" i="20"/>
  <c r="AB223" i="20"/>
  <c r="AB239" i="20"/>
  <c r="AB241" i="20"/>
  <c r="AB243" i="20"/>
  <c r="AB249" i="20"/>
  <c r="AD198" i="20"/>
  <c r="AD200" i="20"/>
  <c r="G58" i="7"/>
  <c r="F58" i="7"/>
  <c r="E86" i="4"/>
  <c r="R86" i="4"/>
  <c r="S86" i="4"/>
  <c r="E86" i="13"/>
  <c r="E85" i="4"/>
  <c r="S85" i="4"/>
  <c r="N53" i="7"/>
  <c r="J54" i="7"/>
  <c r="I58" i="7"/>
  <c r="S43" i="7"/>
  <c r="H58" i="7"/>
  <c r="L28" i="7"/>
  <c r="L43" i="7"/>
  <c r="R38" i="4"/>
  <c r="R63" i="4"/>
  <c r="R12" i="4"/>
  <c r="S63" i="4"/>
  <c r="C78" i="11"/>
  <c r="D78" i="11"/>
  <c r="D105" i="11"/>
  <c r="B82" i="11"/>
  <c r="D82" i="11"/>
  <c r="D59" i="11"/>
  <c r="B70" i="13"/>
  <c r="C55" i="11"/>
  <c r="D55" i="11"/>
  <c r="B38" i="4"/>
  <c r="D9" i="11"/>
  <c r="B13" i="11"/>
  <c r="D13" i="11"/>
  <c r="B8" i="4"/>
  <c r="B64" i="11"/>
  <c r="C63" i="4"/>
  <c r="B63" i="13"/>
  <c r="AF992" i="3"/>
  <c r="AJ990" i="3"/>
  <c r="N157" i="26"/>
  <c r="C97" i="11"/>
  <c r="D97" i="11"/>
  <c r="O28" i="7"/>
  <c r="P29" i="7"/>
  <c r="I28" i="7"/>
  <c r="H29" i="7"/>
  <c r="M28" i="7"/>
  <c r="G28" i="7"/>
  <c r="S28" i="7"/>
  <c r="L29" i="7"/>
  <c r="K28" i="7"/>
  <c r="J28" i="7"/>
  <c r="R28" i="7"/>
  <c r="P28" i="7"/>
  <c r="H28" i="7"/>
  <c r="F28" i="7"/>
  <c r="AH724" i="3"/>
  <c r="AH737" i="3"/>
  <c r="AH736" i="3"/>
  <c r="AH715" i="3"/>
  <c r="AH723" i="3"/>
  <c r="AH721" i="3"/>
  <c r="AH718" i="3"/>
  <c r="AH728" i="3"/>
  <c r="AH732" i="3"/>
  <c r="AH720" i="3"/>
  <c r="AH714" i="3"/>
  <c r="AH719" i="3"/>
  <c r="AZ835" i="3"/>
  <c r="AZ840" i="3"/>
  <c r="AH730" i="3"/>
  <c r="AH717" i="3"/>
  <c r="AH729" i="3"/>
  <c r="AH716" i="3"/>
  <c r="AH722" i="3"/>
  <c r="AH735" i="3"/>
  <c r="AH731" i="3"/>
  <c r="AH733" i="3"/>
  <c r="R42" i="21" a="1"/>
  <c r="R42" i="21"/>
  <c r="R30" i="21" a="1"/>
  <c r="R30" i="21"/>
  <c r="R41" i="21" a="1"/>
  <c r="R41" i="21"/>
  <c r="AH727" i="3"/>
  <c r="AH726" i="3"/>
  <c r="AH725" i="3"/>
  <c r="E22" i="21"/>
  <c r="F22" i="21"/>
  <c r="T20" i="21"/>
  <c r="AP355" i="20"/>
  <c r="AQ355" i="20"/>
  <c r="G67" i="21"/>
  <c r="T801" i="20"/>
  <c r="AO17" i="20"/>
  <c r="T793" i="20"/>
  <c r="AF793" i="20"/>
  <c r="AK779" i="20"/>
  <c r="T804" i="20"/>
  <c r="AF804" i="20"/>
  <c r="AS349" i="20"/>
  <c r="AS351" i="20"/>
  <c r="AS347" i="20"/>
  <c r="AK458" i="20"/>
  <c r="T802" i="20"/>
  <c r="AF802" i="20"/>
  <c r="AO36" i="20"/>
  <c r="AK56" i="20"/>
  <c r="U44" i="21"/>
  <c r="R21" i="21" a="1"/>
  <c r="R21" i="21"/>
  <c r="U21" i="21"/>
  <c r="Q40" i="7"/>
  <c r="Q43" i="7"/>
  <c r="G40" i="7"/>
  <c r="G43" i="7"/>
  <c r="U30" i="21"/>
  <c r="F33" i="7"/>
  <c r="G33" i="7"/>
  <c r="H33" i="7"/>
  <c r="I33" i="7"/>
  <c r="J33" i="7"/>
  <c r="K33" i="7"/>
  <c r="L33" i="7"/>
  <c r="M33" i="7"/>
  <c r="N33" i="7"/>
  <c r="O33" i="7"/>
  <c r="P33" i="7"/>
  <c r="Q33" i="7"/>
  <c r="R33" i="7"/>
  <c r="S33" i="7"/>
  <c r="H40" i="7"/>
  <c r="H43" i="7"/>
  <c r="F26" i="7"/>
  <c r="G26" i="7"/>
  <c r="H26" i="7"/>
  <c r="I26" i="7"/>
  <c r="J26" i="7"/>
  <c r="K26" i="7"/>
  <c r="L26" i="7"/>
  <c r="M26" i="7"/>
  <c r="N26" i="7"/>
  <c r="O26" i="7"/>
  <c r="P26" i="7"/>
  <c r="Q26" i="7"/>
  <c r="R26" i="7"/>
  <c r="S26" i="7"/>
  <c r="F27" i="7"/>
  <c r="G27" i="7"/>
  <c r="H27" i="7"/>
  <c r="I27" i="7"/>
  <c r="J27" i="7"/>
  <c r="K27" i="7"/>
  <c r="L27" i="7"/>
  <c r="M27" i="7"/>
  <c r="N27" i="7"/>
  <c r="O27" i="7"/>
  <c r="P27" i="7"/>
  <c r="Q27" i="7"/>
  <c r="R27" i="7"/>
  <c r="S27" i="7"/>
  <c r="G29" i="7"/>
  <c r="R28" i="21" a="1"/>
  <c r="R28" i="21"/>
  <c r="AG444" i="3"/>
  <c r="AD27" i="15"/>
  <c r="AD28" i="15"/>
  <c r="DR621" i="3"/>
  <c r="T24" i="21"/>
  <c r="B27" i="11"/>
  <c r="D26" i="11"/>
  <c r="D27" i="11"/>
  <c r="C64" i="11"/>
  <c r="T30" i="21"/>
  <c r="T7" i="15"/>
  <c r="E43" i="7"/>
  <c r="Q29" i="7"/>
  <c r="I29" i="7"/>
  <c r="R44" i="21" a="1"/>
  <c r="R44" i="21"/>
  <c r="K40" i="7"/>
  <c r="K43" i="7"/>
  <c r="M40" i="7"/>
  <c r="M43" i="7"/>
  <c r="F29" i="7"/>
  <c r="K29" i="7"/>
  <c r="P40" i="7"/>
  <c r="P43" i="7"/>
  <c r="O40" i="7"/>
  <c r="O43" i="7"/>
  <c r="I40" i="7"/>
  <c r="I43" i="7"/>
  <c r="R29" i="7"/>
  <c r="T28" i="21"/>
  <c r="R40" i="7"/>
  <c r="R43" i="7"/>
  <c r="N40" i="7"/>
  <c r="N43" i="7"/>
  <c r="N29" i="7"/>
  <c r="J40" i="7"/>
  <c r="J43" i="7"/>
  <c r="M29" i="7"/>
  <c r="R25" i="21" a="1"/>
  <c r="R25" i="21"/>
  <c r="T36" i="21"/>
  <c r="U38" i="21"/>
  <c r="T42" i="21"/>
  <c r="U27" i="21"/>
  <c r="AD68" i="15"/>
  <c r="BS630" i="3"/>
  <c r="BW631" i="3"/>
  <c r="DH621" i="3"/>
  <c r="T33" i="21"/>
  <c r="CM630" i="3"/>
  <c r="CQ631" i="3"/>
  <c r="BX630" i="3"/>
  <c r="CB631" i="3"/>
  <c r="DC621" i="3"/>
  <c r="CS621" i="3"/>
  <c r="CC630" i="3"/>
  <c r="CG631" i="3"/>
  <c r="BA981" i="3"/>
  <c r="R39" i="21" a="1"/>
  <c r="R39" i="21"/>
  <c r="DM621" i="3"/>
  <c r="R27" i="21" a="1"/>
  <c r="R27" i="21"/>
  <c r="CH630" i="3"/>
  <c r="CL631" i="3"/>
  <c r="CM644" i="3"/>
  <c r="CQ645" i="3"/>
  <c r="AC782" i="3"/>
  <c r="F8" i="7"/>
  <c r="F9" i="7"/>
  <c r="E9" i="7"/>
  <c r="CX644" i="3"/>
  <c r="R35" i="21" a="1"/>
  <c r="R35" i="21"/>
  <c r="R43" i="21" a="1"/>
  <c r="R43" i="21"/>
  <c r="R31" i="21" a="1"/>
  <c r="R31" i="21"/>
  <c r="R957" i="3"/>
  <c r="G112" i="21"/>
  <c r="G114" i="21"/>
  <c r="I15" i="21"/>
  <c r="R956" i="3"/>
  <c r="R955" i="3"/>
  <c r="AC762" i="3"/>
  <c r="U22" i="21"/>
  <c r="T41" i="21"/>
  <c r="E99" i="20"/>
  <c r="U41" i="21"/>
  <c r="R23" i="21" a="1"/>
  <c r="R23" i="21"/>
  <c r="E98" i="20"/>
  <c r="R40" i="21" a="1"/>
  <c r="R40" i="21"/>
  <c r="U40" i="21"/>
  <c r="AC867" i="3"/>
  <c r="E32" i="7"/>
  <c r="F32" i="7"/>
  <c r="G32" i="7"/>
  <c r="H32" i="7"/>
  <c r="I32" i="7"/>
  <c r="J32" i="7"/>
  <c r="K32" i="7"/>
  <c r="L32" i="7"/>
  <c r="M32" i="7"/>
  <c r="N32" i="7"/>
  <c r="O32" i="7"/>
  <c r="P32" i="7"/>
  <c r="Q32" i="7"/>
  <c r="R32" i="7"/>
  <c r="S32" i="7"/>
  <c r="BG243" i="3"/>
  <c r="BO245" i="3"/>
  <c r="T266" i="3"/>
  <c r="BS621" i="3"/>
  <c r="EC637" i="3"/>
  <c r="R29" i="21" a="1"/>
  <c r="R29" i="21"/>
  <c r="CX621" i="3"/>
  <c r="R34" i="21" a="1"/>
  <c r="R34" i="21"/>
  <c r="U35" i="21"/>
  <c r="U23" i="21"/>
  <c r="BN630" i="3"/>
  <c r="BR631" i="3"/>
  <c r="R959" i="3"/>
  <c r="ER621" i="3"/>
  <c r="BX644" i="3"/>
  <c r="CB645" i="3"/>
  <c r="DC641" i="3"/>
  <c r="DC644" i="3"/>
  <c r="R32" i="21" a="1"/>
  <c r="R32" i="21"/>
  <c r="U32" i="21"/>
  <c r="T32" i="21"/>
  <c r="T26" i="21"/>
  <c r="U26" i="21"/>
  <c r="R26" i="21" a="1"/>
  <c r="R26" i="21"/>
  <c r="BK621" i="3"/>
  <c r="X1017" i="3"/>
  <c r="CH621" i="3"/>
  <c r="BS644" i="3"/>
  <c r="BW645" i="3"/>
  <c r="E22" i="7"/>
  <c r="BG714" i="3"/>
  <c r="BH699" i="3"/>
  <c r="BI699" i="3"/>
  <c r="M18" i="21"/>
  <c r="BG682" i="3"/>
  <c r="BH681" i="3"/>
  <c r="BI681" i="3"/>
  <c r="U37" i="21"/>
  <c r="R37" i="21" a="1"/>
  <c r="R37" i="21"/>
  <c r="T37" i="21"/>
  <c r="EW598" i="3"/>
  <c r="CM621" i="3"/>
  <c r="EW632" i="3"/>
  <c r="BG621" i="3"/>
  <c r="X1013" i="3"/>
  <c r="EM596" i="3"/>
  <c r="CC621" i="3"/>
  <c r="EM640" i="3"/>
  <c r="DR644" i="3"/>
  <c r="DX598" i="3"/>
  <c r="BN621" i="3"/>
  <c r="DX628" i="3"/>
  <c r="EC621" i="3"/>
  <c r="CH644" i="3"/>
  <c r="CL645" i="3"/>
  <c r="DM634" i="3"/>
  <c r="DM644" i="3"/>
  <c r="DH644" i="3"/>
  <c r="AC868" i="3"/>
  <c r="AC869" i="3"/>
  <c r="CC644" i="3"/>
  <c r="CG645" i="3"/>
  <c r="BX621" i="3"/>
  <c r="EH602" i="3"/>
  <c r="EH621" i="3"/>
  <c r="CS637" i="3"/>
  <c r="CS644" i="3"/>
  <c r="BN644" i="3"/>
  <c r="U36" i="21"/>
  <c r="I1017" i="3"/>
  <c r="U31" i="21"/>
  <c r="AV116" i="20"/>
  <c r="AW115" i="20"/>
  <c r="R36" i="21" a="1"/>
  <c r="R36" i="21"/>
  <c r="U39" i="21"/>
  <c r="R22" i="21" a="1"/>
  <c r="R22" i="21"/>
  <c r="T38" i="21"/>
  <c r="T29" i="21"/>
  <c r="U29" i="21"/>
  <c r="R38" i="21" a="1"/>
  <c r="R38" i="21"/>
  <c r="R20" i="21" a="1"/>
  <c r="R20" i="21"/>
  <c r="U43" i="21"/>
  <c r="U42" i="21"/>
  <c r="U34" i="21"/>
  <c r="F19" i="7"/>
  <c r="G19" i="7"/>
  <c r="H19" i="7"/>
  <c r="I19" i="7"/>
  <c r="J19" i="7"/>
  <c r="K19" i="7"/>
  <c r="L19" i="7"/>
  <c r="M19" i="7"/>
  <c r="N19" i="7"/>
  <c r="O19" i="7"/>
  <c r="P19" i="7"/>
  <c r="Q19" i="7"/>
  <c r="R19" i="7"/>
  <c r="S19" i="7"/>
  <c r="R33" i="21" a="1"/>
  <c r="R33" i="21"/>
  <c r="U25" i="21"/>
  <c r="G35" i="21" a="1"/>
  <c r="G35" i="21"/>
  <c r="R24" i="21" a="1"/>
  <c r="R24" i="21"/>
  <c r="E25" i="21"/>
  <c r="J30" i="8"/>
  <c r="G53" i="21"/>
  <c r="E24" i="21"/>
  <c r="G30" i="8"/>
  <c r="G15" i="7"/>
  <c r="AI11" i="15"/>
  <c r="E26" i="21"/>
  <c r="E23" i="21"/>
  <c r="F23" i="21"/>
  <c r="G23" i="21"/>
  <c r="R97" i="4"/>
  <c r="R105" i="4"/>
  <c r="E85" i="13"/>
  <c r="S96" i="4"/>
  <c r="E96" i="13"/>
  <c r="R85" i="4"/>
  <c r="R96" i="4"/>
  <c r="E96" i="4"/>
  <c r="E97" i="4"/>
  <c r="E105" i="4"/>
  <c r="K54" i="7"/>
  <c r="J58" i="7"/>
  <c r="O53" i="7"/>
  <c r="Z793" i="3"/>
  <c r="E6" i="7"/>
  <c r="M930" i="3"/>
  <c r="E63" i="13"/>
  <c r="B98" i="11"/>
  <c r="B106" i="11"/>
  <c r="C97" i="4"/>
  <c r="C105" i="4"/>
  <c r="B105" i="13"/>
  <c r="N158" i="26"/>
  <c r="N164" i="26"/>
  <c r="B12" i="4"/>
  <c r="B63" i="4"/>
  <c r="EC628" i="3"/>
  <c r="T800" i="20"/>
  <c r="AF800" i="20"/>
  <c r="Y27" i="15"/>
  <c r="AI27" i="15"/>
  <c r="T789" i="20"/>
  <c r="AF789" i="20"/>
  <c r="AK78" i="20"/>
  <c r="AI23" i="15"/>
  <c r="AI26" i="15"/>
  <c r="E35" i="7"/>
  <c r="T27" i="15"/>
  <c r="BH702" i="3"/>
  <c r="BI702" i="3"/>
  <c r="Y784" i="3"/>
  <c r="D64" i="11"/>
  <c r="C98" i="11"/>
  <c r="F22" i="7"/>
  <c r="F35" i="7"/>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G8" i="7"/>
  <c r="G9" i="7"/>
  <c r="BH703" i="3"/>
  <c r="BI703" i="3"/>
  <c r="Y785" i="3"/>
  <c r="E4" i="7"/>
  <c r="CS630" i="3"/>
  <c r="EC631" i="3"/>
  <c r="AW111" i="20"/>
  <c r="AW114" i="20"/>
  <c r="BH700" i="3"/>
  <c r="BI700" i="3"/>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c r="AJ957"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6" i="21"/>
  <c r="DX638" i="3"/>
  <c r="DX629" i="3"/>
  <c r="DX631" i="3"/>
  <c r="DX630" i="3"/>
  <c r="BR623" i="3"/>
  <c r="DX625" i="3"/>
  <c r="DX645" i="3"/>
  <c r="DX624" i="3"/>
  <c r="DX641" i="3"/>
  <c r="DX636" i="3"/>
  <c r="DX644" i="3"/>
  <c r="DX646" i="3"/>
  <c r="DX633" i="3"/>
  <c r="DX643" i="3"/>
  <c r="DX637" i="3"/>
  <c r="DX648" i="3"/>
  <c r="DX647" i="3"/>
  <c r="CM622" i="3"/>
  <c r="DX640" i="3"/>
  <c r="BN649" i="3"/>
  <c r="AB955"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S649" i="3"/>
  <c r="AB956" i="3"/>
  <c r="AJ956" i="3"/>
  <c r="BH708" i="3"/>
  <c r="BI708" i="3"/>
  <c r="ER647" i="3"/>
  <c r="BR645" i="3"/>
  <c r="CS647" i="3"/>
  <c r="CS646" i="3"/>
  <c r="CC649" i="3"/>
  <c r="AB958" i="3"/>
  <c r="AJ958"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H15" i="7"/>
  <c r="G22" i="7"/>
  <c r="G35" i="7"/>
  <c r="E27" i="21"/>
  <c r="G22" i="21"/>
  <c r="S97" i="4"/>
  <c r="P53" i="7"/>
  <c r="L54" i="7"/>
  <c r="K58" i="7"/>
  <c r="B97" i="13"/>
  <c r="AC454" i="3"/>
  <c r="B97" i="4"/>
  <c r="AG258" i="20"/>
  <c r="B105" i="4"/>
  <c r="AC453" i="3"/>
  <c r="F456" i="3"/>
  <c r="AB47" i="15"/>
  <c r="AB49" i="15"/>
  <c r="N154" i="26"/>
  <c r="P42" i="21"/>
  <c r="Q42" i="21" a="1"/>
  <c r="Q42" i="21"/>
  <c r="S42" i="21"/>
  <c r="P44" i="21"/>
  <c r="Q44" i="21" a="1"/>
  <c r="Q44" i="21"/>
  <c r="S44" i="21"/>
  <c r="P43" i="21"/>
  <c r="Q43" i="21" a="1"/>
  <c r="Q43" i="21"/>
  <c r="S43" i="21"/>
  <c r="P40" i="21"/>
  <c r="Q40" i="21" a="1"/>
  <c r="Q40" i="21"/>
  <c r="S40" i="21"/>
  <c r="P41" i="21"/>
  <c r="Q41" i="21" a="1"/>
  <c r="Q41" i="21"/>
  <c r="S41" i="21"/>
  <c r="P38" i="21"/>
  <c r="Q38" i="21" a="1"/>
  <c r="Q38" i="21"/>
  <c r="S38" i="21"/>
  <c r="P39" i="21"/>
  <c r="Q39" i="21" a="1"/>
  <c r="Q39" i="21"/>
  <c r="S39" i="21"/>
  <c r="P37" i="21"/>
  <c r="Q37" i="21" a="1"/>
  <c r="Q37" i="21"/>
  <c r="S37" i="21"/>
  <c r="P34" i="21"/>
  <c r="Q34" i="21" a="1"/>
  <c r="Q34" i="21"/>
  <c r="S34" i="21"/>
  <c r="P36" i="21"/>
  <c r="Q36" i="21" a="1"/>
  <c r="Q36" i="21"/>
  <c r="S36" i="21"/>
  <c r="P35" i="21"/>
  <c r="Q35" i="21" a="1"/>
  <c r="Q35" i="21"/>
  <c r="S35" i="21"/>
  <c r="P31" i="21"/>
  <c r="Q31" i="21" a="1"/>
  <c r="Q31" i="21"/>
  <c r="S31" i="21"/>
  <c r="P33" i="21"/>
  <c r="Q33" i="21" a="1"/>
  <c r="Q33" i="21"/>
  <c r="S33" i="21"/>
  <c r="P30" i="21"/>
  <c r="Q30" i="21" a="1"/>
  <c r="Q30" i="21"/>
  <c r="S30" i="21"/>
  <c r="P32" i="21"/>
  <c r="Q32" i="21" a="1"/>
  <c r="Q32" i="21"/>
  <c r="S32" i="21"/>
  <c r="P29" i="21"/>
  <c r="Q29" i="21" a="1"/>
  <c r="Q29" i="21"/>
  <c r="S29" i="21"/>
  <c r="P27" i="21"/>
  <c r="Q27" i="21" a="1"/>
  <c r="Q27" i="21"/>
  <c r="S27" i="21"/>
  <c r="P28" i="21"/>
  <c r="Q28" i="21" a="1"/>
  <c r="Q28" i="21"/>
  <c r="S28" i="21"/>
  <c r="P25" i="21"/>
  <c r="Q25" i="21" a="1"/>
  <c r="Q25" i="21"/>
  <c r="S25" i="21"/>
  <c r="P26" i="21"/>
  <c r="Q26" i="21" a="1"/>
  <c r="Q26" i="21"/>
  <c r="S26" i="21"/>
  <c r="P22" i="21"/>
  <c r="Q22" i="21" a="1"/>
  <c r="Q22" i="21"/>
  <c r="S22" i="21"/>
  <c r="P24" i="21"/>
  <c r="Q24" i="21" a="1"/>
  <c r="Q24" i="21"/>
  <c r="S24" i="21"/>
  <c r="P23" i="21"/>
  <c r="Q23" i="21" a="1"/>
  <c r="Q23" i="21"/>
  <c r="S23" i="21"/>
  <c r="P20" i="21"/>
  <c r="Q20" i="21" a="1"/>
  <c r="Q20" i="21"/>
  <c r="S20" i="21"/>
  <c r="P21" i="21"/>
  <c r="Q21" i="21" a="1"/>
  <c r="Q21" i="21"/>
  <c r="S21" i="21"/>
  <c r="AW116" i="20"/>
  <c r="AI28" i="15"/>
  <c r="AK180" i="20"/>
  <c r="T796" i="20"/>
  <c r="AF796" i="20"/>
  <c r="T790" i="20"/>
  <c r="AF790" i="20"/>
  <c r="H8" i="7"/>
  <c r="I8" i="7"/>
  <c r="AB255" i="20"/>
  <c r="AG257" i="20"/>
  <c r="AG259" i="20"/>
  <c r="AK262" i="20"/>
  <c r="T797" i="20"/>
  <c r="AF797" i="20"/>
  <c r="D98" i="11"/>
  <c r="C106" i="11"/>
  <c r="D106" i="11"/>
  <c r="F4" i="7"/>
  <c r="F5" i="7"/>
  <c r="EC649" i="3"/>
  <c r="J124" i="20"/>
  <c r="J127" i="20"/>
  <c r="J130" i="20"/>
  <c r="Z802" i="3"/>
  <c r="E5" i="7"/>
  <c r="EW649" i="3"/>
  <c r="AD124" i="20"/>
  <c r="AD127" i="20"/>
  <c r="AD130" i="20"/>
  <c r="DX649" i="3"/>
  <c r="E124" i="20"/>
  <c r="E127" i="20"/>
  <c r="E130" i="20"/>
  <c r="EH649" i="3"/>
  <c r="O124" i="20"/>
  <c r="O127" i="20"/>
  <c r="O130" i="20"/>
  <c r="ER649" i="3"/>
  <c r="Y124" i="20"/>
  <c r="Y127" i="20"/>
  <c r="Y130" i="20"/>
  <c r="BI657" i="3"/>
  <c r="BI682" i="3"/>
  <c r="AC739" i="3"/>
  <c r="BH682" i="3"/>
  <c r="BH714" i="3"/>
  <c r="BI689" i="3"/>
  <c r="BI714" i="3"/>
  <c r="AH739" i="3"/>
  <c r="CS623" i="3"/>
  <c r="EM649" i="3"/>
  <c r="T124" i="20"/>
  <c r="T127" i="20"/>
  <c r="T130" i="20"/>
  <c r="AJ955" i="3"/>
  <c r="AB959" i="3"/>
  <c r="AJ959" i="3"/>
  <c r="F6" i="7"/>
  <c r="E7" i="7"/>
  <c r="I15" i="7"/>
  <c r="H22" i="7"/>
  <c r="H35" i="7"/>
  <c r="F25" i="21"/>
  <c r="G54" i="21"/>
  <c r="G56" i="21"/>
  <c r="G58" i="21"/>
  <c r="E12" i="21"/>
  <c r="F26" i="21"/>
  <c r="G26" i="21"/>
  <c r="G45" i="21"/>
  <c r="G47" i="21"/>
  <c r="G49" i="21"/>
  <c r="E11" i="21"/>
  <c r="S105" i="4"/>
  <c r="E97" i="13"/>
  <c r="M54" i="7"/>
  <c r="L58" i="7"/>
  <c r="Q53" i="7"/>
  <c r="N155" i="26"/>
  <c r="N165" i="26"/>
  <c r="G38" i="21"/>
  <c r="G40" i="21"/>
  <c r="E10" i="21"/>
  <c r="G4" i="7"/>
  <c r="G5" i="7"/>
  <c r="H9" i="7"/>
  <c r="E11" i="7"/>
  <c r="E37" i="7"/>
  <c r="E49" i="7"/>
  <c r="AJ961" i="3"/>
  <c r="E132" i="20"/>
  <c r="E133" i="20"/>
  <c r="AK137" i="20"/>
  <c r="T792" i="20"/>
  <c r="AF792" i="20"/>
  <c r="E87" i="20"/>
  <c r="E88" i="20"/>
  <c r="E89" i="20"/>
  <c r="E97" i="20"/>
  <c r="E100" i="20"/>
  <c r="AP100" i="20"/>
  <c r="AK103" i="20"/>
  <c r="T791" i="20"/>
  <c r="AF791" i="20"/>
  <c r="AB960" i="3"/>
  <c r="CS649" i="3"/>
  <c r="U362" i="20"/>
  <c r="O742" i="3"/>
  <c r="P420" i="3"/>
  <c r="G6" i="7"/>
  <c r="F7" i="7"/>
  <c r="F11" i="7"/>
  <c r="F37" i="7"/>
  <c r="I22" i="7"/>
  <c r="I35" i="7"/>
  <c r="J15" i="7"/>
  <c r="I9" i="7"/>
  <c r="J8" i="7"/>
  <c r="G25" i="21"/>
  <c r="F24" i="21"/>
  <c r="E105" i="13"/>
  <c r="S107" i="4"/>
  <c r="R53" i="7"/>
  <c r="N54" i="7"/>
  <c r="M58" i="7"/>
  <c r="AJ1010" i="3"/>
  <c r="AP541" i="20"/>
  <c r="AJ972" i="3"/>
  <c r="B1025" i="3"/>
  <c r="AJ1014" i="3"/>
  <c r="AP542" i="20"/>
  <c r="H4" i="7"/>
  <c r="I4" i="7"/>
  <c r="E45" i="7"/>
  <c r="E48" i="7"/>
  <c r="AP539" i="20"/>
  <c r="F45" i="7"/>
  <c r="F49" i="7"/>
  <c r="H6" i="7"/>
  <c r="G7" i="7"/>
  <c r="G11" i="7"/>
  <c r="G37" i="7"/>
  <c r="G24" i="21"/>
  <c r="F27" i="21"/>
  <c r="G27" i="21"/>
  <c r="J22" i="7"/>
  <c r="J35" i="7"/>
  <c r="K15" i="7"/>
  <c r="J9" i="7"/>
  <c r="K8" i="7"/>
  <c r="AC455" i="3"/>
  <c r="E107" i="13"/>
  <c r="AF540" i="20"/>
  <c r="O54" i="7"/>
  <c r="N58" i="7"/>
  <c r="S53" i="7"/>
  <c r="AJ1018" i="3"/>
  <c r="AP546" i="20"/>
  <c r="AP545" i="20"/>
  <c r="AP543" i="20"/>
  <c r="H5" i="7"/>
  <c r="E47" i="7"/>
  <c r="E60" i="7"/>
  <c r="E62" i="7"/>
  <c r="J4" i="7"/>
  <c r="I5" i="7"/>
  <c r="G45" i="7"/>
  <c r="G49" i="7"/>
  <c r="I6" i="7"/>
  <c r="H7" i="7"/>
  <c r="F60" i="7"/>
  <c r="F47" i="7"/>
  <c r="F48" i="7"/>
  <c r="K22" i="7"/>
  <c r="K35" i="7"/>
  <c r="L15" i="7"/>
  <c r="G95" i="21"/>
  <c r="G96" i="21"/>
  <c r="G29" i="21"/>
  <c r="G31" i="21"/>
  <c r="E9" i="21"/>
  <c r="G104" i="21"/>
  <c r="G106" i="21"/>
  <c r="G79" i="21"/>
  <c r="G64" i="21"/>
  <c r="K9" i="7"/>
  <c r="L8" i="7"/>
  <c r="T11" i="15"/>
  <c r="T23" i="15"/>
  <c r="Y11" i="15"/>
  <c r="Y23" i="15"/>
  <c r="Y26" i="15"/>
  <c r="Y28" i="15"/>
  <c r="P54" i="7"/>
  <c r="O58" i="7"/>
  <c r="AP548" i="20"/>
  <c r="AF541" i="20"/>
  <c r="AF542" i="20"/>
  <c r="AK548" i="20"/>
  <c r="T803" i="20"/>
  <c r="AF803" i="20"/>
  <c r="AF806" i="20"/>
  <c r="T24" i="15"/>
  <c r="H11" i="7"/>
  <c r="H37" i="7"/>
  <c r="H45" i="7"/>
  <c r="E66" i="7"/>
  <c r="E67" i="7"/>
  <c r="J5" i="7"/>
  <c r="K4" i="7"/>
  <c r="I7" i="7"/>
  <c r="I11" i="7"/>
  <c r="I37" i="7"/>
  <c r="J6" i="7"/>
  <c r="F67" i="7"/>
  <c r="F62" i="7"/>
  <c r="F66" i="7"/>
  <c r="G48" i="7"/>
  <c r="G60" i="7"/>
  <c r="G47" i="7"/>
  <c r="G69" i="21"/>
  <c r="G81" i="21"/>
  <c r="G65" i="21"/>
  <c r="L22" i="7"/>
  <c r="L35" i="7"/>
  <c r="M15" i="7"/>
  <c r="E14" i="21"/>
  <c r="E15" i="21"/>
  <c r="M8" i="7"/>
  <c r="L9" i="7"/>
  <c r="Y64" i="15"/>
  <c r="Y68" i="15"/>
  <c r="T26" i="15"/>
  <c r="T28" i="15"/>
  <c r="T29" i="15"/>
  <c r="Q54" i="7"/>
  <c r="P58" i="7"/>
  <c r="AD38" i="15"/>
  <c r="AD40" i="15"/>
  <c r="H49" i="7"/>
  <c r="E70" i="7"/>
  <c r="E72" i="7"/>
  <c r="L4" i="7"/>
  <c r="K5" i="7"/>
  <c r="F70" i="7"/>
  <c r="F72" i="7"/>
  <c r="J7" i="7"/>
  <c r="J11" i="7"/>
  <c r="J37" i="7"/>
  <c r="K6" i="7"/>
  <c r="I45" i="7"/>
  <c r="I49" i="7"/>
  <c r="G66" i="7"/>
  <c r="G67" i="7"/>
  <c r="G62" i="7"/>
  <c r="H47" i="7"/>
  <c r="H60" i="7"/>
  <c r="H48" i="7"/>
  <c r="M22" i="7"/>
  <c r="M35" i="7"/>
  <c r="N15" i="7"/>
  <c r="G83" i="21"/>
  <c r="E13" i="21"/>
  <c r="E16" i="21"/>
  <c r="H3" i="21"/>
  <c r="M9" i="7"/>
  <c r="N8" i="7"/>
  <c r="Y38" i="15"/>
  <c r="Y40" i="15"/>
  <c r="Y41" i="15"/>
  <c r="R54" i="7"/>
  <c r="Q58" i="7"/>
  <c r="M4" i="7"/>
  <c r="L5" i="7"/>
  <c r="I48" i="7"/>
  <c r="I47" i="7"/>
  <c r="I60" i="7"/>
  <c r="J45" i="7"/>
  <c r="J49" i="7"/>
  <c r="H66" i="7"/>
  <c r="H67" i="7"/>
  <c r="H62" i="7"/>
  <c r="K7" i="7"/>
  <c r="K11" i="7"/>
  <c r="K37" i="7"/>
  <c r="L6" i="7"/>
  <c r="G70" i="7"/>
  <c r="G72" i="7"/>
  <c r="N22" i="7"/>
  <c r="N35" i="7"/>
  <c r="O15" i="7"/>
  <c r="N9" i="7"/>
  <c r="O8" i="7"/>
  <c r="AB50" i="15"/>
  <c r="AB54" i="15"/>
  <c r="AB55" i="15"/>
  <c r="AB56" i="15"/>
  <c r="S54" i="7"/>
  <c r="S58" i="7"/>
  <c r="R58" i="7"/>
  <c r="M5" i="7"/>
  <c r="N4" i="7"/>
  <c r="K49" i="7"/>
  <c r="K45" i="7"/>
  <c r="I62" i="7"/>
  <c r="I67" i="7"/>
  <c r="I66" i="7"/>
  <c r="J47" i="7"/>
  <c r="J48" i="7"/>
  <c r="J60" i="7"/>
  <c r="H70" i="7"/>
  <c r="H72" i="7"/>
  <c r="L7" i="7"/>
  <c r="L11" i="7"/>
  <c r="L37" i="7"/>
  <c r="M6" i="7"/>
  <c r="O22" i="7"/>
  <c r="O35" i="7"/>
  <c r="P15" i="7"/>
  <c r="O9" i="7"/>
  <c r="P8" i="7"/>
  <c r="M26" i="3"/>
  <c r="P203" i="3"/>
  <c r="AB57" i="15"/>
  <c r="AB59" i="15"/>
  <c r="AB76" i="15"/>
  <c r="AB77" i="15"/>
  <c r="AB78" i="15"/>
  <c r="M27" i="3"/>
  <c r="I10" i="21"/>
  <c r="I11" i="21"/>
  <c r="I16" i="21"/>
  <c r="H4" i="21"/>
  <c r="H5" i="21"/>
  <c r="I70" i="7"/>
  <c r="I72" i="7"/>
  <c r="N5" i="7"/>
  <c r="O4" i="7"/>
  <c r="M7" i="7"/>
  <c r="M11" i="7"/>
  <c r="M37" i="7"/>
  <c r="N6" i="7"/>
  <c r="J67" i="7"/>
  <c r="J66" i="7"/>
  <c r="J62" i="7"/>
  <c r="K60" i="7"/>
  <c r="K48" i="7"/>
  <c r="K47" i="7"/>
  <c r="L49" i="7"/>
  <c r="L45" i="7"/>
  <c r="Q15" i="7"/>
  <c r="P22" i="7"/>
  <c r="P35" i="7"/>
  <c r="Q8" i="7"/>
  <c r="P9" i="7"/>
  <c r="AB80" i="15"/>
  <c r="J81" i="15"/>
  <c r="P204" i="3"/>
  <c r="P4" i="7"/>
  <c r="O5" i="7"/>
  <c r="O6" i="7"/>
  <c r="N7" i="7"/>
  <c r="N11" i="7"/>
  <c r="N37" i="7"/>
  <c r="M45" i="7"/>
  <c r="M49" i="7"/>
  <c r="K66" i="7"/>
  <c r="K67" i="7"/>
  <c r="K62" i="7"/>
  <c r="L48" i="7"/>
  <c r="L47" i="7"/>
  <c r="L60" i="7"/>
  <c r="J70" i="7"/>
  <c r="J72" i="7"/>
  <c r="R15" i="7"/>
  <c r="Q22" i="7"/>
  <c r="Q35" i="7"/>
  <c r="Q9" i="7"/>
  <c r="R8" i="7"/>
  <c r="P5" i="7"/>
  <c r="Q4" i="7"/>
  <c r="L67" i="7"/>
  <c r="L66" i="7"/>
  <c r="L62" i="7"/>
  <c r="M48" i="7"/>
  <c r="M60" i="7"/>
  <c r="M47" i="7"/>
  <c r="K70" i="7"/>
  <c r="K72" i="7"/>
  <c r="N49" i="7"/>
  <c r="N45" i="7"/>
  <c r="O7" i="7"/>
  <c r="O11" i="7"/>
  <c r="O37" i="7"/>
  <c r="P6" i="7"/>
  <c r="R22" i="7"/>
  <c r="R35" i="7"/>
  <c r="S15" i="7"/>
  <c r="S22" i="7"/>
  <c r="S35" i="7"/>
  <c r="R9" i="7"/>
  <c r="S8" i="7"/>
  <c r="S9" i="7"/>
  <c r="L70" i="7"/>
  <c r="L72" i="7"/>
  <c r="Q5" i="7"/>
  <c r="R4" i="7"/>
  <c r="Q6" i="7"/>
  <c r="P7" i="7"/>
  <c r="P11" i="7"/>
  <c r="P37" i="7"/>
  <c r="M66" i="7"/>
  <c r="M67" i="7"/>
  <c r="M62" i="7"/>
  <c r="O49" i="7"/>
  <c r="O45" i="7"/>
  <c r="N60" i="7"/>
  <c r="N47" i="7"/>
  <c r="N48" i="7"/>
  <c r="R5" i="7"/>
  <c r="S4" i="7"/>
  <c r="S5" i="7"/>
  <c r="P45" i="7"/>
  <c r="P49" i="7"/>
  <c r="M70" i="7"/>
  <c r="M72" i="7"/>
  <c r="N67" i="7"/>
  <c r="N62" i="7"/>
  <c r="N66" i="7"/>
  <c r="O47" i="7"/>
  <c r="O48" i="7"/>
  <c r="O60" i="7"/>
  <c r="R6" i="7"/>
  <c r="Q7" i="7"/>
  <c r="Q11" i="7"/>
  <c r="Q37" i="7"/>
  <c r="N70" i="7"/>
  <c r="N72" i="7"/>
  <c r="P60" i="7"/>
  <c r="P47" i="7"/>
  <c r="P48" i="7"/>
  <c r="Q45" i="7"/>
  <c r="Q49" i="7"/>
  <c r="R7" i="7"/>
  <c r="R11" i="7"/>
  <c r="R37" i="7"/>
  <c r="S6" i="7"/>
  <c r="O67" i="7"/>
  <c r="O62" i="7"/>
  <c r="O66" i="7"/>
  <c r="O70" i="7"/>
  <c r="O72" i="7"/>
  <c r="S7" i="7"/>
  <c r="S11" i="7"/>
  <c r="S37" i="7"/>
  <c r="R49" i="7"/>
  <c r="R45" i="7"/>
  <c r="Q60" i="7"/>
  <c r="Q48" i="7"/>
  <c r="Q47" i="7"/>
  <c r="P66" i="7"/>
  <c r="P67" i="7"/>
  <c r="P62" i="7"/>
  <c r="P70" i="7"/>
  <c r="P72" i="7"/>
  <c r="Q66" i="7"/>
  <c r="Q62" i="7"/>
  <c r="Q67" i="7"/>
  <c r="R47" i="7"/>
  <c r="R60" i="7"/>
  <c r="R48" i="7"/>
  <c r="S49" i="7"/>
  <c r="S45" i="7"/>
  <c r="S48" i="7"/>
  <c r="S60" i="7"/>
  <c r="S47" i="7"/>
  <c r="R62" i="7"/>
  <c r="R66" i="7"/>
  <c r="R67" i="7"/>
  <c r="Q70" i="7"/>
  <c r="Q72" i="7"/>
  <c r="R70" i="7"/>
  <c r="R72" i="7"/>
  <c r="S62" i="7"/>
  <c r="S66" i="7"/>
  <c r="S67" i="7"/>
  <c r="S70" i="7"/>
  <c r="S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Laura Kobler</author>
    <author>Ferguson, Gina</author>
  </authors>
  <commentList>
    <comment ref="C5" authorId="0" shapeId="0" xr:uid="{66A76DA0-E38C-294D-9E79-E9CDEE394C73}">
      <text>
        <r>
          <rPr>
            <b/>
            <sz val="10"/>
            <color rgb="FF000000"/>
            <rFont val="Tahoma"/>
            <family val="2"/>
          </rPr>
          <t>Laura Kobler:</t>
        </r>
        <r>
          <rPr>
            <sz val="10"/>
            <color rgb="FF000000"/>
            <rFont val="Tahoma"/>
            <family val="2"/>
          </rPr>
          <t xml:space="preserve">
</t>
        </r>
        <r>
          <rPr>
            <sz val="10"/>
            <color rgb="FF000000"/>
            <rFont val="Tahoma"/>
            <family val="2"/>
          </rPr>
          <t>Using blended vacancy rate since 4 of the 8 homeless units will not have PBVs.  For 4 homeless units w/o rent subsidy, we are required to use 10% vacancy.  Blending the 10% vacancy for 4 units with the 5% vacancy for 131 units gets us to a blended rate of 5.078%, which we've applied to the Gross Rents and the Misc Income.  Rows 6, Rental Subsidy, still uses the 5% vacancy rate.</t>
        </r>
      </text>
    </comment>
    <comment ref="C62" authorId="1" shapeId="0" xr:uid="{00000000-0006-0000-0C00-000001000000}">
      <text>
        <r>
          <rPr>
            <sz val="9"/>
            <color indexed="81"/>
            <rFont val="Tahoma"/>
            <family val="2"/>
          </rPr>
          <t>INSERT PERCENTAGE SHARE OF RESIDUAL RECEIPTS CASH FLOW</t>
        </r>
      </text>
    </comment>
    <comment ref="C65" authorId="1"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<sst xmlns="http://schemas.openxmlformats.org/spreadsheetml/2006/main" count="5255" uniqueCount="2805">
  <si>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</si>
  <si>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</si>
  <si>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</si>
  <si>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</si>
  <si>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</si>
  <si>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</si>
  <si>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</si>
  <si>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</si>
  <si>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</si>
  <si>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</si>
  <si>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</si>
  <si>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</si>
  <si>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</si>
  <si>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</si>
  <si>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</si>
  <si>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</si>
  <si>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</si>
  <si>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</si>
  <si>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</si>
  <si>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</si>
  <si>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</si>
  <si>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</si>
  <si>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</si>
  <si>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</si>
  <si>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</si>
  <si>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</si>
  <si>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</si>
  <si>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</si>
  <si>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</si>
  <si>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</si>
  <si>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</si>
  <si>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</si>
  <si>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</si>
  <si>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</si>
  <si>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</si>
  <si>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</si>
  <si>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</si>
  <si>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</si>
  <si>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</si>
  <si>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</si>
  <si>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</si>
  <si>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</si>
  <si>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</si>
  <si>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</si>
  <si>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</si>
  <si>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</si>
  <si>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</si>
  <si>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</si>
  <si>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</si>
  <si>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</si>
  <si>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</si>
  <si>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</si>
  <si>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</si>
  <si>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</si>
  <si>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</si>
  <si>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</si>
  <si>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</si>
  <si>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</si>
  <si>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</si>
  <si>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</si>
  <si>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</si>
  <si>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</si>
  <si>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</si>
  <si>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</si>
  <si>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</si>
  <si>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</si>
  <si>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</si>
  <si>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</si>
  <si>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</si>
  <si>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</si>
  <si>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</si>
  <si>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</si>
  <si>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</si>
  <si>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</si>
  <si>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</si>
  <si>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</si>
  <si>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</si>
  <si>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</si>
  <si>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</si>
  <si>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</si>
  <si>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</si>
  <si>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</si>
  <si>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</si>
  <si>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</si>
  <si>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</si>
  <si>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</si>
  <si>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</si>
  <si>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</si>
  <si>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</si>
  <si>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</si>
  <si>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</si>
  <si>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</si>
  <si>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</si>
  <si>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</si>
  <si>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</si>
  <si>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</si>
  <si>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</si>
  <si>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</si>
  <si>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</si>
  <si>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</si>
  <si>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</si>
  <si>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</si>
  <si>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</si>
  <si>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</si>
  <si>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</si>
  <si>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</si>
  <si>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</si>
  <si>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</si>
  <si>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</si>
  <si>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</si>
  <si>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</si>
  <si>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</si>
  <si>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</si>
  <si>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</si>
  <si>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</si>
  <si>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</si>
  <si>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</si>
  <si>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</si>
  <si>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</si>
  <si>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</si>
  <si>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</si>
  <si>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</si>
  <si>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</si>
  <si>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</si>
  <si>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</si>
  <si>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</si>
  <si>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</si>
  <si>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</si>
  <si>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</si>
  <si>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</si>
  <si>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</si>
  <si>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</si>
  <si>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</si>
  <si>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</si>
  <si>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</si>
  <si>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</si>
  <si>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</si>
  <si>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</si>
  <si>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</si>
  <si>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</si>
  <si>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</si>
  <si>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</si>
  <si>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</si>
  <si>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</si>
  <si>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</si>
  <si>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</si>
  <si>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</si>
  <si>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</si>
  <si>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</si>
  <si>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</si>
  <si>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</si>
  <si>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</si>
  <si>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</si>
  <si>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</si>
  <si>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</si>
  <si>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</si>
  <si>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</si>
  <si>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</si>
  <si>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</si>
  <si>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</si>
  <si>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</si>
  <si>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</si>
  <si>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</si>
  <si>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</si>
  <si>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</si>
  <si>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</si>
  <si>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</si>
  <si>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</si>
  <si>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</si>
  <si>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</si>
  <si>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</si>
  <si>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</si>
  <si>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</si>
  <si>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</si>
  <si>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</si>
  <si>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</si>
  <si>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</si>
  <si>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</si>
  <si>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</si>
  <si>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</si>
  <si>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</si>
  <si>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</si>
  <si>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</si>
  <si>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</si>
  <si>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</si>
  <si>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</si>
  <si>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</si>
  <si>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</si>
  <si>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</si>
  <si>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</si>
  <si>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</si>
  <si>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</si>
  <si>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</si>
  <si>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</si>
  <si>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</si>
  <si>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</si>
  <si>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</si>
  <si>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</si>
  <si>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</si>
  <si>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</si>
  <si>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</si>
  <si>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</si>
  <si>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</si>
  <si>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</si>
  <si>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</si>
  <si>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</si>
  <si>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</si>
  <si>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</si>
  <si>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</si>
  <si>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</si>
  <si>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</si>
  <si>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</si>
  <si>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</si>
  <si>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</si>
  <si>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</si>
  <si>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</si>
  <si>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</si>
  <si>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</si>
  <si>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</si>
  <si>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</si>
  <si>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</si>
  <si>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</si>
  <si>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</si>
  <si>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</si>
  <si>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</si>
  <si>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</si>
  <si>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</si>
  <si>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</si>
  <si>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</si>
  <si>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</si>
  <si>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</si>
  <si>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</si>
  <si>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</si>
  <si>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</si>
  <si>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</si>
  <si>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</si>
  <si>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</si>
  <si>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</si>
  <si>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</si>
  <si>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</si>
  <si>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</si>
  <si>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</si>
  <si>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</si>
  <si>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</si>
  <si>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</si>
  <si>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</si>
  <si>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</si>
  <si>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</si>
  <si>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</si>
  <si>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</si>
  <si>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</si>
  <si>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</si>
  <si>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</si>
  <si>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</si>
  <si>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</si>
  <si>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</si>
  <si>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</si>
  <si>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</si>
  <si>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</si>
  <si>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</si>
  <si>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</si>
  <si>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</si>
  <si>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</si>
  <si>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</si>
  <si>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</si>
  <si>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</si>
  <si>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</si>
  <si>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</si>
  <si>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</si>
  <si>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</si>
  <si>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</si>
  <si>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</si>
  <si>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</si>
  <si>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</si>
  <si>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</si>
  <si>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</si>
  <si>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</si>
  <si>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</si>
  <si>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</si>
  <si>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</si>
  <si>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</si>
  <si>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</si>
  <si>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</si>
  <si>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</si>
  <si>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</si>
  <si>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</si>
  <si>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</si>
  <si>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</si>
  <si>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</si>
  <si>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</si>
  <si>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</si>
  <si>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</si>
  <si>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</si>
  <si>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</si>
  <si>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</si>
  <si>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</si>
  <si>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</si>
  <si>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</si>
  <si>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</si>
  <si>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</si>
  <si>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</si>
  <si>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</si>
  <si>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</si>
  <si>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</si>
  <si>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</si>
  <si>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</si>
  <si>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</si>
  <si>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</si>
  <si>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</si>
  <si>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</si>
  <si>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</si>
  <si>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</si>
  <si>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</si>
  <si>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</si>
  <si>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</si>
  <si>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</si>
  <si>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</si>
  <si>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</si>
  <si>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</si>
  <si>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</si>
  <si>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</si>
  <si>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</si>
  <si>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</si>
  <si>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</si>
  <si>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</si>
  <si>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</si>
  <si>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</si>
  <si>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</si>
  <si>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</si>
  <si>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</si>
  <si>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</si>
  <si>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</si>
  <si>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</si>
  <si>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</si>
  <si>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</si>
  <si>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</si>
  <si>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</si>
  <si>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</si>
  <si>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</si>
  <si>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</si>
  <si>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</si>
  <si>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</si>
  <si>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</si>
  <si>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</si>
  <si>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</si>
  <si>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</si>
  <si>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</si>
  <si>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</si>
  <si>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</si>
  <si>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</si>
  <si>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</si>
  <si>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</si>
  <si>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</si>
  <si>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</si>
  <si>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</si>
  <si>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</si>
  <si>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</si>
  <si>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</si>
  <si>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</si>
  <si>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</si>
  <si>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</si>
  <si>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</si>
  <si>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</si>
  <si>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</si>
  <si>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</si>
  <si>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</si>
  <si>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</si>
  <si>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</si>
  <si>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</si>
  <si>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</si>
  <si>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</si>
  <si>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</si>
  <si>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</si>
  <si>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</si>
  <si>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</si>
  <si>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</si>
  <si>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</si>
  <si>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</si>
  <si>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</si>
  <si>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</si>
  <si>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</si>
  <si>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</si>
  <si>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</si>
  <si>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</si>
  <si>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</si>
  <si>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</si>
  <si>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</si>
  <si>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</si>
  <si>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</si>
  <si>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</si>
  <si>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</si>
  <si>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</si>
  <si>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</si>
  <si>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</si>
  <si>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</si>
  <si>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</si>
  <si>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</si>
  <si>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</si>
  <si>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</si>
  <si>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</si>
  <si>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</si>
  <si>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</si>
  <si>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</si>
  <si>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</si>
  <si>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</si>
  <si>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</si>
  <si>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</si>
  <si>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</si>
  <si>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</si>
  <si>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</si>
  <si>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</si>
  <si>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</si>
  <si>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</si>
  <si>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</si>
  <si>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</si>
  <si>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</si>
  <si>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</si>
  <si>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</si>
  <si>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</si>
  <si>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</si>
  <si>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</si>
  <si>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</si>
  <si>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</si>
  <si>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</si>
  <si>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</si>
  <si>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</si>
  <si>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</si>
  <si>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</si>
  <si>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</si>
  <si>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</si>
  <si>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</si>
  <si>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</si>
  <si>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</si>
  <si>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</si>
  <si>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</si>
  <si>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</si>
  <si>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</si>
  <si>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</si>
  <si>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</si>
  <si>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</si>
  <si>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</si>
  <si>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</si>
  <si>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</si>
  <si>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</si>
  <si>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</si>
  <si>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</si>
  <si>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</si>
  <si>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</si>
  <si>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</si>
  <si>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</si>
  <si>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</si>
  <si>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</si>
  <si>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</si>
  <si>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</si>
  <si>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</si>
  <si>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</si>
  <si>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</si>
  <si>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</si>
  <si>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</si>
  <si>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</si>
  <si>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</si>
  <si>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</si>
  <si>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</si>
  <si>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</si>
  <si>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</si>
  <si>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</si>
  <si>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</si>
  <si>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</si>
  <si>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</si>
  <si>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</si>
  <si>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</si>
  <si>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</si>
  <si>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</si>
  <si>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</si>
  <si>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</si>
  <si>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</si>
  <si>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</si>
  <si>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</si>
  <si>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</si>
  <si>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</si>
  <si>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</si>
  <si>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</si>
  <si>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</si>
  <si>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</si>
  <si>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</si>
  <si>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</si>
  <si>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</si>
  <si>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</si>
  <si>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</si>
  <si>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</si>
  <si>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</si>
  <si>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</si>
  <si>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</si>
  <si>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</si>
  <si>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</si>
  <si>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</si>
  <si>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</si>
  <si>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</si>
  <si>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</si>
  <si>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</si>
  <si>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</si>
  <si>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</si>
  <si>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</si>
  <si>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</si>
  <si>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</si>
  <si>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</si>
  <si>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</si>
  <si>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</si>
  <si>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</si>
  <si>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</si>
  <si>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</si>
  <si>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</si>
  <si>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</si>
  <si>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</si>
  <si>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</si>
  <si>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</si>
  <si>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</si>
  <si>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</si>
  <si>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</si>
  <si>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</si>
  <si>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</si>
  <si>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</si>
  <si>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</si>
  <si>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</si>
  <si>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</si>
  <si>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</si>
  <si>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</si>
  <si>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</si>
  <si>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</si>
  <si>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</si>
  <si>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</si>
  <si>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</si>
  <si>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</si>
  <si>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</si>
  <si>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</si>
  <si>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</si>
  <si>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</si>
  <si>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</si>
  <si>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</si>
  <si>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</si>
  <si>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</si>
  <si>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</si>
  <si>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</si>
  <si>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</si>
  <si>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</si>
  <si>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</si>
  <si>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</si>
  <si>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</si>
  <si>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</si>
  <si>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</si>
  <si>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</si>
  <si>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</si>
  <si>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</si>
  <si>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</si>
  <si>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</si>
  <si>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</si>
  <si>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</si>
  <si>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</si>
  <si>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</si>
  <si>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</si>
  <si>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</si>
  <si>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</si>
  <si>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</si>
  <si>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</si>
  <si>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</si>
  <si>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</si>
  <si>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</si>
  <si>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</si>
  <si>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</si>
  <si>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</si>
  <si>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</si>
  <si>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</si>
  <si>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</si>
  <si>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</si>
  <si>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</si>
  <si>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</si>
  <si>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</si>
  <si>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</si>
  <si>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</si>
  <si>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</si>
  <si>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</si>
  <si>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</si>
  <si>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</si>
  <si>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</si>
  <si>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</si>
  <si>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</si>
  <si>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</si>
  <si>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</si>
  <si>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</si>
  <si>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</si>
  <si>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</si>
  <si>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</si>
  <si>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</si>
  <si>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</si>
  <si>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</si>
  <si>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</si>
  <si>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</si>
  <si>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</si>
  <si>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</si>
  <si>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</si>
  <si>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</si>
  <si>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</si>
  <si>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</si>
  <si>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</si>
  <si>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</si>
  <si>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</si>
  <si>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</si>
  <si>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</si>
  <si>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</si>
  <si>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</si>
  <si>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</si>
  <si>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</si>
  <si>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</si>
  <si>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</si>
  <si>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</si>
  <si>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</si>
  <si>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</si>
  <si>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</si>
  <si>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</si>
  <si>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</si>
  <si>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</si>
  <si>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</si>
  <si>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</si>
  <si>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</si>
  <si>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</si>
  <si>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</si>
  <si>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</si>
  <si>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</si>
  <si>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</si>
  <si>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</si>
  <si>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</si>
  <si>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</si>
  <si>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</si>
  <si>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</si>
  <si>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</si>
  <si>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</si>
  <si>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</si>
  <si>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</si>
  <si>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</si>
  <si>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</si>
  <si>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</si>
  <si>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</si>
  <si>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</si>
  <si>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</si>
  <si>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</si>
  <si>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</si>
  <si>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</si>
  <si>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</si>
  <si>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</si>
  <si>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</si>
  <si>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</si>
  <si>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</si>
  <si>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</si>
  <si>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</si>
  <si>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</si>
  <si>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</si>
  <si>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</si>
  <si>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</si>
  <si>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</si>
  <si>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</si>
  <si>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</si>
  <si>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</si>
  <si>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</si>
  <si>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</si>
  <si>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</si>
  <si>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</si>
  <si>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</si>
  <si>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</si>
  <si>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</si>
  <si>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</si>
  <si>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</si>
  <si>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</si>
  <si>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</si>
  <si>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</si>
  <si>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</si>
  <si>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</si>
  <si>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</si>
  <si>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</si>
  <si>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</si>
  <si>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</si>
  <si>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</si>
  <si>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</si>
  <si>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</si>
  <si>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</si>
  <si>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</si>
  <si>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</si>
  <si>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</si>
  <si>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</si>
  <si>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</si>
  <si>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</si>
  <si>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</si>
  <si>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</si>
  <si>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</si>
  <si>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</si>
  <si>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</si>
  <si>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</si>
  <si>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</si>
  <si>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</si>
  <si>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</si>
  <si>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</si>
  <si>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</si>
  <si>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</si>
  <si>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</si>
  <si>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</si>
  <si>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</si>
  <si>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</si>
  <si>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</si>
  <si>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</si>
  <si>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</si>
  <si>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</si>
  <si>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</si>
  <si>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</si>
  <si>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</si>
  <si>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</si>
  <si>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</si>
  <si>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</si>
  <si>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</si>
  <si>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</si>
  <si>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</si>
  <si>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</si>
  <si>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</si>
  <si>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</si>
  <si>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</si>
  <si>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</si>
  <si>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</si>
  <si>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</si>
  <si>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</si>
  <si>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</si>
  <si>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</si>
  <si>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</si>
  <si>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</si>
  <si>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</si>
  <si>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</si>
  <si>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</si>
  <si>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</si>
  <si>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</si>
  <si>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</si>
  <si>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</si>
  <si>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</si>
  <si>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</si>
  <si>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</si>
  <si>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</si>
  <si>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</si>
  <si>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</si>
  <si>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</si>
  <si>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</si>
  <si>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</si>
  <si>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</si>
  <si>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</si>
  <si>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</si>
  <si>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</si>
  <si>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</si>
  <si>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</si>
  <si>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</si>
  <si>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</si>
  <si>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</si>
  <si>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</si>
  <si>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</si>
  <si>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</si>
  <si>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</si>
  <si>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</si>
  <si>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</si>
  <si>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</si>
  <si>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</si>
  <si>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</si>
  <si>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</si>
  <si>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</si>
  <si>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</si>
  <si>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</si>
  <si>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</si>
  <si>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</si>
  <si>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</si>
  <si>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</si>
  <si>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</si>
  <si>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</si>
  <si>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</si>
  <si>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</si>
  <si>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</si>
  <si>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</si>
  <si>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</si>
  <si>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</si>
  <si>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</si>
  <si>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</si>
  <si>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</si>
  <si>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</si>
  <si>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</si>
  <si>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</si>
  <si>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</si>
  <si>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</si>
  <si>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</si>
  <si>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</si>
  <si>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</si>
  <si>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</si>
  <si>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</si>
  <si>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</si>
  <si>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</si>
  <si>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</si>
  <si>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</si>
  <si>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</si>
  <si>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</si>
  <si>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</si>
  <si>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</si>
  <si>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</si>
  <si>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</si>
  <si>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</si>
  <si>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</si>
  <si>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</si>
  <si>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</si>
  <si>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</si>
  <si>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</si>
  <si>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</si>
  <si>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</si>
  <si>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</si>
  <si>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</si>
  <si>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</si>
  <si>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</si>
  <si>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</si>
  <si>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</si>
  <si>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</si>
  <si>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</si>
  <si>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</si>
  <si>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</si>
  <si>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</si>
  <si>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</si>
  <si>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</si>
  <si>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</si>
  <si>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</si>
  <si>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</si>
  <si>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</si>
  <si>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</si>
  <si>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</si>
  <si>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</si>
  <si>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</si>
  <si>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</si>
  <si>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</si>
  <si>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</si>
  <si>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</si>
  <si>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</si>
  <si>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</si>
  <si>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</si>
  <si>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</si>
  <si>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</si>
  <si>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</si>
  <si>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</si>
  <si>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</si>
  <si>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</si>
  <si>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</si>
  <si>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</si>
  <si>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</si>
  <si>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</si>
  <si>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</si>
  <si>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</si>
  <si>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</si>
  <si>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</si>
  <si>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</si>
  <si>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</si>
  <si>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</si>
  <si>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</si>
  <si>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</si>
  <si>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</si>
  <si>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</si>
  <si>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</si>
  <si>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</si>
  <si>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</si>
  <si>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</si>
  <si>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</si>
  <si>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</si>
  <si>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</si>
  <si>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</si>
  <si>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</si>
  <si>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</si>
  <si>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</si>
  <si>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</si>
  <si>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</si>
  <si>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</si>
  <si>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</si>
  <si>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</si>
  <si>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</si>
  <si>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</si>
  <si>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</si>
  <si>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</si>
  <si>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</si>
  <si>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</si>
  <si>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</si>
  <si>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</si>
  <si>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</si>
  <si>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</si>
  <si>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</si>
  <si>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</si>
  <si>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</si>
  <si>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</si>
  <si>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</si>
  <si>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</si>
  <si>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</si>
  <si>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</si>
  <si>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</si>
  <si>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</si>
  <si>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</si>
  <si>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</si>
  <si>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</si>
  <si>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</si>
  <si>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</si>
  <si>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</si>
  <si>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</si>
  <si>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</si>
  <si>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</si>
  <si>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</si>
  <si>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</si>
  <si>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</si>
  <si>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</si>
  <si>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</si>
  <si>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</si>
  <si>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</si>
  <si>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</si>
  <si>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</si>
  <si>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</si>
  <si>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</si>
  <si>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</si>
  <si>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</si>
  <si>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</si>
  <si>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</si>
  <si>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</si>
  <si>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</si>
  <si>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</si>
  <si>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</si>
  <si>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</si>
  <si>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</si>
  <si>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</si>
  <si>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</si>
  <si>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</si>
  <si>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</si>
  <si>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</si>
  <si>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</si>
  <si>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</si>
  <si>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</si>
  <si>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</si>
  <si>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</si>
  <si>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</si>
  <si>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</si>
  <si>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</si>
  <si>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</si>
  <si>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</si>
  <si>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</si>
  <si>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</si>
  <si>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</si>
  <si>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</si>
  <si>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</si>
  <si>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</si>
  <si>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</si>
  <si>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</si>
  <si>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</si>
  <si>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</si>
  <si>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</si>
  <si>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</si>
  <si>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</si>
  <si>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</si>
  <si>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</si>
  <si>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</si>
  <si>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</si>
  <si>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</si>
  <si>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</si>
  <si>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</si>
  <si>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</si>
  <si>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</si>
  <si>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</si>
  <si>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</si>
  <si>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</si>
  <si>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</si>
  <si>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</si>
  <si>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</si>
  <si>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</si>
  <si>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</si>
  <si>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</si>
  <si>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</si>
  <si>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</si>
  <si>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</si>
  <si>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</si>
  <si>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</si>
  <si>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</si>
  <si>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</si>
  <si>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</si>
  <si>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</si>
  <si>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</si>
  <si>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</si>
  <si>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</si>
  <si>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</si>
  <si>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</si>
  <si>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</si>
  <si>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</si>
  <si>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</si>
  <si>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</si>
  <si>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</si>
  <si>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</si>
  <si>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</si>
  <si>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</si>
  <si>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</si>
  <si>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</si>
  <si>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</si>
  <si>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</si>
  <si>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</si>
  <si>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</si>
  <si>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</si>
  <si>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</si>
  <si>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</si>
  <si>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</si>
  <si>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</si>
  <si>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</si>
  <si>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</si>
  <si>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</si>
  <si>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</si>
  <si>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</si>
  <si>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</si>
  <si>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</si>
  <si>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</si>
  <si>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</si>
  <si>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</si>
  <si>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</si>
  <si>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</si>
  <si>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</si>
  <si>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</si>
  <si>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</si>
  <si>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</si>
  <si>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</si>
  <si>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</si>
  <si>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</si>
  <si>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</si>
  <si>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</si>
  <si>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</si>
  <si>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</si>
  <si>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</si>
  <si>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</si>
  <si>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</si>
  <si>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</si>
  <si>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</si>
  <si>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</si>
  <si>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</si>
  <si>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</si>
  <si>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</si>
  <si>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</si>
  <si>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</si>
  <si>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</si>
  <si>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</si>
  <si>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</si>
  <si>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</si>
  <si>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</si>
  <si>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</si>
  <si>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</si>
  <si>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</si>
  <si>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</si>
  <si>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</si>
  <si>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</si>
  <si>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</si>
  <si>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</si>
  <si>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</si>
  <si>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</si>
  <si>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</si>
  <si>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</si>
  <si>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</si>
  <si>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</si>
  <si>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</si>
  <si>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</si>
  <si>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</si>
  <si>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</si>
  <si>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</si>
  <si>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</si>
  <si>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</si>
  <si>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</si>
  <si>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</si>
  <si>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</si>
  <si>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</si>
  <si>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</si>
  <si>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</si>
  <si>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</si>
  <si>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</si>
  <si>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</si>
  <si>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</si>
  <si>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</si>
  <si>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</si>
  <si>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</si>
  <si>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</si>
  <si>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</si>
  <si>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</si>
  <si>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</si>
  <si>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</si>
  <si>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</si>
  <si>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</si>
  <si>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</si>
  <si>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</si>
  <si>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</si>
  <si>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</si>
  <si>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</si>
  <si>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</si>
  <si>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</si>
  <si>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</si>
  <si>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</si>
  <si>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</si>
  <si>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</si>
  <si>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</si>
  <si>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</si>
  <si>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</si>
  <si>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</si>
  <si>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</si>
  <si>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</si>
  <si>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</si>
  <si>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</si>
  <si>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</si>
  <si>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</si>
  <si>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</si>
  <si>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</si>
  <si>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</si>
  <si>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</si>
  <si>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</si>
  <si>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</si>
  <si>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</si>
  <si>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</si>
  <si>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</si>
  <si>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</si>
  <si>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</si>
  <si>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</si>
  <si>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</si>
  <si>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</si>
  <si>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</si>
  <si>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</si>
  <si>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</si>
  <si>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</si>
  <si>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</si>
  <si>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</si>
  <si>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</si>
  <si>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</si>
  <si>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</si>
  <si>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</si>
  <si>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</si>
  <si>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</si>
  <si>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</si>
  <si>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</si>
  <si>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</si>
  <si>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</si>
  <si>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</si>
  <si>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</si>
  <si>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</si>
  <si>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</si>
  <si>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</si>
  <si>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</si>
  <si>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</si>
  <si>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</si>
  <si>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</si>
  <si>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</si>
  <si>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</si>
  <si>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</si>
  <si>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</si>
  <si>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</si>
  <si>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</si>
  <si>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</si>
  <si>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</si>
  <si>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</si>
  <si>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</si>
  <si>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</si>
  <si>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</si>
  <si>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</si>
  <si>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</si>
  <si>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</si>
  <si>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</si>
  <si>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</si>
  <si>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</si>
  <si>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</si>
  <si>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</si>
  <si>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</si>
  <si>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</si>
  <si>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</si>
  <si>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</si>
  <si>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</si>
  <si>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</si>
  <si>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</si>
  <si>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</si>
  <si>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</si>
  <si>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</si>
  <si>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</si>
  <si>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</si>
  <si>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</si>
  <si>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</si>
  <si>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</si>
  <si>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</si>
  <si>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</si>
  <si>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</si>
  <si>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</si>
  <si>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</si>
  <si>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</si>
  <si>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</si>
  <si>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</si>
  <si>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</si>
  <si>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</si>
  <si>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</si>
  <si>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</si>
  <si>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</si>
  <si>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</si>
  <si>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</si>
  <si>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</si>
  <si>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</si>
  <si>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</si>
  <si>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</si>
  <si>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</si>
  <si>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</si>
  <si>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</si>
  <si>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</si>
  <si>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</si>
  <si>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</si>
  <si>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</si>
  <si>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</si>
  <si>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</si>
  <si>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</si>
  <si>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</si>
  <si>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</si>
  <si>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</si>
  <si>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</si>
  <si>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</si>
  <si>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</si>
  <si>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</si>
  <si>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</si>
  <si>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</si>
  <si>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</si>
  <si>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</si>
  <si>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</si>
  <si>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</si>
  <si>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</si>
  <si>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</si>
  <si>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</si>
  <si>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</si>
  <si>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</si>
  <si>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</si>
  <si>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</si>
  <si>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</si>
  <si>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</si>
  <si>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</si>
  <si>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</si>
  <si>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</si>
  <si>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</si>
  <si>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</si>
  <si>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</si>
  <si>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</si>
  <si>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</si>
  <si>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</si>
  <si>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</si>
  <si>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</si>
  <si>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</si>
  <si>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</si>
  <si>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</si>
  <si>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</si>
  <si>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</si>
  <si>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</si>
  <si>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</si>
  <si>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</si>
  <si>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</si>
  <si>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</si>
  <si>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</si>
  <si>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</si>
  <si>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</si>
  <si>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</si>
  <si>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</si>
  <si>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</si>
  <si>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</si>
  <si>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</si>
  <si>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</si>
  <si>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</si>
  <si>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</si>
  <si>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</si>
  <si>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</si>
  <si>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</si>
  <si>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</si>
  <si>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</si>
  <si>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</si>
  <si>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</si>
  <si>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</si>
  <si>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</si>
  <si>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</si>
  <si>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</si>
  <si>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</si>
  <si>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</si>
  <si>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</si>
  <si>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</si>
  <si>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</si>
  <si>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</si>
  <si>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</si>
  <si>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</si>
  <si>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</si>
  <si>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</si>
  <si>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</si>
  <si>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</si>
  <si>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</si>
  <si>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</si>
  <si>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</si>
  <si>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</si>
  <si>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</si>
  <si>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</si>
  <si>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</si>
  <si>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</si>
  <si>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</si>
  <si>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</si>
  <si>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</si>
  <si>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</si>
  <si>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</si>
  <si>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</si>
  <si>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</si>
  <si>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</si>
  <si>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</si>
  <si>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</si>
  <si>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</si>
  <si>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</si>
  <si>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</si>
  <si>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</si>
  <si>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</si>
  <si>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</si>
  <si>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</si>
  <si>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</si>
  <si>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</si>
  <si>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</si>
  <si>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</si>
  <si>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</si>
  <si>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</si>
  <si>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</si>
  <si>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</si>
  <si>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</si>
  <si>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</si>
  <si>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</si>
  <si>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</si>
  <si>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</si>
  <si>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</si>
  <si>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</si>
  <si>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</si>
  <si>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</si>
  <si>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</si>
  <si>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</si>
  <si>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</si>
  <si>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</si>
  <si>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</si>
  <si>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</si>
  <si>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</si>
  <si>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</si>
  <si>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</si>
  <si>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</si>
  <si>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</si>
  <si>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</si>
  <si>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</si>
  <si>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</si>
  <si>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</si>
  <si>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</si>
  <si>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</si>
  <si>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</si>
  <si>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</si>
  <si>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</si>
  <si>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</si>
  <si>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</si>
  <si>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</si>
  <si>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</si>
  <si>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</si>
  <si>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</si>
  <si>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</si>
  <si>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</si>
  <si>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</si>
  <si>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</si>
  <si>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</si>
  <si>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</si>
  <si>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</si>
  <si>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</si>
  <si>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</si>
  <si>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</si>
  <si>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</si>
  <si>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</si>
  <si>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</si>
  <si>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</si>
  <si>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</si>
  <si>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</si>
  <si>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</si>
  <si>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</si>
  <si>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</si>
  <si>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</si>
  <si>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</si>
  <si>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</si>
  <si>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</si>
  <si>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</si>
  <si>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</si>
  <si>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</si>
  <si>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</si>
  <si>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</si>
  <si>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</si>
  <si>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</si>
  <si>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</si>
  <si>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</si>
  <si>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</si>
  <si>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</si>
  <si>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</si>
  <si>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</si>
  <si>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</si>
  <si>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</si>
  <si>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</si>
  <si>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</si>
  <si>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</si>
  <si>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</si>
  <si>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</si>
  <si>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</si>
  <si>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</si>
  <si>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</si>
  <si>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</si>
  <si>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</si>
  <si>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</si>
  <si>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</si>
  <si>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</si>
  <si>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</si>
  <si>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</si>
  <si>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</si>
  <si>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</si>
  <si>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</si>
  <si>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</si>
  <si>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</si>
  <si>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</si>
  <si>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</si>
  <si>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</si>
  <si>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</si>
  <si>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</si>
  <si>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</si>
  <si>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</si>
  <si>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</si>
  <si>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</si>
  <si>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</si>
  <si>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</si>
  <si>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</si>
  <si>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</si>
  <si>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</si>
  <si>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</si>
  <si>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</si>
  <si>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</si>
  <si>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</si>
  <si>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</si>
  <si>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</si>
  <si>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</si>
  <si>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</si>
  <si>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</si>
  <si>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</si>
  <si>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</si>
  <si>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</si>
  <si>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</si>
  <si>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</si>
  <si>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</si>
  <si>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</si>
  <si>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</si>
  <si>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</si>
  <si>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</si>
  <si>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</si>
  <si>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</si>
  <si>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</si>
  <si>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</si>
  <si>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</si>
  <si>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</si>
  <si>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</si>
  <si>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</si>
  <si>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</si>
  <si>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</si>
  <si>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</si>
  <si>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</si>
  <si>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</si>
  <si>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</si>
  <si>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</si>
  <si>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</si>
  <si>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</si>
  <si>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</si>
  <si>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</si>
  <si>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</si>
  <si>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</si>
  <si>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</si>
  <si>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</si>
  <si>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</si>
  <si>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</si>
  <si>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</si>
  <si>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</si>
  <si>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</si>
  <si>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</si>
  <si>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</si>
  <si>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</si>
  <si>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</si>
  <si>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</si>
  <si>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</si>
  <si>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</si>
  <si>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</si>
  <si>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</si>
  <si>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</si>
  <si>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</si>
  <si>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</si>
  <si>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</si>
  <si>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</si>
  <si>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</si>
  <si>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</si>
  <si>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</si>
  <si>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</si>
  <si>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</si>
  <si>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</si>
  <si>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</si>
  <si>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</si>
  <si>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</si>
  <si>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</si>
  <si>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</si>
  <si>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</si>
  <si>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</si>
  <si>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</si>
  <si>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</si>
  <si>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</si>
  <si>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</si>
  <si>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</si>
  <si>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</si>
  <si>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</si>
  <si>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</si>
  <si>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</si>
  <si>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</si>
  <si>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</si>
  <si>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</si>
  <si>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</si>
  <si>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</si>
  <si>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</si>
  <si>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</si>
  <si>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</si>
  <si>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</si>
  <si>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</si>
  <si>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</si>
  <si>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</si>
  <si>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</si>
  <si>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</si>
  <si>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</si>
  <si>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</si>
  <si>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</si>
  <si>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</si>
  <si>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</si>
  <si>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</si>
  <si>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</si>
  <si>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</si>
  <si>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</si>
  <si>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</si>
  <si>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</si>
  <si>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</si>
  <si>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</si>
  <si>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</si>
  <si>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</si>
  <si>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</si>
  <si>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</si>
  <si>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</si>
  <si>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</si>
  <si>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</si>
  <si>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</si>
  <si>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</si>
  <si>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</si>
  <si>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</si>
  <si>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</si>
  <si>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</si>
  <si>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</si>
  <si>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</si>
  <si>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</si>
  <si>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</si>
  <si>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</si>
  <si>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</si>
  <si>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</si>
  <si>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</si>
  <si>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</si>
  <si>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</si>
  <si>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</si>
  <si>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</si>
  <si>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</si>
  <si>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</si>
  <si>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</si>
  <si>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</si>
  <si>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</si>
  <si>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</si>
  <si>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</si>
  <si>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</si>
  <si>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</si>
  <si>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</si>
  <si>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</si>
  <si>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</si>
  <si>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</si>
  <si>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</si>
  <si>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</si>
  <si>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</si>
  <si>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</si>
  <si>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</si>
  <si>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</si>
  <si>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</si>
  <si>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</si>
  <si>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</si>
  <si>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</si>
  <si>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</si>
  <si>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</si>
  <si>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</si>
  <si>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</si>
  <si>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</si>
  <si>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</si>
  <si>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</si>
  <si>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</si>
  <si>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</si>
  <si>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</si>
  <si>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</si>
  <si>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</si>
  <si>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</si>
  <si>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</si>
  <si>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</si>
  <si>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</si>
  <si>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</si>
  <si>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</si>
  <si>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</si>
  <si>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</si>
  <si>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</si>
  <si>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</si>
  <si>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</si>
  <si>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</si>
  <si>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</si>
  <si>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</si>
  <si>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</si>
  <si>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</si>
  <si>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</si>
  <si>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</si>
  <si>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</si>
  <si>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</si>
  <si>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</si>
  <si>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</si>
  <si>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</si>
  <si>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</si>
  <si>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</si>
  <si>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</si>
  <si>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</si>
  <si>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</si>
  <si>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</si>
  <si>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</si>
  <si>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</si>
  <si>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</si>
  <si>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</si>
  <si>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</si>
  <si>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</si>
  <si>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</si>
  <si>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</si>
  <si>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</si>
  <si>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</si>
  <si>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</si>
  <si>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</si>
  <si>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</si>
  <si>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</si>
  <si>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</si>
  <si>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</si>
  <si>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</si>
  <si>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</si>
  <si>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</si>
  <si>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</si>
  <si>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</si>
  <si>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</si>
  <si>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</si>
  <si>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</si>
  <si>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</si>
  <si>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</si>
  <si>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</si>
  <si>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</si>
  <si>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</si>
  <si>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</si>
  <si>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</si>
  <si>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</si>
  <si>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</si>
  <si>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</si>
  <si>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</si>
  <si>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</si>
  <si>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</si>
  <si>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</si>
  <si>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</si>
  <si>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</si>
  <si>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</si>
  <si>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</si>
  <si>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</si>
  <si>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</si>
  <si>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</si>
  <si>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</si>
  <si>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</si>
  <si>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</si>
  <si>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</si>
  <si>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</si>
  <si>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</si>
  <si>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</si>
  <si>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</si>
  <si>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</si>
  <si>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</si>
  <si>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</si>
  <si>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</si>
  <si>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</si>
  <si>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</si>
  <si>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</si>
  <si>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</si>
  <si>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</si>
  <si>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</si>
  <si>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</si>
  <si>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</si>
  <si>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</si>
  <si>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</si>
  <si>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</si>
  <si>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</si>
  <si>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</si>
  <si>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</si>
  <si>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</si>
  <si>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</si>
  <si>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</si>
  <si>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</si>
  <si>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</si>
  <si>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</si>
  <si>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</si>
  <si>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</si>
  <si>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</si>
  <si>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</si>
  <si>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</si>
  <si>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</si>
  <si>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</si>
  <si>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</si>
  <si>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</si>
  <si>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</si>
  <si>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</si>
  <si>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</si>
  <si>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</si>
  <si>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</si>
  <si>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</si>
  <si>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</si>
  <si>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</si>
  <si>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</si>
  <si>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</si>
  <si>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</si>
  <si>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</si>
  <si>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</si>
  <si>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</si>
  <si>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</si>
  <si>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</si>
  <si>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</si>
  <si>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</si>
  <si>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</si>
  <si>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</si>
  <si>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</si>
  <si>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</si>
  <si>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</si>
  <si>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</si>
  <si>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</si>
  <si>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</si>
  <si>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</si>
  <si>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</si>
  <si>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</si>
  <si>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</si>
  <si>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</si>
  <si>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</si>
  <si>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</si>
  <si>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</si>
  <si>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</si>
  <si>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</si>
  <si>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</si>
  <si>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</si>
  <si>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</si>
  <si>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</si>
  <si>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</si>
  <si>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</si>
  <si>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</si>
  <si>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</si>
  <si>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</si>
  <si>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</si>
  <si>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</si>
  <si>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</si>
  <si>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</si>
  <si>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</si>
  <si>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</si>
  <si>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</si>
  <si>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</si>
  <si>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</si>
  <si>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</si>
  <si>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</si>
  <si>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</si>
  <si>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</si>
  <si>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</si>
  <si>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</si>
  <si>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</si>
  <si>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</si>
  <si>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</si>
  <si>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</si>
  <si>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</si>
  <si>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</si>
  <si>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</si>
  <si>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</si>
  <si>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</si>
  <si>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</si>
  <si>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</si>
  <si>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</si>
  <si>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</si>
  <si>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</si>
  <si>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</si>
  <si>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</si>
  <si>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</si>
  <si>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</si>
  <si>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</si>
  <si>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</si>
  <si>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</si>
  <si>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</si>
  <si>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</si>
  <si>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</si>
  <si>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</si>
  <si>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</si>
  <si>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</si>
  <si>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</si>
  <si>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</si>
  <si>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</si>
  <si>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</si>
  <si>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</si>
  <si>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</si>
  <si>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</si>
  <si>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</si>
  <si>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</si>
  <si>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</si>
  <si>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</si>
  <si>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</si>
  <si>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</si>
  <si>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</si>
  <si>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</si>
  <si>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</si>
  <si>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</si>
  <si>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</si>
  <si>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</si>
  <si>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</si>
  <si>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</si>
  <si>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</si>
  <si>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</si>
  <si>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</si>
  <si>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</si>
  <si>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</si>
  <si>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</si>
  <si>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</si>
  <si>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</si>
  <si>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</si>
  <si>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</si>
  <si>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</si>
  <si>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</si>
  <si>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</si>
  <si>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</si>
  <si>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</si>
  <si>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</si>
  <si>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</si>
  <si>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</si>
  <si>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</si>
  <si>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</si>
  <si>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</si>
  <si>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</si>
  <si>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</si>
  <si>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</si>
  <si>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</si>
  <si>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</si>
  <si>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</si>
  <si>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</si>
  <si>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</si>
  <si>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</si>
  <si>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</si>
  <si>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</si>
  <si>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</si>
  <si>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</si>
  <si>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</si>
  <si>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</si>
  <si>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</si>
  <si>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</si>
  <si>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</si>
  <si>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</si>
  <si>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</si>
  <si>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</si>
  <si>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</si>
  <si>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</si>
  <si>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</si>
  <si>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</si>
  <si>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</si>
  <si>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</si>
  <si>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</si>
  <si>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</si>
  <si>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</si>
  <si>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</si>
  <si>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</si>
  <si>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</si>
  <si>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</si>
  <si>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</si>
  <si>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</si>
  <si>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</si>
  <si>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</si>
  <si>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</si>
  <si>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</si>
  <si>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</si>
  <si>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</si>
  <si>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</si>
  <si>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</si>
  <si>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</si>
  <si>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</si>
  <si>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</si>
  <si>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</si>
  <si>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</si>
  <si>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</si>
  <si>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</si>
  <si>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</si>
  <si>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</si>
  <si>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</si>
  <si>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</si>
  <si>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</si>
  <si>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</si>
  <si>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</si>
  <si>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</si>
  <si>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</si>
  <si>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</si>
  <si>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</si>
  <si>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</si>
  <si>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</si>
  <si>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</si>
  <si>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</si>
  <si>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</si>
  <si>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</si>
  <si>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</si>
  <si>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</si>
  <si>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</si>
  <si>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</si>
  <si>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</si>
  <si>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</si>
  <si>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</si>
  <si>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</si>
  <si>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</si>
  <si>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</si>
  <si>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</si>
  <si>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</si>
  <si>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</si>
  <si>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</si>
  <si>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</si>
  <si>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</si>
  <si>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</si>
  <si>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</si>
  <si>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</si>
  <si>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</si>
  <si>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</si>
  <si>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</si>
  <si>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</si>
  <si>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</si>
  <si>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</si>
  <si>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</si>
  <si>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</si>
  <si>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</si>
  <si>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</si>
  <si>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</si>
  <si>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</si>
  <si>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</si>
  <si>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</si>
  <si>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</si>
  <si>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</si>
  <si>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</si>
  <si>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</si>
  <si>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</si>
  <si>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</si>
  <si>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</si>
  <si>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</si>
  <si>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</si>
  <si>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</si>
  <si>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</si>
  <si>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</si>
  <si>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</si>
  <si>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</si>
  <si>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</si>
  <si>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</si>
  <si>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</si>
  <si>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</si>
  <si>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</si>
  <si>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</si>
  <si>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</si>
  <si>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</si>
  <si>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</si>
  <si>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</si>
  <si>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</si>
  <si>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</si>
  <si>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</si>
  <si>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</si>
  <si>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</si>
  <si>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</si>
  <si>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</si>
  <si>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</si>
  <si>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</si>
  <si>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</si>
  <si>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</si>
  <si>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</si>
  <si>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</si>
  <si>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</si>
  <si>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</si>
  <si>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</si>
  <si>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</si>
  <si>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</si>
  <si>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</si>
  <si>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</si>
  <si>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</si>
  <si>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</si>
  <si>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</si>
  <si>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</si>
  <si>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</si>
  <si>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</si>
  <si>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</si>
  <si>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</si>
  <si>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</si>
  <si>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</si>
  <si>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</si>
  <si>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</si>
  <si>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</si>
  <si>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</si>
  <si>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</si>
  <si>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</si>
  <si>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</si>
  <si>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</si>
  <si>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</si>
  <si>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</si>
  <si>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</si>
  <si>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</si>
  <si>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</si>
  <si>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</si>
  <si>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</si>
  <si>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</si>
  <si>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</si>
  <si>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</si>
  <si>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</si>
  <si>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</si>
  <si>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</si>
  <si>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</si>
  <si>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</si>
  <si>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</si>
  <si>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</si>
  <si>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</si>
  <si>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</si>
  <si>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</si>
  <si>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</si>
  <si>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</si>
  <si>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</si>
  <si>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</si>
  <si>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</si>
  <si>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</si>
  <si>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</si>
  <si>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</si>
  <si>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</si>
  <si>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</si>
  <si>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</si>
  <si>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</si>
  <si>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</si>
  <si>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</si>
  <si>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</si>
  <si>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</si>
  <si>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</si>
  <si>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</si>
  <si>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</si>
  <si>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</si>
  <si>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</si>
  <si>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</si>
  <si>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</si>
  <si>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</si>
  <si>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</si>
  <si>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</si>
  <si>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</si>
  <si>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</si>
  <si>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</si>
  <si>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</si>
  <si>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</si>
  <si>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</si>
  <si>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</si>
  <si>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</si>
  <si>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</si>
  <si>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</si>
  <si>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</si>
  <si>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</si>
  <si>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</si>
  <si>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</si>
  <si>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</si>
  <si>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</si>
  <si>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</si>
  <si>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</si>
  <si>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</si>
  <si>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</si>
  <si>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</si>
  <si>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</si>
  <si>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</si>
  <si>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</si>
  <si>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</si>
  <si>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</si>
  <si>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</si>
  <si>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</si>
  <si>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</si>
  <si>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</si>
  <si>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</si>
  <si>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</si>
  <si>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</si>
  <si>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</si>
  <si>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</si>
  <si>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</si>
  <si>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</si>
  <si>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</si>
  <si>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</si>
  <si>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</si>
  <si>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</si>
  <si>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</si>
  <si>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</si>
  <si>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</si>
  <si>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</si>
  <si>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</si>
  <si>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</si>
  <si>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</si>
  <si>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</si>
  <si>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</si>
  <si>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</si>
  <si>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</si>
  <si>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</si>
  <si>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</si>
  <si>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</si>
  <si>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</si>
  <si>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</si>
  <si>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</si>
  <si>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</si>
  <si>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</si>
  <si>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</si>
  <si>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</si>
  <si>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</si>
  <si>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</si>
  <si>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</si>
  <si>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</si>
  <si>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</si>
  <si>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</si>
  <si>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</si>
  <si>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</si>
  <si>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</si>
  <si>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</si>
  <si>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</si>
  <si>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</si>
  <si>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</si>
  <si>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</si>
  <si>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</si>
  <si>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</si>
  <si>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</si>
  <si>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</si>
  <si>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</si>
  <si>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</si>
  <si>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</si>
  <si>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</si>
  <si>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</si>
  <si>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</si>
  <si>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</si>
  <si>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</si>
  <si>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</si>
  <si>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</si>
  <si>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</si>
  <si>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</si>
  <si>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</si>
  <si>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</si>
  <si>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</si>
  <si>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</si>
  <si>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</si>
  <si>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</si>
  <si>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</si>
  <si>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</si>
  <si>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</si>
  <si>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</si>
  <si>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</si>
  <si>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</si>
  <si>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</si>
  <si>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</si>
  <si>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</si>
  <si>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</si>
  <si>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</si>
  <si>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</si>
  <si>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</si>
  <si>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</si>
  <si>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</si>
  <si>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</si>
  <si>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</si>
  <si>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</si>
  <si>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</si>
  <si>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</si>
  <si>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</si>
  <si>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</si>
  <si>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</si>
  <si>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</si>
  <si>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</si>
  <si>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</si>
  <si>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</si>
  <si>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</si>
  <si>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</si>
  <si>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</si>
  <si>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</si>
  <si>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</si>
  <si>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</si>
  <si>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</si>
  <si>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</si>
  <si>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</si>
  <si>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</si>
  <si>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</si>
  <si>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</si>
  <si>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</si>
  <si>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</si>
  <si>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</si>
  <si>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</si>
  <si>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</si>
  <si>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</si>
  <si>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</si>
  <si>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</si>
  <si>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</si>
  <si>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</si>
  <si>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</si>
  <si>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</si>
  <si>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</si>
  <si>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</si>
  <si>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</si>
  <si>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</si>
  <si>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</si>
  <si>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</si>
  <si>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</si>
  <si>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</si>
  <si>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</si>
  <si>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</si>
  <si>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</si>
  <si>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</si>
  <si>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</si>
  <si>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</si>
  <si>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</si>
  <si>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</si>
  <si>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</si>
  <si>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</si>
  <si>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</si>
  <si>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</si>
  <si>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</si>
  <si>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</si>
  <si>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</si>
  <si>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</si>
  <si>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</si>
  <si>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</si>
  <si>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</si>
  <si>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</si>
  <si>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</si>
  <si>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</si>
  <si>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</si>
  <si>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</si>
  <si>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</si>
  <si>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</si>
  <si>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</si>
  <si>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</si>
  <si>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</si>
  <si>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</si>
  <si>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</si>
  <si>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</si>
  <si>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</si>
  <si>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</si>
  <si>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</si>
  <si>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</si>
  <si>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</si>
  <si>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</si>
  <si>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</si>
  <si>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</si>
  <si>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</si>
  <si>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</si>
  <si>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</si>
  <si>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</si>
  <si>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</si>
  <si>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</si>
  <si>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</si>
  <si>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</si>
  <si>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</si>
  <si>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</si>
  <si>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</si>
  <si>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</si>
  <si>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</si>
  <si>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</si>
  <si>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</si>
  <si>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</si>
  <si>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</si>
  <si>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</si>
  <si>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</si>
  <si>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</si>
  <si>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</si>
  <si>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</si>
  <si>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</si>
  <si>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</si>
  <si>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</si>
  <si>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</si>
  <si>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</si>
  <si>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</si>
  <si>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</si>
  <si>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</si>
  <si>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</si>
  <si>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</si>
  <si>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</si>
  <si>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</si>
  <si>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</si>
  <si>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</si>
  <si>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</si>
  <si>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</si>
  <si>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</si>
  <si>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</si>
  <si>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</si>
  <si>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</si>
  <si>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</si>
  <si>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</si>
  <si>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</si>
  <si>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</si>
  <si>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</si>
  <si>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</si>
  <si>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</si>
  <si>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</si>
  <si>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</si>
  <si>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</si>
  <si>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</si>
  <si>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</si>
  <si>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</si>
  <si>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</si>
  <si>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</si>
  <si>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</si>
  <si>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</si>
  <si>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</si>
  <si>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</si>
  <si>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</si>
  <si>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</si>
  <si>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</si>
  <si>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</si>
  <si>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</si>
  <si>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</si>
  <si>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</si>
  <si>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</si>
  <si>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</si>
  <si>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</si>
  <si>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</si>
  <si>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</si>
  <si>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</si>
  <si>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</si>
  <si>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</si>
  <si>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</si>
  <si>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</si>
  <si>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</si>
  <si>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</si>
  <si>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</si>
  <si>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</si>
  <si>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</si>
  <si>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</si>
  <si>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</si>
  <si>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</si>
  <si>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</si>
  <si>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</si>
  <si>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</si>
  <si>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</si>
  <si>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</si>
  <si>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</si>
  <si>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</si>
  <si>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</si>
  <si>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</si>
  <si>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</si>
  <si>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</si>
  <si>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</si>
  <si>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</si>
  <si>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</si>
  <si>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</si>
  <si>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</si>
  <si>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</si>
  <si>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</si>
  <si>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</si>
  <si>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</si>
  <si>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</si>
  <si>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</si>
  <si>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</si>
  <si>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</si>
  <si>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</si>
  <si>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</si>
  <si>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</si>
  <si>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</si>
  <si>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</si>
  <si>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</si>
  <si>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</si>
  <si>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</si>
  <si>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</si>
  <si>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</si>
  <si>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</si>
  <si>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</si>
  <si>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</si>
  <si>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</si>
  <si>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</si>
  <si>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</si>
  <si>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</si>
  <si>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</si>
  <si>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</si>
  <si>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</si>
  <si>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</si>
  <si>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</si>
  <si>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</si>
  <si>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</si>
  <si>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</si>
  <si>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</si>
  <si>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</si>
  <si>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</si>
  <si>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</si>
  <si>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</si>
  <si>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</si>
  <si>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</si>
  <si>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</si>
  <si>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</si>
  <si>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</si>
  <si>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</si>
  <si>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</si>
  <si>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</si>
  <si>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</si>
  <si>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</si>
  <si>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</si>
  <si>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</si>
  <si>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</si>
  <si>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</si>
  <si>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</si>
  <si>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</si>
  <si>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</si>
  <si>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</si>
  <si>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</si>
  <si>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</si>
  <si>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</si>
  <si>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</si>
  <si>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</si>
  <si>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</si>
  <si>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</si>
  <si>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</si>
  <si>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</si>
  <si>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</si>
  <si>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</si>
  <si>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</si>
  <si>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</si>
  <si>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</si>
  <si>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</si>
  <si>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</si>
  <si>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</si>
  <si>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</si>
  <si>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</si>
  <si>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</si>
  <si>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</si>
  <si>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</si>
  <si>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</si>
  <si>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</si>
  <si>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</si>
  <si>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</si>
  <si>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</si>
  <si>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</si>
  <si>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</si>
  <si>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</si>
  <si>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</si>
  <si>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</si>
  <si>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</si>
  <si>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</si>
  <si>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</si>
  <si>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</si>
  <si>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</si>
  <si>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</si>
  <si>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</si>
  <si>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</si>
  <si>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</si>
  <si>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</si>
  <si>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</si>
  <si>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</si>
  <si>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</si>
  <si>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</si>
  <si>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</si>
  <si>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</si>
  <si>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</si>
  <si>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</si>
  <si>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</si>
  <si>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</si>
  <si>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</si>
  <si>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</si>
  <si>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</si>
  <si>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</si>
  <si>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</si>
  <si>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</si>
  <si>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</si>
  <si>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</si>
  <si>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</si>
  <si>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</si>
  <si>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</si>
  <si>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</si>
  <si>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</si>
  <si>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</si>
  <si>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</si>
  <si>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</si>
  <si>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</si>
  <si>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</si>
  <si>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</si>
  <si>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</si>
  <si>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</si>
  <si>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</si>
  <si>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</si>
  <si>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</si>
  <si>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</si>
  <si>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</si>
  <si>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</si>
  <si>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</si>
  <si>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</si>
  <si>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</si>
  <si>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</si>
  <si>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</si>
  <si>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</si>
  <si>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</si>
  <si>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</si>
  <si>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</si>
  <si>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</si>
  <si>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</si>
  <si>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</si>
  <si>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</si>
  <si>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</si>
  <si>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</si>
  <si>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</si>
  <si>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</si>
  <si>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</si>
  <si>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</si>
  <si>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</si>
  <si>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</si>
  <si>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</si>
  <si>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</si>
  <si>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</si>
  <si>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</si>
  <si>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</si>
  <si>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</si>
  <si>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</si>
  <si>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</si>
  <si>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</si>
  <si>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</si>
  <si>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</si>
  <si>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</si>
  <si>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</si>
  <si>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</si>
  <si>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</si>
  <si>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</si>
  <si>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</si>
  <si>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</si>
  <si>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</si>
  <si>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</si>
  <si>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</si>
  <si>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</si>
  <si>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</si>
  <si>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</si>
  <si>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</si>
  <si>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</si>
  <si>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</si>
  <si>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</si>
  <si>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</si>
  <si>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</si>
  <si>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</si>
  <si>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</si>
  <si>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</si>
  <si>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</si>
  <si>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</si>
  <si>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</si>
  <si>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</si>
  <si>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</si>
  <si>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</si>
  <si>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</si>
  <si>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</si>
  <si>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</si>
  <si>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</si>
  <si>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</si>
  <si>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</si>
  <si>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</si>
  <si>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</si>
  <si>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</si>
  <si>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</si>
  <si>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</si>
  <si>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</si>
  <si>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</si>
  <si>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</si>
  <si>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</si>
  <si>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</si>
  <si>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</si>
  <si>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</si>
  <si>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</si>
  <si>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</si>
  <si>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</si>
  <si>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</si>
  <si>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</si>
  <si>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</si>
  <si>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</si>
  <si>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</si>
  <si>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</si>
  <si>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</si>
  <si>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</si>
  <si>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</si>
  <si>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</si>
  <si>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</si>
  <si>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</si>
  <si>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</si>
  <si>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</si>
  <si>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</si>
  <si>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</si>
  <si>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</si>
  <si>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</si>
  <si>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</si>
  <si>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</si>
  <si>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</si>
  <si>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</si>
  <si>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</si>
  <si>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</si>
  <si>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</si>
  <si>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</si>
  <si>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</si>
  <si>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</si>
  <si>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</si>
  <si>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</si>
  <si>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</si>
  <si>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</si>
  <si>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</si>
  <si>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</si>
  <si>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</si>
  <si>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</si>
  <si>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</si>
  <si>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</si>
  <si>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</si>
  <si>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</si>
  <si>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</si>
  <si>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</si>
  <si>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</si>
  <si>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</si>
  <si>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</si>
  <si>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</si>
  <si>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</si>
  <si>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</si>
  <si>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</si>
  <si>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</si>
  <si>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</si>
  <si>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</si>
  <si>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</si>
  <si>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</si>
  <si>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</si>
  <si>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</si>
  <si>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</si>
  <si>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</si>
  <si>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</si>
  <si>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QuantityFederal</t>
  </si>
  <si>
    <r>
      <t>January 12, 2023 Version -</t>
    </r>
    <r>
      <rPr>
        <b/>
        <sz val="10"/>
        <rFont val="Arial"/>
        <family val="2"/>
      </rPr>
      <t xml:space="preserve"> Modified 1/25/23</t>
    </r>
  </si>
  <si>
    <t>Provided</t>
  </si>
  <si>
    <t>Not Applicable</t>
  </si>
  <si>
    <t xml:space="preserve">MP 965 Weeks Street Associates, L.P. </t>
  </si>
  <si>
    <t>Colibri Commons (fka 965 Weeks Street)</t>
  </si>
  <si>
    <t>City of East Palo Alto</t>
  </si>
  <si>
    <t>Melvin Gaines</t>
  </si>
  <si>
    <t>2415 University Avenue</t>
  </si>
  <si>
    <t>East Palo Alto</t>
  </si>
  <si>
    <t>650-853-3150</t>
  </si>
  <si>
    <t>cmoffice@cityofepa.org</t>
  </si>
  <si>
    <t>965 Weeks Street</t>
  </si>
  <si>
    <t>063-232-230, 063-232-220, 063-232-210</t>
  </si>
  <si>
    <t>40%/60%</t>
  </si>
  <si>
    <t>303 Vintage Park Drive, Suite 250</t>
  </si>
  <si>
    <t>Foster City</t>
  </si>
  <si>
    <t>CA</t>
  </si>
  <si>
    <t xml:space="preserve">Apolonio Munoz </t>
  </si>
  <si>
    <t>Managing GP</t>
  </si>
  <si>
    <t>MP CANDO Weeks Street LLC</t>
  </si>
  <si>
    <t>MidPen Housing Corp.</t>
  </si>
  <si>
    <t>amunoz@midpen-housing.org</t>
  </si>
  <si>
    <t>650-393-3023</t>
  </si>
  <si>
    <t xml:space="preserve">Not Applicable </t>
  </si>
  <si>
    <t xml:space="preserve">MidPen Housing Corporation </t>
  </si>
  <si>
    <t>Victoria Wong</t>
  </si>
  <si>
    <t>650-477-5568</t>
  </si>
  <si>
    <t>vwong@midpen-housing.org</t>
  </si>
  <si>
    <t>Foster City, CA 94404</t>
  </si>
  <si>
    <t xml:space="preserve">David Baker Architects </t>
  </si>
  <si>
    <t>461 Second Street #127</t>
  </si>
  <si>
    <t>San Francisco, CA 94107</t>
  </si>
  <si>
    <t>Daniel Simons</t>
  </si>
  <si>
    <t>415.799.4585</t>
  </si>
  <si>
    <t>danielsimons@dbarchitect.com</t>
  </si>
  <si>
    <t>Gubb &amp; Barshay LLP</t>
  </si>
  <si>
    <t>505 14th Street, Suite 450</t>
  </si>
  <si>
    <t>Oakland, CA 94612</t>
  </si>
  <si>
    <t>Evan Gross</t>
  </si>
  <si>
    <t xml:space="preserve">Blach Construction </t>
  </si>
  <si>
    <t xml:space="preserve">2244 Blach Place Suite 100 </t>
  </si>
  <si>
    <t>San Jose, CA 95131</t>
  </si>
  <si>
    <t>Kevin McIntosh</t>
  </si>
  <si>
    <t>415-781-6600</t>
  </si>
  <si>
    <t>415-781-6967</t>
  </si>
  <si>
    <t>831-750-9363</t>
  </si>
  <si>
    <t>egross@gubbandbarshay.com</t>
  </si>
  <si>
    <t>kevin.mcintosh@blach.com</t>
  </si>
  <si>
    <t>Novogradac &amp; Company LLP</t>
  </si>
  <si>
    <t>1000 SW Broadway, Suite 1680</t>
  </si>
  <si>
    <t>Portland, OR 97205</t>
  </si>
  <si>
    <t>Nicolo Pinoli, CPA</t>
  </si>
  <si>
    <t xml:space="preserve">Bright Green Strategies </t>
  </si>
  <si>
    <t>1717 Seabright Avenue, Suite 4</t>
  </si>
  <si>
    <t>Santa Cruz, CA 95062</t>
  </si>
  <si>
    <t>Sharon Block</t>
  </si>
  <si>
    <t>831-419-4869</t>
  </si>
  <si>
    <t>Sharon@brightgreenstrategies.com</t>
  </si>
  <si>
    <t>California Housing Partnership</t>
  </si>
  <si>
    <t>1107 – 9th Street, Suite 610</t>
  </si>
  <si>
    <t>Sacramento, CA 95814</t>
  </si>
  <si>
    <t>Laura Kobler</t>
  </si>
  <si>
    <t xml:space="preserve">The Concord Group </t>
  </si>
  <si>
    <t>251 Kearny Street, Sixth Floor</t>
  </si>
  <si>
    <t>San Francisco, CA 94108</t>
  </si>
  <si>
    <t>Tim Cornwell</t>
  </si>
  <si>
    <t>TBD</t>
  </si>
  <si>
    <t>(415) 397-5490</t>
  </si>
  <si>
    <t>(415) 397-5496</t>
  </si>
  <si>
    <t>(916) 207-2889</t>
  </si>
  <si>
    <t xml:space="preserve"> lkobler@chpc.net</t>
  </si>
  <si>
    <t>tmc@theconcordgroup.com</t>
  </si>
  <si>
    <t>503-821-2750</t>
  </si>
  <si>
    <t>Nicolo.Pinoli@novoco.com</t>
  </si>
  <si>
    <t>California Municipal Finance Authority</t>
  </si>
  <si>
    <t>2111 Palomar Airport Rd, Suite 320</t>
  </si>
  <si>
    <t>Carlsbad, CA 92011</t>
  </si>
  <si>
    <t>Anthony Stubbs</t>
  </si>
  <si>
    <t>760-930-1333</t>
  </si>
  <si>
    <t>760-683-3390</t>
  </si>
  <si>
    <t>astubbs@cmfa-ca.com</t>
  </si>
  <si>
    <t>MidPen Property Management Corporation</t>
  </si>
  <si>
    <t>Derrick Young</t>
  </si>
  <si>
    <t>510-390-2154</t>
  </si>
  <si>
    <t>derrick.young@midpen-housing.org</t>
  </si>
  <si>
    <t>Secured by Leasehold Interest</t>
  </si>
  <si>
    <t>Other (Specify below)</t>
  </si>
  <si>
    <t xml:space="preserve">Mid-rise 4 story building with elevators and structured parking. </t>
  </si>
  <si>
    <t>High Density Residential</t>
  </si>
  <si>
    <t>22.1-43 Units/Acre (1 unit per 1,00 SF or 80-150 persons/acre)</t>
  </si>
  <si>
    <t>52 units/ acre (136 units / 2.61 Acres)</t>
  </si>
  <si>
    <t>60'</t>
  </si>
  <si>
    <t>212 (1 per dwelling unit for 1BR + Studio, .5 for additional BR)</t>
  </si>
  <si>
    <t>HCD - AHSC</t>
  </si>
  <si>
    <t>San Mateo County</t>
  </si>
  <si>
    <t>HEART LIHTF</t>
  </si>
  <si>
    <t>LISC Housing Catalyst</t>
  </si>
  <si>
    <t>see details for all sources in Att 20 (not enough space here)</t>
  </si>
  <si>
    <t>Wells Fargo TAX EXEMPT Const Loan</t>
  </si>
  <si>
    <t>Wells Fargo TAXABLE Const Loan</t>
  </si>
  <si>
    <t>San Mateo County Loans</t>
  </si>
  <si>
    <t>Santa Clara County - Stanford Funds</t>
  </si>
  <si>
    <t>City of East Palo Alto Loans</t>
  </si>
  <si>
    <t>HEART - LHTF</t>
  </si>
  <si>
    <t>LISC Housing Catalyst Fund</t>
  </si>
  <si>
    <t>Impact Fee Waiver</t>
  </si>
  <si>
    <t>Costs Deferred til Perm</t>
  </si>
  <si>
    <t>LP Equity</t>
  </si>
  <si>
    <t>Accrued/Deferred Interest</t>
  </si>
  <si>
    <t>Variable</t>
  </si>
  <si>
    <t>Fixed</t>
  </si>
  <si>
    <t>Air Conditioning</t>
  </si>
  <si>
    <t>San Mateo County Housing Authority</t>
  </si>
  <si>
    <t>Misc Admin</t>
  </si>
  <si>
    <t>Payroll Taxes/Benefits</t>
  </si>
  <si>
    <t>Fire Protection</t>
  </si>
  <si>
    <t>Misc Tax / License</t>
  </si>
  <si>
    <t>City and County Loans and fee waiver</t>
  </si>
  <si>
    <t>San Mateo County/HUD</t>
  </si>
  <si>
    <t>Project-based vouchers (PBVs)</t>
  </si>
  <si>
    <t>HCD AHSC, Project Based Vouchers</t>
  </si>
  <si>
    <t>Perm Loan Legal (Borrower/Lender)</t>
  </si>
  <si>
    <t>Borrower Construction Legal</t>
  </si>
  <si>
    <t>3rd Party Construction Mgt/Testing</t>
  </si>
  <si>
    <t>Prevailing Wage Monitor</t>
  </si>
  <si>
    <t>Waived Impact Fees</t>
  </si>
  <si>
    <t>CCRC TE Perm Loan Tranche A</t>
  </si>
  <si>
    <t>CCRC TE Perm Loan Tranche B</t>
  </si>
  <si>
    <t>Misc Tax/License</t>
  </si>
  <si>
    <t>lease $1/year</t>
  </si>
  <si>
    <t>Amy Chen</t>
  </si>
  <si>
    <t xml:space="preserve">Community &amp; Economic Development Director </t>
  </si>
  <si>
    <t>2415 University Avenue,</t>
  </si>
  <si>
    <t xml:space="preserve"> East Palo Alto, CA 94303</t>
  </si>
  <si>
    <t>650-853-3179</t>
  </si>
  <si>
    <t>333 Market Street, 18th Floor</t>
  </si>
  <si>
    <t>San Francisco, CA 94105</t>
  </si>
  <si>
    <t>Lori Saito</t>
  </si>
  <si>
    <t>415-801-8521</t>
  </si>
  <si>
    <t>Construction Loan</t>
  </si>
  <si>
    <t>264 Harbor Boulevard Bldg. A</t>
  </si>
  <si>
    <t>Belmont, CA 94002</t>
  </si>
  <si>
    <t>Karen Coppock</t>
  </si>
  <si>
    <t>650-453-0697</t>
  </si>
  <si>
    <t>SOFR</t>
  </si>
  <si>
    <t>Residual Receipts</t>
  </si>
  <si>
    <t>Various - see above</t>
  </si>
  <si>
    <t>Shwetha Subramanian</t>
  </si>
  <si>
    <t>510-426-5677</t>
  </si>
  <si>
    <t>Deferred Interest</t>
  </si>
  <si>
    <t>Deferred Costs</t>
  </si>
  <si>
    <t>1960 Tate St</t>
  </si>
  <si>
    <t>East Palo Alto, CA 94303</t>
  </si>
  <si>
    <t xml:space="preserve">Amy Chen </t>
  </si>
  <si>
    <t>650.853.3193</t>
  </si>
  <si>
    <t xml:space="preserve">Residual Receipts </t>
  </si>
  <si>
    <t>2905 S. El Camino Real</t>
  </si>
  <si>
    <t>San Mateo, CA 94403</t>
  </si>
  <si>
    <t>Boris Vatkin</t>
  </si>
  <si>
    <t>650-204-5639</t>
  </si>
  <si>
    <t>Asha Rao</t>
  </si>
  <si>
    <t>225 West Broadway Suite 120</t>
  </si>
  <si>
    <t>Glendale, CA 91204</t>
  </si>
  <si>
    <t>Mark Rasmussen</t>
  </si>
  <si>
    <t>818-550-9807</t>
  </si>
  <si>
    <t>Amortizing Permanent Loan</t>
  </si>
  <si>
    <t>Sacramento, CA 95833</t>
  </si>
  <si>
    <t xml:space="preserve">2020 W. El Camino Avenue, Suite 650 </t>
  </si>
  <si>
    <t>Flavio Cordero</t>
  </si>
  <si>
    <t xml:space="preserve">916.695.6389 </t>
  </si>
  <si>
    <t>415-870-4464</t>
  </si>
  <si>
    <t>1714 Franklin St #100-138</t>
  </si>
  <si>
    <t>Please note that the 25 ADA Acessible units are a combination</t>
  </si>
  <si>
    <t xml:space="preserve">of 4 Communication units, 11 Mobility Units, and </t>
  </si>
  <si>
    <t xml:space="preserve">10 Mobility and Communication Units. </t>
  </si>
  <si>
    <t>150 W Tasman Dr.</t>
  </si>
  <si>
    <t>San Jose, CA 95134</t>
  </si>
  <si>
    <t>Stephan Jackson</t>
  </si>
  <si>
    <t>408-278-6412</t>
  </si>
  <si>
    <t>Developer, Sr. Project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</si>
</sst>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
      <sz val="10"/>
      <color rgb="FF000000"/>
      <name val="Tahoma"/>
      <family val="2"/>
    </font>
    <font>
      <b/>
      <sz val="10"/>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3" fontId="12" fillId="0" borderId="0" xfId="0" applyNumberFormat="1" applyFont="1"/>
    <xf numFmtId="168" fontId="12" fillId="0" borderId="0" xfId="0" applyNumberFormat="1" applyFont="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82" fontId="133" fillId="0" borderId="2" xfId="4496" applyNumberFormat="1" applyFont="1" applyBorder="1"/>
    <xf numFmtId="0" fontId="61" fillId="0" borderId="0" xfId="0" applyFont="1"/>
    <xf numFmtId="0" fontId="17" fillId="0" borderId="0" xfId="0" applyFont="1" applyAlignment="1">
      <alignment horizontal="left"/>
    </xf>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10" fontId="12" fillId="0" borderId="0" xfId="0" applyNumberFormat="1" applyFont="1" applyAlignment="1">
      <alignment horizontal="center"/>
    </xf>
    <xf numFmtId="172" fontId="12" fillId="0" borderId="11" xfId="0" applyNumberFormat="1" applyFont="1" applyBorder="1" applyAlignment="1">
      <alignment horizontal="center"/>
    </xf>
    <xf numFmtId="2" fontId="114" fillId="0" borderId="0" xfId="0" applyNumberFormat="1" applyFont="1" applyAlignment="1">
      <alignment horizontal="center"/>
    </xf>
    <xf numFmtId="3" fontId="12" fillId="0" borderId="6" xfId="0" applyNumberFormat="1" applyFont="1" applyBorder="1"/>
    <xf numFmtId="9" fontId="12" fillId="0" borderId="0" xfId="4494" applyFont="1" applyFill="1" applyAlignment="1">
      <alignment horizontal="center"/>
    </xf>
    <xf numFmtId="172" fontId="12" fillId="0" borderId="0" xfId="0" applyNumberFormat="1" applyFont="1" applyAlignment="1">
      <alignment horizontal="center"/>
    </xf>
    <xf numFmtId="0" fontId="12" fillId="5" borderId="3" xfId="0" applyFont="1" applyFill="1" applyBorder="1" applyAlignment="1" applyProtection="1">
      <alignment horizontal="left"/>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12" fillId="5" borderId="4" xfId="0" applyFont="1" applyFill="1" applyBorder="1" applyAlignment="1" applyProtection="1">
      <alignment horizontal="left" wrapText="1"/>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21"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12" fillId="5" borderId="6" xfId="569" applyFill="1" applyBorder="1" applyAlignment="1" applyProtection="1">
      <alignment horizontal="left"/>
      <protection locked="0"/>
    </xf>
    <xf numFmtId="0" fontId="12" fillId="5" borderId="4" xfId="569"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1192"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6" fontId="12" fillId="5" borderId="6" xfId="569" applyNumberForma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5" borderId="9" xfId="0" applyFont="1" applyFill="1" applyBorder="1" applyAlignment="1" applyProtection="1">
      <alignment horizontal="center"/>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94" fillId="0" borderId="93" xfId="4496" applyFont="1" applyBorder="1" applyAlignment="1">
      <alignment horizontal="right"/>
    </xf>
    <xf numFmtId="0" fontId="94" fillId="0" borderId="5" xfId="4496" applyFont="1" applyBorder="1" applyAlignment="1">
      <alignment horizontal="right"/>
    </xf>
    <xf numFmtId="0" fontId="94" fillId="0" borderId="82" xfId="4496" applyFont="1" applyBorder="1" applyAlignment="1">
      <alignment horizontal="right"/>
    </xf>
    <xf numFmtId="0" fontId="94" fillId="0" borderId="8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6" xfId="4496" applyFont="1" applyBorder="1" applyAlignment="1">
      <alignment horizontal="right"/>
    </xf>
    <xf numFmtId="0" fontId="94" fillId="0" borderId="90"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wrapText="1"/>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25400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30" dataDxfId="29"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28" dataCellStyle="Normal 15">
      <calculatedColumnFormula>IFERROR(MIN(4,MATCH(Application!B714,UnitSizes,0)-1),"")</calculatedColumnFormula>
    </tableColumn>
    <tableColumn id="3" xr3:uid="{3C170205-C158-4CBB-8CF5-9AF725351349}" name="Quantity" dataDxfId="27" dataCellStyle="Normal 15">
      <calculatedColumnFormula>Application!G714</calculatedColumnFormula>
    </tableColumn>
    <tableColumn id="5" xr3:uid="{A4C38C71-4FB6-4969-96E5-0A7C5420A8C3}" name="QuantityFederal" dataDxfId="26" dataCellStyle="Normal 15">
      <calculatedColumnFormula>'Subsidy Contract Calculation'!B4</calculatedColumnFormula>
    </tableColumn>
    <tableColumn id="6" xr3:uid="{7C05B4DE-3AC1-47F3-9C25-D16553367CFA}" name="iAMI" dataDxfId="25" dataCellStyle="Percent">
      <calculatedColumnFormula>Application!AC714</calculatedColumnFormula>
    </tableColumn>
    <tableColumn id="7" xr3:uid="{2B6706B4-1A54-4104-A649-2FE0A4FF8E92}" name="AMI" dataDxfId="24" dataCellStyle="Percent">
      <calculatedColumnFormula>IF(Cdlac[[#This Row],[Quantity]]&gt;0,IF(Cdlac[[#This Row],[Federal]],30%,IF($G$36,40%,Cdlac[[#This Row],[iAMI]])),"")</calculatedColumnFormula>
    </tableColumn>
    <tableColumn id="8" xr3:uid="{A8EB42BE-4789-45EE-A11C-67C20CB0D91B}" name="Restricted Rent" dataDxfId="23" dataCellStyle="Normal 15">
      <calculatedColumnFormula array="1">IF(Cdlac[[#This Row],[Quantity]]&gt;0,INDEX(TcacRents,$Q$18,Cdlac[[#This Row],[Bedrooms]]+1)*Cdlac[[#This Row],[AMI]],"")</calculatedColumnFormula>
    </tableColumn>
    <tableColumn id="9" xr3:uid="{E7AC364D-B07B-4A38-B74E-DAE64921E290}" name="Fair Market Rent" dataDxfId="22" dataCellStyle="Normal 15">
      <calculatedColumnFormula array="1">IF(Cdlac[[#This Row],[Quantity]]&gt;0,INDEX(HudFmrs,$Q$18,Cdlac[[#This Row],[Bedrooms]]+1),"")</calculatedColumnFormula>
    </tableColumn>
    <tableColumn id="10" xr3:uid="{630C504C-0251-4207-88FB-451973BE380A}" name="Delta" dataDxfId="21" dataCellStyle="Normal 15">
      <calculatedColumnFormula>IF(Cdlac[[#This Row],[Quantity]]&gt;0,MAX(0,Cdlac[[#This Row],[Fair Market Rent]]-Cdlac[[#This Row],[Restricted Rent]]),"")</calculatedColumnFormula>
    </tableColumn>
    <tableColumn id="11" xr3:uid="{9C619E83-105C-4EED-A831-1DAB5BB5AC88}" name="Population" dataDxfId="20" dataCellStyle="Normal 15">
      <calculatedColumnFormula>IF(Cdlac[[#This Row],[Quantity]]&gt;0,AND(Application!AK714&lt;&gt;"N/A",Application!AK714&lt;&gt;"")*Cdlac[[#This Row],[Quantity]],"")</calculatedColumnFormula>
    </tableColumn>
    <tableColumn id="4" xr3:uid="{5D52F6BE-992B-4621-8785-ED1E8B62A78F}" name="Federal" dataDxfId="1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57" t="s">
        <v>560</v>
      </c>
      <c r="B1" s="1257"/>
      <c r="C1" s="1257"/>
      <c r="D1" s="1257"/>
      <c r="E1" s="1257"/>
      <c r="F1" s="1257"/>
      <c r="G1" s="1257"/>
      <c r="H1" s="1257"/>
      <c r="I1" s="1257"/>
      <c r="J1" s="1257"/>
      <c r="K1" s="1257"/>
      <c r="L1" s="1257"/>
      <c r="M1" s="1257"/>
      <c r="N1" s="1257"/>
      <c r="O1" s="1257"/>
      <c r="P1" s="1257"/>
      <c r="Q1" s="1257"/>
      <c r="R1" s="1257"/>
      <c r="S1" s="1257"/>
      <c r="T1" s="1257"/>
      <c r="U1" s="1257"/>
      <c r="V1" s="1257"/>
      <c r="W1" s="1257"/>
      <c r="X1" s="1257"/>
      <c r="Y1" s="1257"/>
      <c r="Z1" s="1257"/>
      <c r="AA1" s="1257"/>
      <c r="AB1" s="1257"/>
      <c r="AC1" s="1257"/>
      <c r="AD1" s="1257"/>
      <c r="AE1" s="1257"/>
      <c r="AF1" s="1257"/>
      <c r="AG1" s="1257"/>
      <c r="AH1" s="1257"/>
      <c r="AI1" s="1257"/>
      <c r="AJ1" s="1257"/>
      <c r="AK1" s="1257"/>
      <c r="AL1" s="1257"/>
    </row>
    <row r="2" spans="1:38" ht="13" thickBot="1">
      <c r="A2" s="1258"/>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8"/>
    </row>
    <row r="3" spans="1:38" ht="13" thickTop="1"/>
    <row r="4" spans="1:38" s="5" customFormat="1" ht="13">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7"/>
      <c r="B7" s="217"/>
      <c r="C7" s="218"/>
      <c r="D7" s="1259" t="s">
        <v>2433</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81"/>
    </row>
    <row r="8" spans="1:38" ht="13">
      <c r="A8" s="217"/>
      <c r="B8" s="217"/>
      <c r="C8" s="218"/>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81"/>
    </row>
    <row r="9" spans="1:38" ht="13">
      <c r="A9" s="217"/>
      <c r="B9" s="217"/>
      <c r="C9" s="21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81"/>
    </row>
    <row r="10" spans="1:38" ht="13">
      <c r="A10" s="217"/>
      <c r="B10" s="217"/>
      <c r="C10" s="218"/>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481"/>
      <c r="AL10" s="481"/>
    </row>
    <row r="11" spans="1:38" ht="13.25" customHeight="1">
      <c r="A11" s="217"/>
      <c r="B11" s="217"/>
      <c r="C11" s="218"/>
      <c r="D11" s="1259" t="s">
        <v>2434</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81"/>
    </row>
    <row r="12" spans="1:38" ht="13">
      <c r="A12" s="217"/>
      <c r="B12" s="217"/>
      <c r="C12" s="218"/>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81"/>
    </row>
    <row r="13" spans="1:38" ht="13">
      <c r="A13" s="217"/>
      <c r="B13" s="217"/>
      <c r="C13" s="218"/>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81"/>
    </row>
    <row r="14" spans="1:38" ht="13.25" customHeight="1">
      <c r="A14" s="217"/>
      <c r="B14" s="217"/>
      <c r="C14" s="218"/>
      <c r="E14" s="1259" t="s">
        <v>2435</v>
      </c>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481"/>
    </row>
    <row r="15" spans="1:38" ht="13.25" customHeight="1">
      <c r="A15" s="217"/>
      <c r="B15" s="217"/>
      <c r="C15" s="218"/>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81"/>
    </row>
    <row r="16" spans="1:38" ht="13">
      <c r="A16" s="217"/>
      <c r="B16" s="217"/>
      <c r="C16" s="218"/>
      <c r="D16" s="481"/>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81"/>
    </row>
    <row r="17" spans="1:38" ht="13">
      <c r="A17" s="217"/>
      <c r="B17" s="217"/>
      <c r="C17" s="218"/>
      <c r="D17" s="466"/>
      <c r="E17" s="466"/>
      <c r="F17" s="466"/>
      <c r="G17" s="466"/>
      <c r="H17" s="466"/>
      <c r="I17" s="466"/>
      <c r="J17" s="466"/>
      <c r="K17" s="466"/>
      <c r="L17" s="466"/>
      <c r="M17" s="466"/>
      <c r="N17" s="466"/>
      <c r="O17" s="466"/>
      <c r="P17" s="466"/>
      <c r="Q17" s="466"/>
      <c r="R17" s="466"/>
      <c r="S17" s="466"/>
      <c r="T17" s="466"/>
      <c r="U17" s="466"/>
      <c r="V17" s="466"/>
      <c r="W17" s="466"/>
      <c r="X17" s="466"/>
      <c r="Y17" s="466"/>
      <c r="Z17" s="466"/>
      <c r="AA17" s="466"/>
      <c r="AB17" s="466"/>
      <c r="AC17" s="466"/>
      <c r="AD17" s="466"/>
      <c r="AE17" s="466"/>
      <c r="AF17" s="466"/>
      <c r="AG17" s="466"/>
      <c r="AH17" s="466"/>
      <c r="AI17" s="466"/>
      <c r="AJ17" s="466"/>
      <c r="AK17" s="466"/>
      <c r="AL17" s="481"/>
    </row>
    <row r="18" spans="1:38" ht="13.25" customHeight="1">
      <c r="A18" s="217"/>
      <c r="B18" s="217"/>
      <c r="C18" s="218"/>
      <c r="D18" s="1259" t="s">
        <v>2436</v>
      </c>
      <c r="E18" s="1259"/>
      <c r="F18" s="1259"/>
      <c r="G18" s="1259"/>
      <c r="H18" s="1259"/>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c r="AL18" s="217"/>
    </row>
    <row r="19" spans="1:38" ht="13">
      <c r="A19" s="217"/>
      <c r="B19" s="217"/>
      <c r="C19" s="218"/>
      <c r="D19" s="1259"/>
      <c r="E19" s="1259"/>
      <c r="F19" s="1259"/>
      <c r="G19" s="1259"/>
      <c r="H19" s="1259"/>
      <c r="I19" s="1259"/>
      <c r="J19" s="1259"/>
      <c r="K19" s="1259"/>
      <c r="L19" s="1259"/>
      <c r="M19" s="1259"/>
      <c r="N19" s="1259"/>
      <c r="O19" s="1259"/>
      <c r="P19" s="1259"/>
      <c r="Q19" s="1259"/>
      <c r="R19" s="1259"/>
      <c r="S19" s="1259"/>
      <c r="T19" s="1259"/>
      <c r="U19" s="1259"/>
      <c r="V19" s="1259"/>
      <c r="W19" s="1259"/>
      <c r="X19" s="1259"/>
      <c r="Y19" s="1259"/>
      <c r="Z19" s="1259"/>
      <c r="AA19" s="1259"/>
      <c r="AB19" s="1259"/>
      <c r="AC19" s="1259"/>
      <c r="AD19" s="1259"/>
      <c r="AE19" s="1259"/>
      <c r="AF19" s="1259"/>
      <c r="AG19" s="1259"/>
      <c r="AH19" s="1259"/>
      <c r="AI19" s="1259"/>
      <c r="AJ19" s="1259"/>
      <c r="AK19" s="1259"/>
      <c r="AL19" s="217"/>
    </row>
    <row r="20" spans="1:38" ht="13">
      <c r="A20" s="217"/>
      <c r="B20" s="217"/>
      <c r="C20" s="218"/>
      <c r="D20" s="1259"/>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17"/>
    </row>
    <row r="21" spans="1:38" ht="13.25" customHeight="1">
      <c r="A21" s="217"/>
      <c r="B21" s="217"/>
      <c r="C21" s="218"/>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17"/>
    </row>
    <row r="22" spans="1:38" ht="13">
      <c r="A22" s="217"/>
      <c r="B22" s="217"/>
      <c r="C22" s="218"/>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17"/>
    </row>
    <row r="23" spans="1:38" ht="13">
      <c r="A23" s="217"/>
      <c r="B23" s="217"/>
      <c r="C23" s="218"/>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17"/>
    </row>
    <row r="24" spans="1:38" ht="13">
      <c r="A24" s="217"/>
      <c r="B24" s="217"/>
      <c r="C24" s="218"/>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17"/>
    </row>
    <row r="25" spans="1:38" ht="13">
      <c r="A25" s="217"/>
      <c r="B25" s="217"/>
      <c r="C25" s="218"/>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17"/>
    </row>
    <row r="26" spans="1:38" ht="13">
      <c r="A26" s="217"/>
      <c r="B26" s="217"/>
      <c r="C26" s="218"/>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17"/>
    </row>
    <row r="27" spans="1:38" ht="11.75" customHeight="1">
      <c r="A27" s="217"/>
      <c r="B27" s="217"/>
      <c r="C27" s="218"/>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17"/>
    </row>
    <row r="28" spans="1:38" ht="13.25" customHeight="1">
      <c r="A28" s="217"/>
      <c r="B28" s="217"/>
      <c r="C28" s="218"/>
      <c r="E28" s="1259" t="s">
        <v>2437</v>
      </c>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17"/>
    </row>
    <row r="29" spans="1:38" ht="13.25" customHeight="1">
      <c r="A29" s="217"/>
      <c r="B29" s="217"/>
      <c r="C29" s="218"/>
      <c r="E29" s="1259"/>
      <c r="F29" s="1259"/>
      <c r="G29" s="1259"/>
      <c r="H29" s="1259"/>
      <c r="I29" s="1259"/>
      <c r="J29" s="1259"/>
      <c r="K29" s="1259"/>
      <c r="L29" s="1259"/>
      <c r="M29" s="1259"/>
      <c r="N29" s="1259"/>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217"/>
    </row>
    <row r="30" spans="1:38" ht="13">
      <c r="A30" s="217"/>
      <c r="B30" s="217"/>
      <c r="C30" s="218"/>
      <c r="D30" s="481"/>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17"/>
    </row>
    <row r="31" spans="1:38" ht="13">
      <c r="A31" s="217"/>
      <c r="B31" s="217"/>
      <c r="C31" s="218"/>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1"/>
      <c r="AD31" s="481"/>
      <c r="AE31" s="481"/>
      <c r="AF31" s="481"/>
      <c r="AG31" s="481"/>
      <c r="AH31" s="481"/>
      <c r="AI31" s="481"/>
      <c r="AJ31" s="481"/>
      <c r="AK31" s="481"/>
      <c r="AL31" s="217"/>
    </row>
    <row r="32" spans="1:38" ht="13.25" customHeight="1">
      <c r="A32" s="217"/>
      <c r="B32" s="217"/>
      <c r="C32" s="218"/>
      <c r="D32" s="1259" t="s">
        <v>2438</v>
      </c>
      <c r="E32" s="1259"/>
      <c r="F32" s="1259"/>
      <c r="G32" s="1259"/>
      <c r="H32" s="1259"/>
      <c r="I32" s="1259"/>
      <c r="J32" s="1259"/>
      <c r="K32" s="1259"/>
      <c r="L32" s="1259"/>
      <c r="M32" s="1259"/>
      <c r="N32" s="1259"/>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217"/>
    </row>
    <row r="33" spans="1:38" ht="13">
      <c r="A33" s="217"/>
      <c r="B33" s="217"/>
      <c r="C33" s="218"/>
      <c r="D33" s="481"/>
      <c r="E33" s="1266" t="s">
        <v>2622</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7"/>
    </row>
    <row r="34" spans="1:38" ht="13">
      <c r="A34" s="4"/>
      <c r="C34" s="2"/>
    </row>
    <row r="35" spans="1:38">
      <c r="A35" s="4"/>
      <c r="D35" s="1260" t="s">
        <v>2618</v>
      </c>
      <c r="E35" s="1260"/>
      <c r="F35" s="1260"/>
      <c r="G35" s="1260"/>
      <c r="H35" s="1260"/>
      <c r="I35" s="1260"/>
      <c r="J35" s="1260"/>
      <c r="K35" s="1260"/>
      <c r="L35" s="1260"/>
      <c r="M35" s="1260"/>
      <c r="N35" s="1260"/>
      <c r="O35" s="1260"/>
      <c r="P35" s="1260"/>
      <c r="Q35" s="1260"/>
      <c r="R35" s="1260"/>
      <c r="S35" s="1260"/>
      <c r="T35" s="1260"/>
      <c r="U35" s="1260"/>
      <c r="V35" s="1260"/>
      <c r="W35" s="1260"/>
      <c r="X35" s="1260"/>
      <c r="Y35" s="1260"/>
      <c r="Z35" s="1260"/>
      <c r="AA35" s="1260"/>
      <c r="AB35" s="1260"/>
      <c r="AC35" s="1260"/>
      <c r="AD35" s="1260"/>
      <c r="AE35" s="1260"/>
      <c r="AF35" s="1260"/>
      <c r="AG35" s="1260"/>
      <c r="AH35" s="1260"/>
      <c r="AI35" s="1260"/>
      <c r="AJ35" s="1260"/>
      <c r="AK35" s="1260"/>
    </row>
    <row r="36" spans="1:38">
      <c r="A36" s="4"/>
      <c r="D36" s="1260"/>
      <c r="E36" s="1260"/>
      <c r="F36" s="1260"/>
      <c r="G36" s="1260"/>
      <c r="H36" s="1260"/>
      <c r="I36" s="1260"/>
      <c r="J36" s="1260"/>
      <c r="K36" s="1260"/>
      <c r="L36" s="1260"/>
      <c r="M36" s="1260"/>
      <c r="N36" s="1260"/>
      <c r="O36" s="1260"/>
      <c r="P36" s="1260"/>
      <c r="Q36" s="1260"/>
      <c r="R36" s="1260"/>
      <c r="S36" s="1260"/>
      <c r="T36" s="1260"/>
      <c r="U36" s="1260"/>
      <c r="V36" s="1260"/>
      <c r="W36" s="1260"/>
      <c r="X36" s="1260"/>
      <c r="Y36" s="1260"/>
      <c r="Z36" s="1260"/>
      <c r="AA36" s="1260"/>
      <c r="AB36" s="1260"/>
      <c r="AC36" s="1260"/>
      <c r="AD36" s="1260"/>
      <c r="AE36" s="1260"/>
      <c r="AF36" s="1260"/>
      <c r="AG36" s="1260"/>
      <c r="AH36" s="1260"/>
      <c r="AI36" s="1260"/>
      <c r="AJ36" s="1260"/>
      <c r="AK36" s="1260"/>
    </row>
    <row r="37" spans="1:38" ht="13">
      <c r="A37" s="4"/>
      <c r="D37" s="120"/>
      <c r="E37" s="1265" t="s">
        <v>2445</v>
      </c>
      <c r="F37" s="1265"/>
      <c r="G37" s="1265"/>
      <c r="H37" s="1265"/>
      <c r="I37" s="1265"/>
      <c r="J37" s="1265"/>
      <c r="K37" s="1265"/>
      <c r="L37" s="1265"/>
      <c r="M37" s="1265"/>
      <c r="N37" s="1265"/>
      <c r="O37" s="1265"/>
      <c r="P37" s="1265"/>
      <c r="Q37" s="1265"/>
      <c r="R37" s="1265"/>
      <c r="S37" s="1265"/>
      <c r="T37" s="1265"/>
      <c r="U37" s="1265"/>
      <c r="V37" s="1265"/>
      <c r="W37" s="1265"/>
      <c r="X37" s="1265"/>
      <c r="Y37" s="1265"/>
      <c r="Z37" s="1265"/>
      <c r="AA37" s="1265"/>
      <c r="AB37" s="1265"/>
      <c r="AC37" s="1265"/>
      <c r="AD37" s="1265"/>
      <c r="AE37" s="1265"/>
      <c r="AF37" s="1265"/>
      <c r="AG37" s="1265"/>
      <c r="AH37" s="1265"/>
      <c r="AI37" s="1265"/>
      <c r="AJ37" s="1265"/>
      <c r="AK37" s="1265"/>
    </row>
    <row r="38" spans="1:38" ht="13">
      <c r="A38" s="4"/>
      <c r="D38" s="120"/>
      <c r="E38" s="1265" t="s">
        <v>2446</v>
      </c>
      <c r="F38" s="1265"/>
      <c r="G38" s="1265"/>
      <c r="H38" s="1265"/>
      <c r="I38" s="1265"/>
      <c r="J38" s="1265"/>
      <c r="K38" s="1265"/>
      <c r="L38" s="1265"/>
      <c r="M38" s="1265"/>
      <c r="N38" s="1265"/>
      <c r="O38" s="1265"/>
      <c r="P38" s="1265"/>
      <c r="Q38" s="1265"/>
      <c r="R38" s="1265"/>
      <c r="S38" s="1265"/>
      <c r="T38" s="1265"/>
      <c r="U38" s="1265"/>
      <c r="V38" s="1265"/>
      <c r="W38" s="1265"/>
      <c r="X38" s="1265"/>
      <c r="Y38" s="1265"/>
      <c r="Z38" s="1265"/>
      <c r="AA38" s="1265"/>
      <c r="AB38" s="1265"/>
      <c r="AC38" s="1265"/>
      <c r="AD38" s="1265"/>
      <c r="AE38" s="1265"/>
      <c r="AF38" s="1265"/>
      <c r="AG38" s="1265"/>
      <c r="AH38" s="1265"/>
      <c r="AI38" s="1265"/>
      <c r="AJ38" s="1265"/>
      <c r="AK38" s="1265"/>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59" customFormat="1" ht="13.25" customHeight="1">
      <c r="A42" s="4"/>
      <c r="B42"/>
      <c r="C42" s="2"/>
      <c r="D42" s="4"/>
      <c r="E42" s="4" t="s">
        <v>663</v>
      </c>
      <c r="F42" s="1259" t="s">
        <v>1307</v>
      </c>
    </row>
    <row r="43" spans="1:38" s="1259" customFormat="1" ht="13.25" customHeight="1">
      <c r="A43" s="4"/>
      <c r="B43"/>
      <c r="C43" s="2"/>
      <c r="D43" s="4"/>
      <c r="E43" s="4"/>
    </row>
    <row r="44" spans="1:38" ht="13">
      <c r="A44" s="4"/>
      <c r="C44" s="2"/>
      <c r="D44" s="4"/>
      <c r="E44" s="4"/>
      <c r="F44" s="35" t="s">
        <v>698</v>
      </c>
      <c r="G44" s="4" t="s">
        <v>177</v>
      </c>
      <c r="H44" s="481"/>
      <c r="I44" s="481"/>
      <c r="J44" s="481"/>
      <c r="K44" s="481"/>
      <c r="L44" s="481"/>
      <c r="M44" s="481"/>
      <c r="N44" s="481"/>
      <c r="O44" s="481"/>
      <c r="P44" s="481"/>
      <c r="Q44" s="481"/>
      <c r="R44" s="481"/>
      <c r="S44" s="481"/>
      <c r="T44" s="481"/>
      <c r="U44" s="481"/>
      <c r="V44" s="481"/>
      <c r="W44" s="481"/>
      <c r="X44" s="481"/>
      <c r="Y44" s="481"/>
      <c r="Z44" s="481"/>
      <c r="AA44" s="481"/>
      <c r="AB44" s="481"/>
      <c r="AC44" s="481"/>
      <c r="AD44" s="481"/>
      <c r="AE44" s="481"/>
      <c r="AF44" s="481"/>
      <c r="AG44" s="481"/>
      <c r="AH44" s="481"/>
      <c r="AI44" s="481"/>
      <c r="AJ44" s="481"/>
      <c r="AK44" s="481"/>
    </row>
    <row r="45" spans="1:38" s="118" customFormat="1" ht="13.25" customHeight="1">
      <c r="A45" s="4"/>
      <c r="B45"/>
      <c r="C45" s="2"/>
      <c r="D45" s="4"/>
      <c r="E45" s="3" t="s">
        <v>350</v>
      </c>
      <c r="F45" s="1263" t="s">
        <v>1402</v>
      </c>
      <c r="G45" s="1263"/>
      <c r="H45" s="1263"/>
      <c r="I45" s="1263"/>
      <c r="J45" s="1263"/>
      <c r="K45" s="1263"/>
      <c r="L45" s="1263"/>
      <c r="M45" s="1263"/>
      <c r="N45" s="1263"/>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row>
    <row r="46" spans="1:38" s="118" customFormat="1" ht="13">
      <c r="A46" s="4"/>
      <c r="B46"/>
      <c r="C46" s="2"/>
      <c r="D46" s="4"/>
      <c r="E46" s="4"/>
      <c r="F46" s="1263"/>
      <c r="G46" s="1263"/>
      <c r="H46" s="1263"/>
      <c r="I46" s="1263"/>
      <c r="J46" s="1263"/>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row>
    <row r="47" spans="1:38" s="118" customFormat="1" ht="13.25" customHeight="1">
      <c r="A47" s="4"/>
      <c r="B47"/>
      <c r="C47" s="2"/>
      <c r="D47" s="4"/>
      <c r="E47" s="4"/>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row>
    <row r="48" spans="1:38" ht="13">
      <c r="A48" s="4"/>
      <c r="C48" s="2"/>
      <c r="D48" s="4"/>
      <c r="E48" s="4"/>
      <c r="F48" s="118" t="s">
        <v>698</v>
      </c>
      <c r="G48" s="3" t="s">
        <v>2439</v>
      </c>
      <c r="H48" s="503"/>
      <c r="I48" s="503"/>
      <c r="J48" s="503"/>
      <c r="K48" s="503"/>
      <c r="L48" s="503"/>
      <c r="M48" s="503"/>
      <c r="N48" s="503"/>
      <c r="O48" s="503"/>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row>
    <row r="49" spans="1:38" ht="13">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
      <c r="A50" s="4"/>
      <c r="C50" s="2"/>
      <c r="D50" s="4"/>
      <c r="E50" s="3" t="s">
        <v>351</v>
      </c>
      <c r="F50" s="1259" t="s">
        <v>2440</v>
      </c>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row>
    <row r="52" spans="1:38" ht="13">
      <c r="A52" s="4"/>
      <c r="C52" s="2"/>
      <c r="D52" s="4"/>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663</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7"/>
      <c r="B56" s="217"/>
      <c r="C56" s="218"/>
      <c r="D56" s="218"/>
      <c r="E56" s="217"/>
      <c r="F56" s="219" t="s">
        <v>698</v>
      </c>
      <c r="G56" s="1261" t="s">
        <v>1334</v>
      </c>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217"/>
    </row>
    <row r="57" spans="1:38" ht="13.25" customHeight="1">
      <c r="A57" s="217"/>
      <c r="B57" s="217"/>
      <c r="C57" s="218"/>
      <c r="D57" s="218"/>
      <c r="E57" s="217"/>
      <c r="F57" s="219"/>
      <c r="G57" s="504" t="s">
        <v>1336</v>
      </c>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c r="AF57" s="479"/>
      <c r="AG57" s="479"/>
      <c r="AH57" s="479"/>
      <c r="AI57" s="479"/>
      <c r="AJ57" s="479"/>
      <c r="AK57" s="479"/>
      <c r="AL57" s="217"/>
    </row>
    <row r="58" spans="1:38" ht="13">
      <c r="A58" s="217"/>
      <c r="B58" s="217"/>
      <c r="C58" s="218"/>
      <c r="D58" s="218"/>
      <c r="E58" s="217"/>
      <c r="F58" s="219"/>
      <c r="G58" s="1261" t="s">
        <v>585</v>
      </c>
      <c r="H58" s="1261"/>
      <c r="I58" s="1261"/>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8"/>
      <c r="AG58" s="478"/>
      <c r="AH58" s="478"/>
      <c r="AI58" s="478"/>
      <c r="AJ58" s="478"/>
      <c r="AK58" s="478"/>
      <c r="AL58" s="217"/>
    </row>
    <row r="59" spans="1:38" ht="13.25" customHeight="1">
      <c r="A59" s="217"/>
      <c r="B59" s="218"/>
      <c r="C59" s="218"/>
      <c r="D59" s="218"/>
      <c r="E59" s="217"/>
      <c r="F59" s="219" t="s">
        <v>519</v>
      </c>
      <c r="G59" s="1261" t="s">
        <v>2441</v>
      </c>
      <c r="H59" s="1261"/>
      <c r="I59" s="1261"/>
      <c r="J59" s="1261"/>
      <c r="K59" s="1261"/>
      <c r="L59" s="1261"/>
      <c r="M59" s="1261"/>
      <c r="N59" s="1261"/>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row>
    <row r="60" spans="1:38" ht="13">
      <c r="A60" s="217"/>
      <c r="B60" s="217"/>
      <c r="C60" s="218"/>
      <c r="D60" s="218"/>
      <c r="E60" s="217"/>
      <c r="F60" s="219"/>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row>
    <row r="61" spans="1:38" ht="13">
      <c r="A61" s="217"/>
      <c r="B61" s="217"/>
      <c r="C61" s="218"/>
      <c r="D61" s="218"/>
      <c r="E61" s="217"/>
      <c r="F61" s="219"/>
      <c r="G61" s="505" t="s">
        <v>1444</v>
      </c>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217"/>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698</v>
      </c>
      <c r="G66" s="1259" t="s">
        <v>1309</v>
      </c>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
      <c r="A67" s="4"/>
      <c r="C67" s="2"/>
      <c r="D67" s="4"/>
      <c r="E67" s="4"/>
      <c r="G67" s="1259"/>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25" customHeight="1">
      <c r="A69" s="4"/>
      <c r="C69" s="2"/>
      <c r="D69" s="4"/>
      <c r="E69" s="4"/>
      <c r="F69" t="s">
        <v>519</v>
      </c>
      <c r="G69" s="1259" t="s">
        <v>1310</v>
      </c>
      <c r="H69" s="1259"/>
      <c r="I69" s="1259"/>
      <c r="J69" s="1259"/>
      <c r="K69" s="1259"/>
      <c r="L69" s="1259"/>
      <c r="M69" s="1259"/>
      <c r="N69" s="1259"/>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row>
    <row r="70" spans="1:37" ht="13">
      <c r="A70" s="4"/>
      <c r="C70" s="2"/>
      <c r="D70" s="4"/>
      <c r="E70" s="4"/>
      <c r="F70" s="27"/>
      <c r="G70" s="1259"/>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t="s">
        <v>350</v>
      </c>
      <c r="F71" s="4" t="s">
        <v>423</v>
      </c>
      <c r="G71" s="481"/>
      <c r="H71" s="481"/>
      <c r="I71" s="481"/>
      <c r="J71" s="481"/>
      <c r="K71" s="481"/>
      <c r="L71" s="481"/>
      <c r="M71" s="481"/>
      <c r="N71" s="481"/>
      <c r="O71" s="481"/>
      <c r="P71" s="481"/>
      <c r="Q71" s="481"/>
      <c r="R71" s="481"/>
      <c r="S71" s="481"/>
      <c r="T71" s="481"/>
      <c r="U71" s="481"/>
      <c r="V71" s="481"/>
      <c r="W71" s="481"/>
      <c r="X71" s="481"/>
      <c r="Y71" s="481"/>
      <c r="Z71" s="481"/>
      <c r="AA71" s="481"/>
      <c r="AB71" s="481"/>
      <c r="AC71" s="481"/>
      <c r="AD71" s="481"/>
      <c r="AE71" s="481"/>
      <c r="AF71" s="481"/>
      <c r="AG71" s="481"/>
      <c r="AH71" s="481"/>
      <c r="AI71" s="481"/>
      <c r="AJ71" s="481"/>
      <c r="AK71" s="481"/>
    </row>
    <row r="72" spans="1:37" ht="13">
      <c r="A72" s="4"/>
      <c r="C72" s="2"/>
      <c r="D72" s="4"/>
      <c r="E72" s="4"/>
      <c r="F72" s="8" t="s">
        <v>698</v>
      </c>
      <c r="G72" s="1259" t="s">
        <v>1311</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t="s">
        <v>519</v>
      </c>
      <c r="G74" s="1259" t="s">
        <v>1312</v>
      </c>
      <c r="H74" s="1259"/>
      <c r="I74" s="1259"/>
      <c r="J74" s="1259"/>
      <c r="K74" s="1259"/>
      <c r="L74" s="1259"/>
      <c r="M74" s="1259"/>
      <c r="N74" s="1259"/>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row>
    <row r="75" spans="1:37" ht="13">
      <c r="A75" s="4"/>
      <c r="C75" s="2"/>
      <c r="D75" s="4"/>
      <c r="E75" s="4"/>
      <c r="F75" s="8"/>
      <c r="G75" s="1259"/>
      <c r="H75" s="1259"/>
      <c r="I75" s="1259"/>
      <c r="J75" s="1259"/>
      <c r="K75" s="1259"/>
      <c r="L75" s="1259"/>
      <c r="M75" s="1259"/>
      <c r="N75" s="1259"/>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row>
    <row r="76" spans="1:37" ht="13">
      <c r="A76" s="4"/>
      <c r="C76" s="2"/>
      <c r="D76" s="4"/>
      <c r="E76" s="4"/>
      <c r="F76" s="8"/>
      <c r="G76" s="120" t="s">
        <v>763</v>
      </c>
      <c r="H76" s="4"/>
      <c r="J76" s="120"/>
      <c r="K76" s="120"/>
      <c r="L76" s="120"/>
      <c r="P76" s="4"/>
      <c r="Q76" s="4"/>
      <c r="R76" s="4"/>
      <c r="S76" s="4"/>
      <c r="T76" s="4"/>
      <c r="U76" s="4"/>
      <c r="V76" s="4"/>
      <c r="W76" s="4"/>
      <c r="X76" s="4"/>
      <c r="Y76" s="4"/>
      <c r="Z76" s="4"/>
      <c r="AA76" s="4"/>
      <c r="AB76" s="4"/>
    </row>
    <row r="77" spans="1:37" ht="13">
      <c r="A77" s="4"/>
      <c r="C77" s="2"/>
      <c r="D77" s="4"/>
      <c r="E77" s="4"/>
      <c r="F77" s="8"/>
      <c r="G77" s="120" t="s">
        <v>893</v>
      </c>
      <c r="J77" s="120"/>
      <c r="K77" s="120"/>
      <c r="L77" s="120"/>
      <c r="P77" s="4"/>
      <c r="Q77" s="4"/>
      <c r="R77" s="4"/>
      <c r="S77" s="4"/>
      <c r="T77" s="4"/>
      <c r="U77" s="4"/>
      <c r="V77" s="4"/>
      <c r="W77" s="4"/>
      <c r="X77" s="4"/>
      <c r="Y77" s="4"/>
      <c r="Z77" s="4"/>
      <c r="AA77" s="4"/>
      <c r="AB77" s="4"/>
    </row>
    <row r="78" spans="1:37" ht="13">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517</v>
      </c>
      <c r="H79" s="4" t="s">
        <v>894</v>
      </c>
      <c r="K79" s="4"/>
      <c r="L79" s="4"/>
      <c r="M79" s="4"/>
      <c r="P79" s="4"/>
      <c r="Q79" s="4"/>
      <c r="R79" s="4"/>
      <c r="S79" s="4"/>
      <c r="T79" s="4"/>
      <c r="U79" s="4"/>
      <c r="V79" s="4"/>
      <c r="W79" s="4"/>
      <c r="X79" s="4"/>
      <c r="Y79" s="4"/>
      <c r="Z79" s="4"/>
      <c r="AA79" s="4"/>
      <c r="AB79" s="4"/>
    </row>
    <row r="80" spans="1:37" ht="13">
      <c r="A80" s="4"/>
      <c r="C80" s="2"/>
      <c r="D80" s="4"/>
      <c r="E80" s="4"/>
      <c r="F80" s="4"/>
      <c r="G80" s="4" t="s">
        <v>770</v>
      </c>
      <c r="H80" s="4" t="s">
        <v>766</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59" t="s">
        <v>1313</v>
      </c>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c r="F83" s="4"/>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row>
    <row r="84" spans="1:37" ht="13">
      <c r="A84" s="4"/>
      <c r="C84" s="2"/>
      <c r="D84" s="4"/>
      <c r="E84" s="4"/>
      <c r="F84" s="4"/>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59" t="s">
        <v>1314</v>
      </c>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c r="F87" s="4"/>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row>
    <row r="88" spans="1:37" ht="13">
      <c r="A88" s="4"/>
      <c r="C88" s="2"/>
      <c r="D88" s="4"/>
      <c r="E88" s="4"/>
      <c r="G88" s="1259"/>
      <c r="H88" s="1259"/>
      <c r="I88" s="1259"/>
      <c r="J88" s="1259"/>
      <c r="K88" s="1259"/>
      <c r="L88" s="1259"/>
      <c r="M88" s="1259"/>
      <c r="N88" s="1259"/>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row>
    <row r="89" spans="1:37" ht="13">
      <c r="A89" s="4"/>
      <c r="C89" s="2"/>
      <c r="D89" s="4"/>
      <c r="E89" s="4" t="s">
        <v>264</v>
      </c>
      <c r="F89" t="s">
        <v>895</v>
      </c>
      <c r="G89" s="4"/>
      <c r="L89" s="4"/>
      <c r="M89" s="4"/>
      <c r="P89" s="4"/>
      <c r="Q89" s="4"/>
      <c r="R89" s="4"/>
      <c r="S89" s="4"/>
      <c r="T89" s="4"/>
      <c r="U89" s="4"/>
      <c r="V89" s="4"/>
      <c r="W89" s="4"/>
      <c r="X89" s="4"/>
      <c r="Y89" s="4"/>
      <c r="Z89" s="4"/>
      <c r="AA89" s="4"/>
      <c r="AB89" s="4"/>
    </row>
    <row r="90" spans="1:37" ht="13">
      <c r="A90" s="4"/>
      <c r="C90" s="2"/>
      <c r="D90" s="4"/>
      <c r="E90" s="4"/>
      <c r="G90" s="1268" t="s">
        <v>1315</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ht="13">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ht="13">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ht="13">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59" t="s">
        <v>1316</v>
      </c>
      <c r="H94" s="1259"/>
      <c r="I94" s="1259"/>
      <c r="J94" s="1259"/>
      <c r="K94" s="1259"/>
      <c r="L94" s="1259"/>
      <c r="M94" s="1259"/>
      <c r="N94" s="1259"/>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row>
    <row r="95" spans="1:37" ht="13">
      <c r="A95" s="4"/>
      <c r="C95" s="2"/>
      <c r="D95" s="4"/>
      <c r="E95" s="4"/>
      <c r="G95" s="1259"/>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t="s">
        <v>938</v>
      </c>
      <c r="F96" s="217" t="s">
        <v>939</v>
      </c>
      <c r="G96" s="217"/>
      <c r="L96" s="4"/>
      <c r="M96" s="4"/>
      <c r="P96" s="4"/>
      <c r="Q96" s="4"/>
      <c r="R96" s="4"/>
      <c r="S96" s="4"/>
      <c r="T96" s="4"/>
      <c r="U96" s="4"/>
      <c r="V96" s="4"/>
      <c r="W96" s="4"/>
      <c r="X96" s="4"/>
      <c r="Y96" s="4"/>
      <c r="Z96" s="4"/>
      <c r="AA96" s="4"/>
      <c r="AB96" s="4"/>
    </row>
    <row r="97" spans="1:38" ht="13">
      <c r="A97" s="4"/>
      <c r="C97" s="2"/>
      <c r="D97" s="4"/>
      <c r="E97" s="4"/>
      <c r="G97" s="1259" t="s">
        <v>1317</v>
      </c>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C98" s="2"/>
      <c r="D98" s="4"/>
      <c r="E98" s="4"/>
      <c r="G98" s="1259"/>
      <c r="H98" s="1259"/>
      <c r="I98" s="1259"/>
      <c r="J98" s="1259"/>
      <c r="K98" s="1259"/>
      <c r="L98" s="1259"/>
      <c r="M98" s="1259"/>
      <c r="N98" s="1259"/>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row>
    <row r="99" spans="1:38" ht="13">
      <c r="A99" s="4"/>
      <c r="C99" s="2"/>
      <c r="D99" s="4"/>
      <c r="E99" s="4"/>
      <c r="G99" s="1259"/>
      <c r="H99" s="1259"/>
      <c r="I99" s="1259"/>
      <c r="J99" s="1259"/>
      <c r="K99" s="1259"/>
      <c r="L99" s="1259"/>
      <c r="M99" s="1259"/>
      <c r="N99" s="1259"/>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row>
    <row r="100" spans="1:38" ht="13">
      <c r="A100" s="4"/>
      <c r="D100" s="99"/>
      <c r="E100" s="1269" t="s">
        <v>1318</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ht="13">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1329</v>
      </c>
      <c r="H105" s="2"/>
      <c r="I105" s="2"/>
      <c r="K105" s="2"/>
    </row>
    <row r="106" spans="1:38" ht="13">
      <c r="B106" s="2"/>
      <c r="C106" s="2"/>
      <c r="D106" s="2" t="s">
        <v>209</v>
      </c>
      <c r="E106" s="2" t="s">
        <v>1331</v>
      </c>
      <c r="F106" s="2"/>
      <c r="G106" s="2"/>
      <c r="H106" s="2"/>
      <c r="I106" s="2"/>
      <c r="J106" s="2"/>
      <c r="K106" s="2"/>
      <c r="L106" s="2"/>
      <c r="M106" s="2"/>
    </row>
    <row r="107" spans="1:38" ht="13">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ht="13">
      <c r="E111" s="4" t="s">
        <v>114</v>
      </c>
      <c r="F111" s="98" t="s">
        <v>666</v>
      </c>
      <c r="G111" s="2"/>
      <c r="H111" s="2"/>
      <c r="I111" s="2"/>
      <c r="J111" s="2"/>
    </row>
    <row r="112" spans="1:38">
      <c r="E112" s="4"/>
      <c r="F112" t="s">
        <v>667</v>
      </c>
    </row>
    <row r="113" spans="2:16">
      <c r="E113" s="4"/>
    </row>
    <row r="114" spans="2:16" ht="13">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ht="13">
      <c r="F119" s="4" t="s">
        <v>1073</v>
      </c>
      <c r="G119" s="4"/>
    </row>
    <row r="120" spans="2:16" ht="13">
      <c r="F120" s="99" t="s">
        <v>1330</v>
      </c>
      <c r="G120" s="99"/>
    </row>
    <row r="121" spans="2:16" ht="13">
      <c r="G121" s="99"/>
    </row>
    <row r="122" spans="2:16">
      <c r="E122" s="4" t="s">
        <v>788</v>
      </c>
      <c r="F122" s="98" t="s">
        <v>380</v>
      </c>
    </row>
    <row r="123" spans="2:16">
      <c r="E123" s="4"/>
      <c r="F123" s="4" t="s">
        <v>1064</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963</v>
      </c>
      <c r="F127" s="4"/>
    </row>
    <row r="128" spans="2:16"/>
    <row r="129" spans="4:37" ht="13">
      <c r="D129" s="2" t="s">
        <v>343</v>
      </c>
      <c r="E129" s="2" t="s">
        <v>587</v>
      </c>
    </row>
    <row r="130" spans="4:37">
      <c r="E130" s="4" t="s">
        <v>963</v>
      </c>
      <c r="F130" s="4"/>
    </row>
    <row r="131" spans="4:37"/>
    <row r="132" spans="4:37" ht="13">
      <c r="D132" s="2" t="s">
        <v>584</v>
      </c>
      <c r="E132" s="2" t="s">
        <v>737</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81"/>
      <c r="G134" s="481"/>
      <c r="H134" s="481"/>
      <c r="I134" s="481"/>
      <c r="J134" s="481"/>
      <c r="K134" s="481"/>
      <c r="L134" s="481"/>
      <c r="M134" s="481"/>
      <c r="N134" s="481"/>
      <c r="O134" s="481"/>
      <c r="P134" s="481"/>
      <c r="Q134" s="481"/>
      <c r="R134" s="481"/>
      <c r="S134" s="481"/>
      <c r="T134" s="481"/>
      <c r="U134" s="481"/>
      <c r="V134" s="481"/>
      <c r="W134" s="481"/>
      <c r="X134" s="481"/>
      <c r="Y134" s="481"/>
      <c r="Z134" s="481"/>
      <c r="AA134" s="481"/>
      <c r="AB134" s="481"/>
      <c r="AC134" s="481"/>
      <c r="AD134" s="481"/>
      <c r="AE134" s="481"/>
      <c r="AF134" s="481"/>
      <c r="AG134" s="481"/>
      <c r="AH134" s="481"/>
      <c r="AI134" s="481"/>
      <c r="AJ134" s="481"/>
      <c r="AK134" s="481"/>
    </row>
    <row r="135" spans="4:37">
      <c r="E135" s="119" t="s">
        <v>1414</v>
      </c>
      <c r="F135" s="481"/>
      <c r="G135" s="481"/>
      <c r="H135" s="481"/>
      <c r="I135" s="481"/>
      <c r="J135" s="481"/>
      <c r="K135" s="481"/>
      <c r="L135" s="481"/>
      <c r="M135" s="481"/>
      <c r="N135" s="481"/>
      <c r="O135" s="481"/>
      <c r="P135" s="481"/>
      <c r="Q135" s="481"/>
      <c r="R135" s="481"/>
      <c r="S135" s="481"/>
      <c r="T135" s="481"/>
      <c r="U135" s="481"/>
      <c r="V135" s="481"/>
      <c r="W135" s="481"/>
      <c r="X135" s="481"/>
      <c r="Y135" s="481"/>
      <c r="Z135" s="481"/>
      <c r="AA135" s="481"/>
      <c r="AB135" s="481"/>
      <c r="AC135" s="481"/>
      <c r="AD135" s="481"/>
      <c r="AE135" s="481"/>
      <c r="AF135" s="481"/>
      <c r="AG135" s="481"/>
      <c r="AH135" s="481"/>
      <c r="AI135" s="481"/>
      <c r="AJ135" s="481"/>
      <c r="AK135" s="481"/>
    </row>
    <row r="136" spans="4:37">
      <c r="F136" s="4"/>
    </row>
    <row r="137" spans="4:37" ht="13">
      <c r="D137" s="2" t="s">
        <v>524</v>
      </c>
      <c r="E137" s="2" t="s">
        <v>527</v>
      </c>
      <c r="F137" s="2"/>
    </row>
    <row r="138" spans="4:37">
      <c r="E138" s="3" t="s">
        <v>1356</v>
      </c>
      <c r="F138" s="4"/>
    </row>
    <row r="139" spans="4:37">
      <c r="F139" s="4"/>
    </row>
    <row r="140" spans="4:37" ht="13">
      <c r="D140" s="2" t="s">
        <v>305</v>
      </c>
      <c r="E140" s="2" t="s">
        <v>2442</v>
      </c>
      <c r="F140" s="2"/>
      <c r="G140" s="2"/>
      <c r="H140" s="2"/>
    </row>
    <row r="141" spans="4:37">
      <c r="E141" t="s">
        <v>113</v>
      </c>
      <c r="F141" t="s">
        <v>52</v>
      </c>
    </row>
    <row r="142" spans="4:37">
      <c r="E142" t="s">
        <v>114</v>
      </c>
      <c r="F142" t="s">
        <v>476</v>
      </c>
    </row>
    <row r="143" spans="4:37"/>
    <row r="144" spans="4:37" ht="13">
      <c r="D144" s="2" t="s">
        <v>431</v>
      </c>
      <c r="E144" s="2" t="s">
        <v>2443</v>
      </c>
    </row>
    <row r="145" spans="3:7">
      <c r="E145" s="217" t="s">
        <v>2444</v>
      </c>
      <c r="F145" s="217"/>
    </row>
    <row r="146" spans="3:7"/>
    <row r="147" spans="3:7" ht="13">
      <c r="C147" s="2" t="s">
        <v>6</v>
      </c>
      <c r="G147" s="2" t="s">
        <v>382</v>
      </c>
    </row>
    <row r="148" spans="3:7" ht="13">
      <c r="D148" s="2" t="s">
        <v>209</v>
      </c>
      <c r="E148" s="2" t="s">
        <v>136</v>
      </c>
    </row>
    <row r="149" spans="3:7">
      <c r="E149" t="s">
        <v>822</v>
      </c>
    </row>
    <row r="150" spans="3:7"/>
    <row r="151" spans="3:7" ht="13">
      <c r="D151" s="2" t="s">
        <v>343</v>
      </c>
      <c r="E151" s="2" t="s">
        <v>534</v>
      </c>
      <c r="F151" s="2"/>
    </row>
    <row r="152" spans="3:7">
      <c r="E152" s="4" t="s">
        <v>965</v>
      </c>
      <c r="F152" s="4"/>
    </row>
    <row r="153" spans="3:7"/>
    <row r="154" spans="3:7" ht="13">
      <c r="D154" s="2" t="s">
        <v>584</v>
      </c>
      <c r="E154" s="2" t="s">
        <v>563</v>
      </c>
    </row>
    <row r="155" spans="3:7">
      <c r="E155" s="4" t="s">
        <v>966</v>
      </c>
    </row>
    <row r="156" spans="3:7">
      <c r="E156" s="4" t="s">
        <v>964</v>
      </c>
      <c r="G156" s="4"/>
    </row>
    <row r="157" spans="3:7"/>
    <row r="158" spans="3:7" ht="13">
      <c r="D158" s="2" t="s">
        <v>524</v>
      </c>
      <c r="E158" s="2" t="s">
        <v>543</v>
      </c>
    </row>
    <row r="159" spans="3:7">
      <c r="E159" t="s">
        <v>113</v>
      </c>
      <c r="F159" s="4" t="s">
        <v>967</v>
      </c>
    </row>
    <row r="160" spans="3:7">
      <c r="E160" s="4" t="s">
        <v>114</v>
      </c>
      <c r="F160" s="4" t="s">
        <v>968</v>
      </c>
    </row>
    <row r="161" spans="3:20">
      <c r="E161" s="4" t="s">
        <v>120</v>
      </c>
      <c r="F161" t="s">
        <v>738</v>
      </c>
    </row>
    <row r="162" spans="3:20"/>
    <row r="163" spans="3:20" ht="13">
      <c r="D163" s="2" t="s">
        <v>305</v>
      </c>
      <c r="E163" s="2" t="s">
        <v>383</v>
      </c>
    </row>
    <row r="164" spans="3:20">
      <c r="E164" s="4" t="s">
        <v>969</v>
      </c>
      <c r="F164" s="4"/>
    </row>
    <row r="165" spans="3:20"/>
    <row r="166" spans="3:20" ht="13">
      <c r="D166" s="2" t="s">
        <v>431</v>
      </c>
      <c r="E166" s="2" t="s">
        <v>173</v>
      </c>
    </row>
    <row r="167" spans="3:20">
      <c r="E167" s="4" t="s">
        <v>971</v>
      </c>
    </row>
    <row r="168" spans="3:20">
      <c r="E168" s="4" t="s">
        <v>970</v>
      </c>
    </row>
    <row r="169" spans="3:20"/>
    <row r="170" spans="3:20" ht="13">
      <c r="D170" s="2" t="s">
        <v>567</v>
      </c>
      <c r="E170" s="2" t="s">
        <v>632</v>
      </c>
    </row>
    <row r="171" spans="3:20">
      <c r="E171" t="s">
        <v>113</v>
      </c>
      <c r="F171" t="s">
        <v>739</v>
      </c>
    </row>
    <row r="172" spans="3:20">
      <c r="E172" t="s">
        <v>114</v>
      </c>
      <c r="F172" t="s">
        <v>299</v>
      </c>
    </row>
    <row r="173" spans="3:20">
      <c r="F173" s="4"/>
    </row>
    <row r="174" spans="3:20" ht="13">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587</v>
      </c>
    </row>
    <row r="178" spans="2:19" ht="13">
      <c r="D178" s="2" t="s">
        <v>209</v>
      </c>
      <c r="E178" s="2" t="s">
        <v>300</v>
      </c>
      <c r="G178" s="4"/>
      <c r="H178" s="4"/>
      <c r="I178" s="4"/>
      <c r="J178" s="4"/>
      <c r="K178" s="4"/>
      <c r="L178" s="4"/>
      <c r="M178" s="4"/>
      <c r="N178" s="4"/>
    </row>
    <row r="179" spans="2:19">
      <c r="E179" t="s">
        <v>113</v>
      </c>
      <c r="F179" s="4" t="s">
        <v>972</v>
      </c>
    </row>
    <row r="180" spans="2:19" ht="13">
      <c r="F180" s="120" t="s">
        <v>1287</v>
      </c>
      <c r="I180" s="120"/>
    </row>
    <row r="181" spans="2:19" ht="13">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ht="13">
      <c r="D185" s="2" t="s">
        <v>343</v>
      </c>
      <c r="E185" s="2" t="s">
        <v>1065</v>
      </c>
    </row>
    <row r="186" spans="2:19">
      <c r="B186" s="4"/>
      <c r="C186" s="4"/>
      <c r="E186" s="4" t="s">
        <v>722</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584</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524</v>
      </c>
      <c r="E192" s="2" t="s">
        <v>112</v>
      </c>
    </row>
    <row r="193" spans="2:37" ht="13">
      <c r="B193" s="4"/>
      <c r="C193" s="2"/>
      <c r="E193" t="s">
        <v>113</v>
      </c>
      <c r="F193" s="4" t="s">
        <v>1074</v>
      </c>
      <c r="G193" s="4"/>
      <c r="H193" s="4"/>
      <c r="I193" s="4"/>
    </row>
    <row r="194" spans="2:37" ht="13">
      <c r="B194" s="4"/>
      <c r="C194" s="2"/>
      <c r="F194" s="4" t="s">
        <v>663</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975</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ht="13">
      <c r="B206" s="4"/>
      <c r="C206" s="4"/>
      <c r="D206" s="2"/>
      <c r="E206" s="4" t="s">
        <v>591</v>
      </c>
      <c r="F206" s="4" t="s">
        <v>977</v>
      </c>
      <c r="M206" s="4"/>
      <c r="N206" s="4"/>
      <c r="O206" s="4"/>
      <c r="P206" s="4"/>
      <c r="Q206" s="4"/>
      <c r="R206" s="4"/>
      <c r="S206" s="4"/>
    </row>
    <row r="207" spans="2:37" ht="13">
      <c r="B207" s="4"/>
      <c r="C207" s="4"/>
      <c r="D207" s="2"/>
      <c r="F207" t="s">
        <v>663</v>
      </c>
      <c r="G207" s="1259" t="s">
        <v>1319</v>
      </c>
      <c r="H207" s="1259"/>
      <c r="I207" s="1259"/>
      <c r="J207" s="1259"/>
      <c r="K207" s="1259"/>
      <c r="L207" s="1259"/>
      <c r="M207" s="1259"/>
      <c r="N207" s="1259"/>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row>
    <row r="208" spans="2:37" ht="13">
      <c r="B208" s="4"/>
      <c r="C208" s="4"/>
      <c r="D208" s="2"/>
      <c r="G208" s="1259"/>
      <c r="H208" s="1259"/>
      <c r="I208" s="1259"/>
      <c r="J208" s="1259"/>
      <c r="K208" s="1259"/>
      <c r="L208" s="1259"/>
      <c r="M208" s="1259"/>
      <c r="N208" s="1259"/>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row>
    <row r="209" spans="1:38" ht="13">
      <c r="B209" s="4"/>
      <c r="C209" s="4"/>
      <c r="D209" s="2"/>
      <c r="M209" s="4"/>
      <c r="N209" s="4"/>
      <c r="O209" s="4"/>
      <c r="P209" s="4"/>
      <c r="Q209" s="4"/>
      <c r="R209" s="4"/>
      <c r="S209" s="4"/>
    </row>
    <row r="210" spans="1:38" ht="13">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565</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462</v>
      </c>
      <c r="I225" s="4"/>
      <c r="J225" s="4"/>
      <c r="K225" s="4"/>
      <c r="M225" s="4"/>
      <c r="N225" s="4"/>
      <c r="O225" s="4"/>
      <c r="P225" s="4"/>
      <c r="Q225" s="4"/>
      <c r="R225" s="4"/>
      <c r="S225" s="4"/>
    </row>
    <row r="226" spans="2:19" ht="13">
      <c r="B226" s="2"/>
      <c r="E226" s="4" t="s">
        <v>113</v>
      </c>
      <c r="F226" s="4" t="s">
        <v>729</v>
      </c>
      <c r="G226" s="4"/>
      <c r="I226" s="4"/>
      <c r="J226" s="4"/>
      <c r="K226" s="4"/>
      <c r="L226" s="4"/>
      <c r="M226" s="4"/>
      <c r="N226" s="4"/>
      <c r="O226" s="4"/>
      <c r="P226" s="4"/>
      <c r="Q226" s="4"/>
      <c r="R226" s="4"/>
      <c r="S226" s="4"/>
    </row>
    <row r="227" spans="2:19" ht="13">
      <c r="B227" s="2"/>
      <c r="E227" s="4" t="s">
        <v>114</v>
      </c>
      <c r="F227" s="4" t="s">
        <v>690</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730</v>
      </c>
      <c r="G230" s="4"/>
      <c r="I230" s="4"/>
      <c r="J230" s="4"/>
      <c r="K230" s="4"/>
      <c r="L230" s="4"/>
      <c r="M230" s="4"/>
      <c r="N230" s="4"/>
      <c r="O230" s="4"/>
      <c r="P230" s="4"/>
      <c r="Q230" s="4"/>
      <c r="R230" s="4"/>
      <c r="S230" s="4"/>
    </row>
    <row r="231" spans="2:19" ht="13">
      <c r="B231" s="2"/>
      <c r="E231" s="4"/>
      <c r="F231" s="4" t="s">
        <v>731</v>
      </c>
      <c r="G231" s="4"/>
      <c r="H231" s="4"/>
      <c r="I231" s="4"/>
      <c r="J231" s="4"/>
      <c r="K231" s="4"/>
      <c r="L231" s="4"/>
      <c r="M231" s="4"/>
      <c r="N231" s="4"/>
      <c r="O231" s="4"/>
      <c r="P231" s="4"/>
      <c r="Q231" s="4"/>
      <c r="R231" s="4"/>
      <c r="S231" s="4"/>
    </row>
    <row r="232" spans="2:19" ht="13">
      <c r="B232" s="2"/>
      <c r="D232" s="4"/>
      <c r="E232" s="4" t="s">
        <v>114</v>
      </c>
      <c r="F232" s="4" t="s">
        <v>690</v>
      </c>
      <c r="G232" s="4"/>
      <c r="I232" s="4"/>
      <c r="J232" s="4"/>
      <c r="K232" s="4"/>
      <c r="L232" s="4"/>
      <c r="M232" s="4"/>
      <c r="N232" s="4"/>
      <c r="O232" s="4"/>
      <c r="P232" s="4"/>
      <c r="Q232" s="4"/>
      <c r="R232" s="4"/>
      <c r="S232" s="4"/>
    </row>
    <row r="233" spans="2:19" ht="13">
      <c r="B233" s="2"/>
      <c r="E233" s="4" t="s">
        <v>120</v>
      </c>
      <c r="F233" s="98" t="s">
        <v>992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ht="13">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663</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978</v>
      </c>
      <c r="I254" s="4"/>
      <c r="J254" s="4"/>
      <c r="K254" s="4"/>
      <c r="L254" s="4"/>
      <c r="M254" s="4"/>
      <c r="N254" s="4"/>
      <c r="O254" s="4"/>
      <c r="P254" s="4"/>
      <c r="Q254" s="4"/>
      <c r="R254" s="4"/>
      <c r="S254" s="4"/>
      <c r="T254" s="4"/>
      <c r="U254" s="4"/>
    </row>
    <row r="255" spans="2:21" ht="13">
      <c r="B255" s="2"/>
      <c r="C255" s="2"/>
      <c r="E255" s="4"/>
      <c r="F255" s="217" t="s">
        <v>663</v>
      </c>
      <c r="G255" s="217" t="s">
        <v>837</v>
      </c>
      <c r="I255" s="3"/>
      <c r="K255" s="3"/>
      <c r="L255" s="3"/>
      <c r="M255" s="3"/>
      <c r="N255" s="3"/>
      <c r="O255" s="3"/>
      <c r="Q255" s="4"/>
      <c r="R255" s="4"/>
      <c r="S255" s="4"/>
      <c r="T255" s="4"/>
      <c r="U255" s="4"/>
    </row>
    <row r="256" spans="2:21" ht="13">
      <c r="B256" s="2"/>
      <c r="C256" s="2"/>
      <c r="E256" s="4"/>
      <c r="F256" s="217"/>
      <c r="G256" s="217" t="s">
        <v>838</v>
      </c>
      <c r="I256" s="3"/>
      <c r="K256" s="3"/>
      <c r="L256" s="3"/>
      <c r="M256" s="3"/>
      <c r="N256" s="3"/>
      <c r="O256" s="3"/>
      <c r="P256" s="3"/>
    </row>
    <row r="257" spans="2:21" ht="13">
      <c r="B257" s="2"/>
      <c r="C257" s="2"/>
      <c r="E257" s="4"/>
      <c r="F257" s="217" t="s">
        <v>350</v>
      </c>
      <c r="G257" s="217" t="s">
        <v>984</v>
      </c>
      <c r="I257" s="4"/>
      <c r="K257" s="4"/>
      <c r="L257" s="4"/>
      <c r="M257" s="4"/>
      <c r="N257" s="4"/>
      <c r="O257" s="4"/>
      <c r="P257" s="3"/>
    </row>
    <row r="258" spans="2:21" ht="13">
      <c r="B258" s="2"/>
      <c r="C258" s="2"/>
      <c r="E258" s="4"/>
      <c r="F258" s="217"/>
      <c r="G258" s="217" t="s">
        <v>899</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829</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830</v>
      </c>
      <c r="I264" s="4"/>
      <c r="J264" s="4"/>
      <c r="K264" s="4"/>
      <c r="L264" s="4"/>
      <c r="M264" s="4"/>
      <c r="N264" s="4"/>
      <c r="O264" s="4"/>
      <c r="P264" s="4"/>
      <c r="Q264" s="4"/>
      <c r="R264" s="4"/>
      <c r="S264" s="4"/>
    </row>
    <row r="265" spans="2:21" ht="13">
      <c r="B265" s="2"/>
      <c r="C265" s="2"/>
      <c r="E265" s="4" t="s">
        <v>591</v>
      </c>
      <c r="F265" s="217" t="s">
        <v>839</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584</v>
      </c>
      <c r="E270" s="2" t="s">
        <v>289</v>
      </c>
      <c r="G270" s="4"/>
    </row>
    <row r="271" spans="2:21" ht="13">
      <c r="B271" s="2"/>
      <c r="C271" s="2"/>
      <c r="E271" s="4" t="s">
        <v>257</v>
      </c>
      <c r="F271" s="4"/>
      <c r="G271" s="4"/>
      <c r="J271" s="4"/>
      <c r="K271" s="4"/>
      <c r="L271" s="4"/>
      <c r="M271" s="4"/>
      <c r="N271" s="4"/>
    </row>
    <row r="272" spans="2:21" ht="13">
      <c r="B272" s="2"/>
      <c r="C272" s="2"/>
      <c r="E272" s="4" t="s">
        <v>985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524</v>
      </c>
      <c r="E274" s="2" t="s">
        <v>622</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987</v>
      </c>
      <c r="F285" s="120"/>
      <c r="G285" s="4"/>
      <c r="H285" s="120"/>
      <c r="I285" s="120"/>
      <c r="J285" s="4"/>
      <c r="K285" s="4"/>
      <c r="L285" s="4"/>
      <c r="M285" s="4"/>
      <c r="P285" s="4"/>
      <c r="Q285" s="4"/>
      <c r="R285" s="4"/>
      <c r="S285" s="4"/>
    </row>
    <row r="286" spans="2:21" ht="13">
      <c r="B286" s="2"/>
      <c r="D286" s="2"/>
      <c r="E286" s="475" t="s">
        <v>898</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567</v>
      </c>
      <c r="E288" s="2" t="s">
        <v>568</v>
      </c>
      <c r="K288" s="4"/>
      <c r="L288" s="4"/>
      <c r="M288" s="4"/>
      <c r="N288" s="4"/>
    </row>
    <row r="289" spans="2:23" ht="13">
      <c r="B289" s="2"/>
      <c r="D289" s="4"/>
      <c r="E289" s="4" t="s">
        <v>113</v>
      </c>
      <c r="F289" s="4" t="s">
        <v>569</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570</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663</v>
      </c>
      <c r="G293" s="4" t="s">
        <v>262</v>
      </c>
      <c r="K293" s="4"/>
      <c r="L293" s="4"/>
      <c r="M293" s="4"/>
      <c r="N293" s="4"/>
      <c r="O293" s="4"/>
      <c r="P293" s="4"/>
      <c r="Q293" s="4"/>
      <c r="R293" s="4"/>
      <c r="S293" s="4"/>
      <c r="T293" s="4"/>
      <c r="U293" s="4"/>
      <c r="V293" s="4"/>
      <c r="W293" s="4"/>
    </row>
    <row r="294" spans="2:23" ht="13">
      <c r="B294" s="2"/>
      <c r="D294" s="4"/>
      <c r="E294" s="4"/>
      <c r="F294" s="4" t="s">
        <v>350</v>
      </c>
      <c r="G294" s="4" t="s">
        <v>980</v>
      </c>
      <c r="H294" s="4"/>
      <c r="K294" s="4"/>
      <c r="L294" s="4"/>
      <c r="M294" s="4"/>
      <c r="N294" s="4"/>
      <c r="O294" s="4"/>
      <c r="P294" s="4"/>
      <c r="Q294" s="4"/>
      <c r="R294" s="4"/>
      <c r="S294" s="4"/>
      <c r="T294" s="4"/>
      <c r="U294" s="4"/>
      <c r="V294" s="4"/>
      <c r="W294" s="4"/>
    </row>
    <row r="295" spans="2:23" ht="13">
      <c r="B295" s="2"/>
      <c r="D295" s="4"/>
      <c r="E295" s="4"/>
      <c r="F295" s="4" t="s">
        <v>351</v>
      </c>
      <c r="G295" s="4" t="s">
        <v>571</v>
      </c>
      <c r="K295" s="4"/>
      <c r="L295" s="4"/>
      <c r="M295" s="4"/>
      <c r="N295" s="4"/>
      <c r="O295" s="4"/>
      <c r="P295" s="4"/>
      <c r="Q295" s="4"/>
      <c r="R295" s="4"/>
      <c r="S295" s="4"/>
      <c r="T295" s="4"/>
      <c r="U295" s="4"/>
      <c r="V295" s="4"/>
      <c r="W295" s="4"/>
    </row>
    <row r="296" spans="2:23" ht="13">
      <c r="B296" s="2"/>
      <c r="D296" s="4"/>
      <c r="E296" s="4"/>
      <c r="F296" s="4" t="s">
        <v>448</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591</v>
      </c>
      <c r="F299" s="4" t="s">
        <v>755</v>
      </c>
      <c r="G299" s="4"/>
      <c r="K299" s="4"/>
      <c r="L299" s="4"/>
      <c r="M299" s="4"/>
      <c r="N299" s="4"/>
      <c r="O299" s="4"/>
      <c r="P299" s="4"/>
      <c r="Q299" s="4"/>
      <c r="R299" s="4"/>
      <c r="S299" s="4"/>
      <c r="T299" s="4"/>
      <c r="U299" s="4"/>
      <c r="V299" s="4"/>
      <c r="W299" s="4"/>
    </row>
    <row r="300" spans="2:23" ht="13">
      <c r="B300" s="2"/>
      <c r="D300" s="4"/>
      <c r="E300" s="4" t="s">
        <v>788</v>
      </c>
      <c r="F300" s="4" t="s">
        <v>762</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565</v>
      </c>
      <c r="E305" s="2" t="s">
        <v>291</v>
      </c>
      <c r="G305" s="4"/>
      <c r="H305" s="4"/>
      <c r="I305" s="4"/>
      <c r="J305" s="4"/>
      <c r="K305" s="4"/>
      <c r="L305" s="4"/>
      <c r="M305" s="4"/>
      <c r="N305" s="4"/>
      <c r="O305" s="4"/>
      <c r="P305" s="4"/>
      <c r="Q305" s="4"/>
      <c r="R305" s="4"/>
      <c r="S305" s="4"/>
      <c r="T305" s="4"/>
      <c r="U305" s="4"/>
      <c r="V305" s="4"/>
      <c r="W305" s="4"/>
    </row>
    <row r="306" spans="2:23" ht="13">
      <c r="B306" s="2"/>
      <c r="D306" s="2"/>
      <c r="E306" s="4" t="s">
        <v>988</v>
      </c>
      <c r="F306" s="4"/>
      <c r="K306" s="4"/>
      <c r="L306" s="4"/>
      <c r="M306" s="4"/>
      <c r="N306" s="4"/>
      <c r="O306" s="4"/>
      <c r="P306" s="4"/>
      <c r="Q306" s="4"/>
      <c r="R306" s="4"/>
      <c r="S306" s="4"/>
      <c r="T306" s="4"/>
      <c r="U306" s="4"/>
      <c r="V306" s="4"/>
      <c r="W306" s="4"/>
    </row>
    <row r="307" spans="2:23" ht="13">
      <c r="B307" s="2"/>
      <c r="D307" s="2"/>
      <c r="E307" s="4" t="s">
        <v>986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624</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824</v>
      </c>
      <c r="F312" s="4"/>
      <c r="G312" s="4"/>
      <c r="I312" s="4"/>
      <c r="K312" s="4"/>
    </row>
    <row r="313" spans="2:23" ht="13">
      <c r="B313" s="2"/>
      <c r="D313" s="2"/>
      <c r="E313" s="4" t="s">
        <v>989</v>
      </c>
      <c r="F313" s="4"/>
      <c r="G313" s="4"/>
      <c r="I313" s="4"/>
      <c r="K313" s="4"/>
    </row>
    <row r="314" spans="2:23" ht="13">
      <c r="B314" s="2"/>
      <c r="D314" s="2"/>
      <c r="E314" s="4" t="s">
        <v>825</v>
      </c>
      <c r="F314" s="4"/>
      <c r="G314" s="4"/>
      <c r="I314" s="4"/>
      <c r="K314" s="4"/>
    </row>
    <row r="315" spans="2:23" ht="13">
      <c r="B315" s="2"/>
      <c r="D315" s="2"/>
      <c r="G315" s="4"/>
      <c r="I315" s="4"/>
      <c r="K315" s="4"/>
    </row>
    <row r="316" spans="2:23" ht="13">
      <c r="B316" s="2"/>
      <c r="D316" s="2" t="s">
        <v>343</v>
      </c>
      <c r="E316" s="2" t="s">
        <v>764</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584</v>
      </c>
      <c r="E319" s="170" t="s">
        <v>748</v>
      </c>
      <c r="F319" s="3"/>
      <c r="G319" s="4"/>
      <c r="H319" s="4"/>
      <c r="I319" s="4"/>
      <c r="J319" s="4"/>
      <c r="K319" s="4"/>
      <c r="L319" s="4"/>
      <c r="M319" s="4"/>
      <c r="N319" s="4"/>
      <c r="O319" s="4"/>
      <c r="P319" s="4"/>
      <c r="Q319" s="4"/>
      <c r="R319" s="4"/>
      <c r="S319" s="4"/>
    </row>
    <row r="320" spans="2:23" ht="13">
      <c r="B320" s="2"/>
      <c r="E320" t="s">
        <v>745</v>
      </c>
      <c r="I320" s="4"/>
      <c r="J320" s="4"/>
      <c r="K320" s="4"/>
      <c r="L320" s="4"/>
      <c r="M320" s="4"/>
      <c r="N320" s="4"/>
      <c r="O320" s="4"/>
      <c r="P320" s="4"/>
      <c r="Q320" s="4"/>
      <c r="R320" s="4"/>
      <c r="S320" s="4"/>
    </row>
    <row r="321" spans="1:38" ht="13">
      <c r="B321" s="2"/>
      <c r="E321" t="s">
        <v>746</v>
      </c>
      <c r="I321" s="4"/>
      <c r="J321" s="4"/>
      <c r="K321" s="4"/>
      <c r="L321" s="4"/>
      <c r="M321" s="4"/>
      <c r="N321" s="4"/>
      <c r="O321" s="4"/>
      <c r="P321" s="4"/>
      <c r="Q321" s="4"/>
      <c r="R321" s="4"/>
      <c r="S321" s="4"/>
    </row>
    <row r="322" spans="1:38" ht="13">
      <c r="B322" s="2"/>
      <c r="E322" t="s">
        <v>747</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625</v>
      </c>
      <c r="I324" s="4"/>
      <c r="J324" s="4"/>
      <c r="K324" s="4"/>
      <c r="L324" s="4"/>
      <c r="M324" s="4"/>
      <c r="N324" s="4"/>
      <c r="O324" s="4"/>
      <c r="P324" s="4"/>
      <c r="Q324" s="4"/>
      <c r="R324" s="4"/>
      <c r="S324" s="4"/>
    </row>
    <row r="325" spans="1:38" ht="13">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752</v>
      </c>
      <c r="J335" s="4"/>
      <c r="K335" s="4"/>
      <c r="L335" s="4"/>
      <c r="M335" s="4"/>
      <c r="N335" s="4"/>
      <c r="O335" s="4"/>
      <c r="P335" s="4"/>
      <c r="Q335" s="4"/>
      <c r="R335" s="4"/>
      <c r="S335" s="4"/>
    </row>
    <row r="336" spans="1:38" ht="13">
      <c r="B336" s="2"/>
      <c r="E336" s="4"/>
      <c r="F336" s="4" t="s">
        <v>753</v>
      </c>
      <c r="J336" s="4"/>
      <c r="K336" s="4"/>
      <c r="L336" s="4"/>
      <c r="M336" s="4"/>
      <c r="N336" s="4"/>
      <c r="O336" s="4"/>
      <c r="P336" s="4"/>
      <c r="Q336" s="4"/>
      <c r="R336" s="4"/>
      <c r="S336" s="4"/>
    </row>
    <row r="337" spans="2:37" ht="13">
      <c r="B337" s="2"/>
      <c r="E337" s="4"/>
      <c r="F337" s="4" t="s">
        <v>754</v>
      </c>
      <c r="I337" s="4"/>
      <c r="J337" s="4"/>
      <c r="K337" s="4"/>
      <c r="L337" s="4"/>
      <c r="M337" s="4"/>
      <c r="N337" s="4"/>
      <c r="O337" s="4"/>
      <c r="P337" s="4"/>
      <c r="Q337" s="4"/>
      <c r="R337" s="4"/>
      <c r="S337" s="4"/>
    </row>
    <row r="338" spans="2:37" ht="13">
      <c r="B338" s="2"/>
      <c r="E338" s="4" t="s">
        <v>114</v>
      </c>
      <c r="F338" s="1259" t="s">
        <v>1294</v>
      </c>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E339" s="4"/>
      <c r="F339" s="1259"/>
      <c r="G339" s="1259"/>
      <c r="H339" s="1259"/>
      <c r="I339" s="1259"/>
      <c r="J339" s="1259"/>
      <c r="K339" s="1259"/>
      <c r="L339" s="1259"/>
      <c r="M339" s="1259"/>
      <c r="N339" s="1259"/>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row>
    <row r="340" spans="2:37" ht="13">
      <c r="B340" s="2"/>
      <c r="E340" s="4"/>
      <c r="F340" s="1259"/>
      <c r="G340" s="1259"/>
      <c r="H340" s="1259"/>
      <c r="I340" s="1259"/>
      <c r="J340" s="1259"/>
      <c r="K340" s="1259"/>
      <c r="L340" s="1259"/>
      <c r="M340" s="1259"/>
      <c r="N340" s="1259"/>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row>
    <row r="341" spans="2:37" ht="13">
      <c r="B341" s="2"/>
      <c r="F341" s="4"/>
      <c r="H341" s="4"/>
      <c r="I341" s="4"/>
      <c r="J341" s="4"/>
      <c r="K341" s="4"/>
      <c r="L341" s="4"/>
      <c r="M341" s="4"/>
      <c r="N341" s="4"/>
      <c r="O341" s="4"/>
      <c r="P341" s="4"/>
      <c r="Q341" s="4"/>
      <c r="R341" s="4"/>
      <c r="S341" s="4"/>
    </row>
    <row r="342" spans="2:37" ht="13">
      <c r="B342" s="2"/>
      <c r="C342" s="2" t="s">
        <v>433</v>
      </c>
      <c r="G342" s="2" t="s">
        <v>1375</v>
      </c>
      <c r="I342" s="2"/>
      <c r="J342" s="4"/>
      <c r="K342" s="4"/>
      <c r="L342" s="4"/>
      <c r="M342" s="4"/>
      <c r="N342" s="4"/>
      <c r="O342" s="4"/>
      <c r="P342" s="4"/>
      <c r="Q342" s="4"/>
      <c r="R342" s="4"/>
      <c r="S342" s="4"/>
    </row>
    <row r="343" spans="2:37" ht="13.25" customHeight="1">
      <c r="B343" s="2"/>
      <c r="E343" s="1261" t="s">
        <v>1382</v>
      </c>
      <c r="F343" s="1261"/>
      <c r="G343" s="1261"/>
      <c r="H343" s="1261"/>
      <c r="I343" s="1261"/>
      <c r="J343" s="1261"/>
      <c r="K343" s="1261"/>
      <c r="L343" s="1261"/>
      <c r="M343" s="1261"/>
      <c r="N343" s="1261"/>
      <c r="O343" s="1261"/>
      <c r="P343" s="1261"/>
      <c r="Q343" s="1261"/>
      <c r="R343" s="1261"/>
      <c r="S343" s="1261"/>
      <c r="T343" s="1261"/>
      <c r="U343" s="1261"/>
      <c r="V343" s="1261"/>
      <c r="W343" s="1261"/>
      <c r="X343" s="1261"/>
      <c r="Y343" s="1261"/>
      <c r="Z343" s="1261"/>
      <c r="AA343" s="1261"/>
      <c r="AB343" s="1261"/>
      <c r="AC343" s="1261"/>
      <c r="AD343" s="1261"/>
      <c r="AE343" s="1261"/>
      <c r="AF343" s="1261"/>
      <c r="AG343" s="1261"/>
      <c r="AH343" s="1261"/>
      <c r="AI343" s="1261"/>
      <c r="AJ343" s="1261"/>
      <c r="AK343" s="1261"/>
    </row>
    <row r="344" spans="2:37" ht="13">
      <c r="B344" s="2"/>
      <c r="E344" s="1261"/>
      <c r="F344" s="1261"/>
      <c r="G344" s="1261"/>
      <c r="H344" s="1261"/>
      <c r="I344" s="1261"/>
      <c r="J344" s="1261"/>
      <c r="K344" s="1261"/>
      <c r="L344" s="1261"/>
      <c r="M344" s="1261"/>
      <c r="N344" s="1261"/>
      <c r="O344" s="1261"/>
      <c r="P344" s="1261"/>
      <c r="Q344" s="1261"/>
      <c r="R344" s="1261"/>
      <c r="S344" s="1261"/>
      <c r="T344" s="1261"/>
      <c r="U344" s="1261"/>
      <c r="V344" s="1261"/>
      <c r="W344" s="1261"/>
      <c r="X344" s="1261"/>
      <c r="Y344" s="1261"/>
      <c r="Z344" s="1261"/>
      <c r="AA344" s="1261"/>
      <c r="AB344" s="1261"/>
      <c r="AC344" s="1261"/>
      <c r="AD344" s="1261"/>
      <c r="AE344" s="1261"/>
      <c r="AF344" s="1261"/>
      <c r="AG344" s="1261"/>
      <c r="AH344" s="1261"/>
      <c r="AI344" s="1261"/>
      <c r="AJ344" s="1261"/>
      <c r="AK344" s="1261"/>
    </row>
    <row r="345" spans="2:37" ht="13">
      <c r="B345" s="2"/>
      <c r="E345" s="1261"/>
      <c r="F345" s="1261"/>
      <c r="G345" s="1261"/>
      <c r="H345" s="1261"/>
      <c r="I345" s="1261"/>
      <c r="J345" s="1261"/>
      <c r="K345" s="1261"/>
      <c r="L345" s="1261"/>
      <c r="M345" s="1261"/>
      <c r="N345" s="1261"/>
      <c r="O345" s="1261"/>
      <c r="P345" s="1261"/>
      <c r="Q345" s="1261"/>
      <c r="R345" s="1261"/>
      <c r="S345" s="1261"/>
      <c r="T345" s="1261"/>
      <c r="U345" s="1261"/>
      <c r="V345" s="1261"/>
      <c r="W345" s="1261"/>
      <c r="X345" s="1261"/>
      <c r="Y345" s="1261"/>
      <c r="Z345" s="1261"/>
      <c r="AA345" s="1261"/>
      <c r="AB345" s="1261"/>
      <c r="AC345" s="1261"/>
      <c r="AD345" s="1261"/>
      <c r="AE345" s="1261"/>
      <c r="AF345" s="1261"/>
      <c r="AG345" s="1261"/>
      <c r="AH345" s="1261"/>
      <c r="AI345" s="1261"/>
      <c r="AJ345" s="1261"/>
      <c r="AK345" s="1261"/>
    </row>
    <row r="346" spans="2:37" ht="13">
      <c r="B346" s="2"/>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t="s">
        <v>113</v>
      </c>
      <c r="F348" s="1259" t="s">
        <v>1384</v>
      </c>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c r="F350" s="1259"/>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E351" s="3"/>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E352" s="3" t="s">
        <v>114</v>
      </c>
      <c r="F352" s="1259" t="s">
        <v>1383</v>
      </c>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1259"/>
      <c r="G353" s="1259"/>
      <c r="H353" s="1259"/>
      <c r="I353" s="1259"/>
      <c r="J353" s="1259"/>
      <c r="K353" s="1259"/>
      <c r="L353" s="1259"/>
      <c r="M353" s="1259"/>
      <c r="N353" s="1259"/>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row>
    <row r="354" spans="1:38" ht="13">
      <c r="B354" s="2"/>
      <c r="F354" s="1259"/>
      <c r="G354" s="1259"/>
      <c r="H354" s="1259"/>
      <c r="I354" s="1259"/>
      <c r="J354" s="1259"/>
      <c r="K354" s="1259"/>
      <c r="L354" s="1259"/>
      <c r="M354" s="1259"/>
      <c r="N354" s="1259"/>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row>
    <row r="355" spans="1:38" ht="13">
      <c r="B355" s="2"/>
      <c r="F355" s="4"/>
      <c r="H355" s="4"/>
      <c r="I355" s="4"/>
      <c r="J355" s="4"/>
      <c r="K355" s="4"/>
      <c r="L355" s="4"/>
      <c r="M355" s="4"/>
      <c r="N355" s="4"/>
      <c r="O355" s="4"/>
      <c r="P355" s="4"/>
      <c r="Q355" s="4"/>
      <c r="R355" s="4"/>
      <c r="S355" s="4"/>
    </row>
    <row r="356" spans="1:38" ht="13">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38"/>
      <c r="E357" s="2"/>
      <c r="M357" s="4"/>
      <c r="N357" s="4"/>
      <c r="O357" s="4"/>
      <c r="P357" s="4"/>
      <c r="Q357" s="4"/>
      <c r="R357" s="4"/>
      <c r="S357" s="4"/>
      <c r="T357" s="4"/>
    </row>
    <row r="358" spans="1:38" ht="13.25" customHeight="1">
      <c r="B358" s="2"/>
      <c r="C358" s="11" t="s">
        <v>1362</v>
      </c>
      <c r="D358" s="5"/>
      <c r="E358" s="5"/>
      <c r="F358" s="5"/>
      <c r="G358" s="5"/>
      <c r="H358" s="5"/>
      <c r="I358" s="478"/>
      <c r="J358" s="478"/>
      <c r="K358" s="478"/>
      <c r="L358" s="478"/>
      <c r="M358" s="478"/>
      <c r="N358" s="478"/>
      <c r="O358" s="478"/>
      <c r="P358" s="478"/>
      <c r="Q358" s="478"/>
      <c r="R358" s="478"/>
      <c r="S358" s="478"/>
      <c r="T358" s="478"/>
      <c r="U358" s="478"/>
      <c r="V358" s="478"/>
      <c r="W358" s="478"/>
      <c r="X358" s="478"/>
      <c r="Y358" s="478"/>
      <c r="Z358" s="478"/>
      <c r="AA358" s="478"/>
      <c r="AB358" s="478"/>
      <c r="AC358" s="478"/>
      <c r="AD358" s="478"/>
      <c r="AE358" s="478"/>
      <c r="AF358" s="478"/>
      <c r="AG358" s="478"/>
      <c r="AH358" s="478"/>
      <c r="AI358" s="478"/>
      <c r="AJ358" s="478"/>
      <c r="AK358" s="478"/>
    </row>
    <row r="359" spans="1:38" ht="13.25" customHeight="1">
      <c r="B359" s="2"/>
      <c r="C359" s="2"/>
      <c r="E359" s="479"/>
      <c r="F359" s="479"/>
      <c r="G359" s="479"/>
      <c r="H359" s="479"/>
      <c r="I359" s="479"/>
      <c r="J359" s="479"/>
      <c r="K359" s="479"/>
      <c r="L359" s="479"/>
      <c r="M359" s="479"/>
      <c r="N359" s="479"/>
      <c r="O359" s="479"/>
      <c r="P359" s="479"/>
      <c r="Q359" s="479"/>
      <c r="R359" s="479"/>
      <c r="S359" s="479"/>
      <c r="T359" s="479"/>
      <c r="U359" s="479"/>
      <c r="V359" s="479"/>
      <c r="W359" s="479"/>
      <c r="X359" s="479"/>
      <c r="Y359" s="479"/>
      <c r="Z359" s="479"/>
      <c r="AA359" s="479"/>
      <c r="AB359" s="479"/>
      <c r="AC359" s="479"/>
      <c r="AD359" s="479"/>
      <c r="AE359" s="479"/>
      <c r="AF359" s="479"/>
      <c r="AG359" s="479"/>
      <c r="AH359" s="479"/>
      <c r="AI359" s="479"/>
      <c r="AJ359" s="479"/>
      <c r="AK359" s="479"/>
    </row>
    <row r="360" spans="1:38" ht="13">
      <c r="B360" s="2"/>
      <c r="D360" s="2" t="s">
        <v>209</v>
      </c>
      <c r="E360" s="2" t="s">
        <v>123</v>
      </c>
      <c r="I360" s="4"/>
      <c r="J360" s="4"/>
      <c r="K360" s="4"/>
      <c r="L360" s="4"/>
      <c r="M360" s="4"/>
      <c r="N360" s="4"/>
      <c r="O360" s="4"/>
      <c r="P360" s="4"/>
      <c r="Q360" s="4"/>
      <c r="R360" s="4"/>
      <c r="S360" s="4"/>
    </row>
    <row r="361" spans="1:38" ht="13">
      <c r="B361" s="2"/>
      <c r="E361" t="s">
        <v>113</v>
      </c>
      <c r="F361" s="4" t="s">
        <v>756</v>
      </c>
      <c r="I361" s="4"/>
      <c r="J361" s="4"/>
      <c r="K361" s="4"/>
      <c r="L361" s="4"/>
      <c r="M361" s="4"/>
      <c r="N361" s="4"/>
      <c r="O361" s="4"/>
      <c r="P361" s="4"/>
      <c r="Q361" s="4"/>
      <c r="R361" s="4"/>
      <c r="S361" s="4"/>
    </row>
    <row r="362" spans="1:38" ht="13">
      <c r="B362" s="2"/>
      <c r="F362" s="4" t="s">
        <v>757</v>
      </c>
      <c r="I362" s="4"/>
      <c r="J362" s="4"/>
      <c r="K362" s="4"/>
      <c r="L362" s="4"/>
      <c r="M362" s="4"/>
      <c r="N362" s="4"/>
      <c r="O362" s="4"/>
      <c r="P362" s="4"/>
      <c r="Q362" s="4"/>
      <c r="R362" s="4"/>
      <c r="S362" s="4"/>
    </row>
    <row r="363" spans="1:38" ht="13">
      <c r="B363" s="2"/>
      <c r="F363" s="4" t="s">
        <v>901</v>
      </c>
      <c r="G363" s="4"/>
      <c r="K363" s="4"/>
      <c r="L363" s="4"/>
      <c r="M363" s="4"/>
      <c r="N363" s="4"/>
      <c r="O363" s="4"/>
      <c r="P363" s="4"/>
      <c r="Q363" s="4"/>
      <c r="R363" s="4"/>
      <c r="S363" s="4"/>
    </row>
    <row r="364" spans="1:38" ht="13">
      <c r="B364" s="2"/>
      <c r="E364" t="s">
        <v>114</v>
      </c>
      <c r="F364" s="4" t="s">
        <v>900</v>
      </c>
      <c r="I364" s="4"/>
      <c r="J364" s="4"/>
      <c r="K364" s="4"/>
      <c r="L364" s="4"/>
      <c r="M364" s="4"/>
      <c r="N364" s="4"/>
      <c r="O364" s="4"/>
      <c r="P364" s="4"/>
      <c r="Q364" s="4"/>
      <c r="R364" s="4"/>
      <c r="S364" s="4"/>
    </row>
    <row r="365" spans="1:38" ht="13">
      <c r="B365" s="2"/>
      <c r="E365" t="s">
        <v>120</v>
      </c>
      <c r="F365" s="4" t="s">
        <v>758</v>
      </c>
      <c r="I365" s="4"/>
      <c r="J365" s="4"/>
      <c r="K365" s="4"/>
      <c r="L365" s="4"/>
      <c r="M365" s="4"/>
      <c r="N365" s="4"/>
      <c r="O365" s="4"/>
      <c r="P365" s="4"/>
      <c r="Q365" s="4"/>
      <c r="R365" s="4"/>
      <c r="S365" s="4"/>
    </row>
    <row r="366" spans="1:38" ht="13">
      <c r="B366" s="2"/>
      <c r="F366" s="4" t="s">
        <v>759</v>
      </c>
      <c r="J366" s="4"/>
      <c r="K366" s="4"/>
      <c r="L366" s="4"/>
      <c r="M366" s="4"/>
      <c r="N366" s="4"/>
      <c r="O366" s="4"/>
      <c r="P366" s="4"/>
      <c r="Q366" s="4"/>
      <c r="R366" s="4"/>
      <c r="S366" s="4"/>
    </row>
    <row r="367" spans="1:38" ht="13">
      <c r="B367" s="2"/>
      <c r="E367" s="1262" t="s">
        <v>1373</v>
      </c>
      <c r="F367" s="1262"/>
      <c r="G367" s="1262"/>
      <c r="H367" s="1262"/>
      <c r="I367" s="1262"/>
      <c r="J367" s="1262"/>
      <c r="K367" s="1262"/>
      <c r="L367" s="1262"/>
      <c r="M367" s="1262"/>
      <c r="N367" s="1262"/>
      <c r="O367" s="1262"/>
      <c r="P367" s="1262"/>
      <c r="Q367" s="1262"/>
      <c r="R367" s="1262"/>
      <c r="S367" s="1262"/>
      <c r="T367" s="1262"/>
      <c r="U367" s="1262"/>
      <c r="V367" s="1262"/>
      <c r="W367" s="1262"/>
      <c r="X367" s="1262"/>
      <c r="Y367" s="1262"/>
      <c r="Z367" s="1262"/>
      <c r="AA367" s="1262"/>
      <c r="AB367" s="1262"/>
      <c r="AC367" s="1262"/>
      <c r="AD367" s="1262"/>
      <c r="AE367" s="1262"/>
      <c r="AF367" s="1262"/>
      <c r="AG367" s="1262"/>
      <c r="AH367" s="1262"/>
      <c r="AI367" s="1262"/>
      <c r="AJ367" s="1262"/>
      <c r="AK367" s="1262"/>
      <c r="AL367" s="1262"/>
    </row>
    <row r="368" spans="1:38" ht="13">
      <c r="B368" s="2"/>
      <c r="E368" s="1262"/>
      <c r="F368" s="1262"/>
      <c r="G368" s="1262"/>
      <c r="H368" s="1262"/>
      <c r="I368" s="1262"/>
      <c r="J368" s="1262"/>
      <c r="K368" s="1262"/>
      <c r="L368" s="1262"/>
      <c r="M368" s="1262"/>
      <c r="N368" s="1262"/>
      <c r="O368" s="1262"/>
      <c r="P368" s="1262"/>
      <c r="Q368" s="1262"/>
      <c r="R368" s="1262"/>
      <c r="S368" s="1262"/>
      <c r="T368" s="1262"/>
      <c r="U368" s="1262"/>
      <c r="V368" s="1262"/>
      <c r="W368" s="1262"/>
      <c r="X368" s="1262"/>
      <c r="Y368" s="1262"/>
      <c r="Z368" s="1262"/>
      <c r="AA368" s="1262"/>
      <c r="AB368" s="1262"/>
      <c r="AC368" s="1262"/>
      <c r="AD368" s="1262"/>
      <c r="AE368" s="1262"/>
      <c r="AF368" s="1262"/>
      <c r="AG368" s="1262"/>
      <c r="AH368" s="1262"/>
      <c r="AI368" s="1262"/>
      <c r="AJ368" s="1262"/>
      <c r="AK368" s="1262"/>
      <c r="AL368" s="1262"/>
    </row>
    <row r="369" spans="1:37" s="1264" customFormat="1" ht="13">
      <c r="A369"/>
      <c r="B369" s="2"/>
      <c r="C369"/>
      <c r="D369"/>
      <c r="E369" s="1263" t="s">
        <v>1416</v>
      </c>
    </row>
    <row r="370" spans="1:37" s="1264" customFormat="1" ht="13">
      <c r="A370"/>
      <c r="B370" s="2"/>
      <c r="C370" s="2"/>
      <c r="D370"/>
    </row>
    <row r="371" spans="1:37" ht="13">
      <c r="B371" s="2"/>
      <c r="E371" s="4"/>
      <c r="F371" s="481"/>
      <c r="G371" s="481"/>
      <c r="H371" s="481"/>
      <c r="I371" s="481"/>
      <c r="J371" s="481"/>
      <c r="K371" s="481"/>
      <c r="L371" s="481"/>
      <c r="M371" s="481"/>
      <c r="N371" s="481"/>
      <c r="O371" s="481"/>
      <c r="P371" s="481"/>
      <c r="Q371" s="481"/>
      <c r="R371" s="481"/>
      <c r="S371" s="481"/>
      <c r="T371" s="481"/>
      <c r="U371" s="481"/>
      <c r="V371" s="481"/>
      <c r="W371" s="481"/>
      <c r="X371" s="481"/>
      <c r="Y371" s="481"/>
      <c r="Z371" s="481"/>
      <c r="AA371" s="481"/>
      <c r="AB371" s="481"/>
      <c r="AC371" s="481"/>
      <c r="AD371" s="481"/>
      <c r="AE371" s="481"/>
      <c r="AF371" s="481"/>
      <c r="AG371" s="481"/>
      <c r="AH371" s="481"/>
      <c r="AI371" s="481"/>
      <c r="AJ371" s="481"/>
      <c r="AK371" s="481"/>
    </row>
    <row r="372" spans="1:37" ht="13">
      <c r="B372" s="2"/>
      <c r="D372" s="2" t="s">
        <v>343</v>
      </c>
      <c r="E372" s="2" t="s">
        <v>578</v>
      </c>
      <c r="J372" s="4"/>
      <c r="K372" s="4"/>
      <c r="L372" s="4"/>
      <c r="M372" s="4"/>
      <c r="N372" s="4"/>
      <c r="O372" s="4"/>
      <c r="P372" s="4"/>
      <c r="Q372" s="4"/>
      <c r="R372" s="4"/>
      <c r="S372" s="4"/>
    </row>
    <row r="373" spans="1:37" ht="13">
      <c r="B373" s="2"/>
      <c r="E373" s="4" t="s">
        <v>760</v>
      </c>
      <c r="F373" s="4"/>
      <c r="G373" s="4"/>
      <c r="H373" s="4"/>
      <c r="I373" s="4"/>
      <c r="J373" s="4"/>
      <c r="K373" s="4"/>
      <c r="L373" s="4"/>
      <c r="M373" s="4"/>
      <c r="N373" s="4"/>
      <c r="O373" s="4"/>
      <c r="P373" s="4"/>
      <c r="Q373" s="4"/>
      <c r="R373" s="4"/>
      <c r="S373" s="4"/>
    </row>
    <row r="374" spans="1:37" ht="13">
      <c r="B374" s="2"/>
      <c r="E374" s="4" t="s">
        <v>761</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584</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524</v>
      </c>
      <c r="E381" s="2" t="s">
        <v>1417</v>
      </c>
      <c r="J381" s="3"/>
      <c r="K381" s="3"/>
      <c r="L381" s="3"/>
      <c r="M381" s="3"/>
      <c r="N381" s="3"/>
      <c r="O381" s="3"/>
      <c r="P381" s="3"/>
      <c r="Q381" s="3"/>
      <c r="R381" s="3"/>
      <c r="S381" s="3"/>
    </row>
    <row r="382" spans="1:37" ht="13">
      <c r="B382" s="2"/>
      <c r="D382" s="2"/>
      <c r="E382" s="3" t="s">
        <v>760</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59" t="s">
        <v>1428</v>
      </c>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3"/>
      <c r="F389" s="1259"/>
      <c r="G389" s="1259"/>
      <c r="H389" s="1259"/>
      <c r="I389" s="1259"/>
      <c r="J389" s="1259"/>
      <c r="K389" s="1259"/>
      <c r="L389" s="1259"/>
      <c r="M389" s="1259"/>
      <c r="N389" s="1259"/>
      <c r="O389" s="1259"/>
      <c r="P389" s="1259"/>
      <c r="Q389" s="1259"/>
      <c r="R389" s="1259"/>
      <c r="S389" s="1259"/>
      <c r="T389" s="1259"/>
      <c r="U389" s="1259"/>
      <c r="V389" s="1259"/>
      <c r="W389" s="1259"/>
      <c r="X389" s="1259"/>
      <c r="Y389" s="1259"/>
      <c r="Z389" s="1259"/>
      <c r="AA389" s="1259"/>
      <c r="AB389" s="1259"/>
      <c r="AC389" s="1259"/>
      <c r="AD389" s="1259"/>
      <c r="AE389" s="1259"/>
      <c r="AF389" s="1259"/>
      <c r="AG389" s="1259"/>
      <c r="AH389" s="1259"/>
      <c r="AI389" s="1259"/>
      <c r="AJ389" s="1259"/>
      <c r="AK389" s="1259"/>
    </row>
    <row r="390" spans="1:38" ht="13">
      <c r="B390" s="2"/>
      <c r="E390" s="3"/>
      <c r="F390" s="1259"/>
      <c r="G390" s="1259"/>
      <c r="H390" s="1259"/>
      <c r="I390" s="1259"/>
      <c r="J390" s="1259"/>
      <c r="K390" s="1259"/>
      <c r="L390" s="1259"/>
      <c r="M390" s="1259"/>
      <c r="N390" s="1259"/>
      <c r="O390" s="1259"/>
      <c r="P390" s="1259"/>
      <c r="Q390" s="1259"/>
      <c r="R390" s="1259"/>
      <c r="S390" s="1259"/>
      <c r="T390" s="1259"/>
      <c r="U390" s="1259"/>
      <c r="V390" s="1259"/>
      <c r="W390" s="1259"/>
      <c r="X390" s="1259"/>
      <c r="Y390" s="1259"/>
      <c r="Z390" s="1259"/>
      <c r="AA390" s="1259"/>
      <c r="AB390" s="1259"/>
      <c r="AC390" s="1259"/>
      <c r="AD390" s="1259"/>
      <c r="AE390" s="1259"/>
      <c r="AF390" s="1259"/>
      <c r="AG390" s="1259"/>
      <c r="AH390" s="1259"/>
      <c r="AI390" s="1259"/>
      <c r="AJ390" s="1259"/>
      <c r="AK390" s="1259"/>
    </row>
    <row r="391" spans="1:38" ht="13">
      <c r="B391" s="2"/>
      <c r="E391" s="4"/>
      <c r="F391" s="466"/>
      <c r="G391" s="466"/>
      <c r="H391" s="466"/>
      <c r="I391" s="466"/>
      <c r="J391" s="466"/>
      <c r="K391" s="466"/>
      <c r="L391" s="466"/>
      <c r="M391" s="466"/>
      <c r="N391" s="466"/>
      <c r="O391" s="466"/>
      <c r="P391" s="466"/>
      <c r="Q391" s="466"/>
      <c r="R391" s="466"/>
      <c r="S391" s="466"/>
      <c r="T391" s="466"/>
      <c r="U391" s="466"/>
      <c r="V391" s="466"/>
      <c r="W391" s="466"/>
      <c r="X391" s="466"/>
      <c r="Y391" s="466"/>
      <c r="Z391" s="466"/>
      <c r="AA391" s="466"/>
      <c r="AB391" s="466"/>
      <c r="AC391" s="466"/>
      <c r="AD391" s="466"/>
      <c r="AE391" s="466"/>
      <c r="AF391" s="466"/>
      <c r="AG391" s="466"/>
      <c r="AH391" s="466"/>
      <c r="AI391" s="466"/>
      <c r="AJ391" s="466"/>
      <c r="AK391" s="466"/>
      <c r="AL391" s="479"/>
    </row>
    <row r="392" spans="1:38" ht="13">
      <c r="B392" s="2"/>
      <c r="C392" s="2"/>
      <c r="D392" s="2" t="s">
        <v>431</v>
      </c>
      <c r="E392" s="2" t="s">
        <v>1434</v>
      </c>
      <c r="F392" s="3"/>
      <c r="G392" s="2"/>
      <c r="I392" s="120"/>
      <c r="J392" s="3"/>
      <c r="K392" s="3"/>
      <c r="L392" s="3"/>
      <c r="M392" s="3"/>
      <c r="N392" s="3"/>
      <c r="O392" s="3"/>
      <c r="P392" s="3"/>
      <c r="Q392" s="3"/>
      <c r="R392" s="3"/>
      <c r="S392" s="3"/>
    </row>
    <row r="393" spans="1:38" ht="13.25" customHeight="1">
      <c r="B393" s="2"/>
      <c r="D393" s="2"/>
      <c r="E393" s="3" t="s">
        <v>1433</v>
      </c>
      <c r="F393" s="481"/>
      <c r="G393" s="481"/>
      <c r="H393" s="481"/>
      <c r="I393" s="481"/>
      <c r="J393" s="481"/>
      <c r="K393" s="481"/>
      <c r="L393" s="481"/>
      <c r="M393" s="481"/>
      <c r="N393" s="481"/>
      <c r="O393" s="481"/>
      <c r="P393" s="481"/>
      <c r="Q393" s="481"/>
      <c r="R393" s="481"/>
      <c r="S393" s="481"/>
      <c r="T393" s="481"/>
      <c r="U393" s="481"/>
      <c r="V393" s="481"/>
      <c r="W393" s="481"/>
      <c r="X393" s="481"/>
      <c r="Y393" s="481"/>
      <c r="Z393" s="481"/>
      <c r="AA393" s="481"/>
      <c r="AB393" s="481"/>
      <c r="AC393" s="481"/>
      <c r="AD393" s="481"/>
      <c r="AE393" s="481"/>
      <c r="AF393" s="481"/>
      <c r="AG393" s="481"/>
      <c r="AH393" s="481"/>
      <c r="AI393" s="481"/>
      <c r="AJ393" s="481"/>
      <c r="AK393" s="481"/>
    </row>
    <row r="394" spans="1:38" ht="13">
      <c r="B394" s="2"/>
      <c r="E394" t="s">
        <v>1295</v>
      </c>
      <c r="F394" s="478"/>
      <c r="G394" s="478"/>
      <c r="H394" s="478"/>
      <c r="I394" s="478"/>
      <c r="J394" s="478"/>
      <c r="K394" s="478"/>
      <c r="L394" s="478"/>
      <c r="M394" s="478"/>
      <c r="N394" s="478"/>
      <c r="O394" s="478"/>
      <c r="P394" s="478"/>
      <c r="Q394" s="478"/>
      <c r="R394" s="478"/>
      <c r="S394" s="478"/>
      <c r="T394" s="478"/>
      <c r="U394" s="478"/>
      <c r="V394" s="478"/>
      <c r="W394" s="478"/>
      <c r="X394" s="478"/>
      <c r="Y394" s="478"/>
      <c r="Z394" s="478"/>
      <c r="AA394" s="478"/>
      <c r="AB394" s="478"/>
      <c r="AC394" s="478"/>
      <c r="AD394" s="478"/>
      <c r="AE394" s="478"/>
      <c r="AF394" s="478"/>
      <c r="AG394" s="478"/>
      <c r="AH394" s="478"/>
      <c r="AI394" s="478"/>
      <c r="AJ394" s="478"/>
      <c r="AK394" s="478"/>
      <c r="AL394" s="478"/>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22" zoomScaleNormal="100" workbookViewId="0">
      <selection activeCell="N10" sqref="N10:T10"/>
    </sheetView>
  </sheetViews>
  <sheetFormatPr defaultColWidth="2.6328125" defaultRowHeight="15.75" customHeight="1"/>
  <cols>
    <col min="1" max="37" width="2.6328125" style="1186"/>
    <col min="38" max="38" width="3" style="1186" customWidth="1"/>
    <col min="39" max="64" width="2.6328125" style="1186"/>
    <col min="65" max="65" width="10.453125" style="1186" hidden="1" customWidth="1"/>
    <col min="66" max="70" width="5.453125" style="1186" bestFit="1" customWidth="1"/>
    <col min="71" max="71" width="6.08984375" style="1186" bestFit="1" customWidth="1"/>
    <col min="72" max="76" width="5.453125" style="1186" bestFit="1" customWidth="1"/>
    <col min="77" max="77" width="6.08984375" style="1186" bestFit="1" customWidth="1"/>
    <col min="78" max="78" width="5.453125" style="1186" bestFit="1" customWidth="1"/>
    <col min="79" max="16384" width="2.6328125" style="1186"/>
  </cols>
  <sheetData>
    <row r="1" spans="1:65" ht="15.75" customHeight="1">
      <c r="A1" s="2464" t="s">
        <v>2521</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6"/>
    </row>
    <row r="2" spans="1:65" ht="15.75" customHeight="1">
      <c r="A2" s="2467" t="s">
        <v>2569</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666</v>
      </c>
      <c r="C4" s="1191"/>
      <c r="D4" s="1191"/>
      <c r="E4" s="1191"/>
      <c r="F4" s="1191"/>
      <c r="G4" s="1189"/>
      <c r="H4" s="1189"/>
      <c r="I4" s="1189"/>
      <c r="J4" s="1189"/>
      <c r="K4" s="1189"/>
      <c r="L4" s="2456" t="str">
        <f>IF(Application!H18="","",Application!H18)</f>
        <v>Colibri Commons (fka 965 Weeks Street)</v>
      </c>
      <c r="M4" s="2457"/>
      <c r="N4" s="2457"/>
      <c r="O4" s="2457"/>
      <c r="P4" s="2457"/>
      <c r="Q4" s="2457"/>
      <c r="R4" s="2457"/>
      <c r="S4" s="2457"/>
      <c r="T4" s="2457"/>
      <c r="U4" s="2457"/>
      <c r="V4" s="2457"/>
      <c r="W4" s="2457"/>
      <c r="X4" s="2457"/>
      <c r="Y4" s="2457"/>
      <c r="Z4" s="2457"/>
      <c r="AA4" s="2457"/>
      <c r="AB4" s="2457"/>
      <c r="AC4" s="2458"/>
      <c r="AD4" s="1189"/>
      <c r="AE4" s="1189"/>
      <c r="AF4" s="2470" t="s">
        <v>2570</v>
      </c>
      <c r="AG4" s="2470"/>
      <c r="AH4" s="2470"/>
      <c r="AI4" s="2470"/>
      <c r="AJ4" s="2470"/>
      <c r="AK4" s="2470"/>
      <c r="AL4" s="2470"/>
      <c r="AM4" s="2470"/>
      <c r="AN4" s="2470"/>
      <c r="AO4" s="2470"/>
      <c r="AP4" s="2471"/>
      <c r="AQ4" s="2472"/>
      <c r="AR4" s="2472"/>
      <c r="AS4" s="2472"/>
      <c r="AT4" s="2472"/>
      <c r="AU4" s="2472"/>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470" t="s">
        <v>2571</v>
      </c>
      <c r="AG5" s="2470"/>
      <c r="AH5" s="2470"/>
      <c r="AI5" s="2470"/>
      <c r="AJ5" s="2470"/>
      <c r="AK5" s="2470"/>
      <c r="AL5" s="2470"/>
      <c r="AM5" s="2470"/>
      <c r="AN5" s="2470"/>
      <c r="AO5" s="2470"/>
      <c r="AP5" s="2471"/>
      <c r="AQ5" s="2472"/>
      <c r="AR5" s="2472"/>
      <c r="AS5" s="2472"/>
      <c r="AT5" s="2472"/>
      <c r="AU5" s="2472"/>
      <c r="AV5" s="1189"/>
      <c r="AW5" s="1189"/>
      <c r="AX5" s="1189"/>
      <c r="AY5" s="1189"/>
      <c r="AZ5" s="1189"/>
      <c r="BA5" s="1189"/>
      <c r="BB5" s="1189"/>
      <c r="BC5" s="1189"/>
      <c r="BD5" s="1189"/>
      <c r="BE5" s="1190"/>
    </row>
    <row r="6" spans="1:65" ht="15.75" customHeight="1" thickBot="1">
      <c r="A6" s="1188"/>
      <c r="B6" s="1191" t="s">
        <v>1858</v>
      </c>
      <c r="C6" s="1189"/>
      <c r="D6" s="1189"/>
      <c r="E6" s="1189"/>
      <c r="F6" s="1189"/>
      <c r="G6" s="1189"/>
      <c r="H6" s="1189"/>
      <c r="I6" s="1189"/>
      <c r="J6" s="1189"/>
      <c r="K6" s="1189"/>
      <c r="L6" s="2456" t="str">
        <f>IF(Application!H16="","",Application!H16)</f>
        <v xml:space="preserve">MP 965 Weeks Street Associates, L.P. </v>
      </c>
      <c r="M6" s="2457"/>
      <c r="N6" s="2457"/>
      <c r="O6" s="2457"/>
      <c r="P6" s="2457"/>
      <c r="Q6" s="2457"/>
      <c r="R6" s="2457"/>
      <c r="S6" s="2457"/>
      <c r="T6" s="2457"/>
      <c r="U6" s="2457"/>
      <c r="V6" s="2457"/>
      <c r="W6" s="2457"/>
      <c r="X6" s="2457"/>
      <c r="Y6" s="2457"/>
      <c r="Z6" s="2457"/>
      <c r="AA6" s="2457"/>
      <c r="AB6" s="2457"/>
      <c r="AC6" s="2458"/>
      <c r="AD6" s="1189"/>
      <c r="AE6" s="1189"/>
      <c r="AF6" s="2459" t="s">
        <v>2572</v>
      </c>
      <c r="AG6" s="2459"/>
      <c r="AH6" s="2459"/>
      <c r="AI6" s="2459"/>
      <c r="AJ6" s="2459"/>
      <c r="AK6" s="2459"/>
      <c r="AL6" s="2459"/>
      <c r="AM6" s="2459"/>
      <c r="AN6" s="2459"/>
      <c r="AO6" s="2459"/>
      <c r="AP6" s="2460">
        <v>0</v>
      </c>
      <c r="AQ6" s="2460"/>
      <c r="AR6" s="2460"/>
      <c r="AS6" s="2460"/>
      <c r="AT6" s="2460"/>
      <c r="AU6" s="2460"/>
      <c r="AV6" s="1189"/>
      <c r="AW6" s="1189"/>
      <c r="AX6" s="1189"/>
      <c r="AY6" s="1189"/>
      <c r="AZ6" s="1189"/>
      <c r="BA6" s="1189"/>
      <c r="BB6" s="1189"/>
      <c r="BC6" s="1189"/>
      <c r="BD6" s="1189"/>
      <c r="BE6" s="1190"/>
    </row>
    <row r="7" spans="1:65" ht="1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459" t="s">
        <v>2573</v>
      </c>
      <c r="AG7" s="2459"/>
      <c r="AH7" s="2459"/>
      <c r="AI7" s="2459"/>
      <c r="AJ7" s="2459"/>
      <c r="AK7" s="2459"/>
      <c r="AL7" s="2459"/>
      <c r="AM7" s="2459"/>
      <c r="AN7" s="2459"/>
      <c r="AO7" s="2459"/>
      <c r="AP7" s="2460">
        <v>0</v>
      </c>
      <c r="AQ7" s="2460"/>
      <c r="AR7" s="2460"/>
      <c r="AS7" s="2460"/>
      <c r="AT7" s="2460"/>
      <c r="AU7" s="2460"/>
      <c r="AV7" s="1189"/>
      <c r="AW7" s="1189"/>
      <c r="AX7" s="1189"/>
      <c r="AY7" s="1189"/>
      <c r="AZ7" s="1189"/>
      <c r="BA7" s="1189"/>
      <c r="BB7" s="1189"/>
      <c r="BC7" s="1189"/>
      <c r="BD7" s="1189"/>
      <c r="BE7" s="1190"/>
    </row>
    <row r="8" spans="1:65" ht="15" thickBot="1">
      <c r="A8" s="1188"/>
      <c r="B8" s="1191" t="s">
        <v>1859</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461" t="str">
        <f>Application!T196</f>
        <v>No</v>
      </c>
      <c r="AC8" s="2462"/>
      <c r="AD8" s="2463"/>
      <c r="AE8" s="1189"/>
      <c r="AF8" s="2459" t="s">
        <v>2574</v>
      </c>
      <c r="AG8" s="2459"/>
      <c r="AH8" s="2459"/>
      <c r="AI8" s="2459"/>
      <c r="AJ8" s="2459"/>
      <c r="AK8" s="2459"/>
      <c r="AL8" s="2459"/>
      <c r="AM8" s="2459"/>
      <c r="AN8" s="2459"/>
      <c r="AO8" s="2459"/>
      <c r="AP8" s="2460" t="s">
        <v>2526</v>
      </c>
      <c r="AQ8" s="2460"/>
      <c r="AR8" s="2460"/>
      <c r="AS8" s="2460"/>
      <c r="AT8" s="2460"/>
      <c r="AU8" s="2460"/>
      <c r="AV8" s="1189"/>
      <c r="AW8" s="1189"/>
      <c r="AX8" s="1189"/>
      <c r="AY8" s="1189"/>
      <c r="AZ8" s="1189"/>
      <c r="BA8" s="1189"/>
      <c r="BB8" s="1189"/>
      <c r="BC8" s="1189"/>
      <c r="BD8" s="1189"/>
      <c r="BE8" s="1190"/>
      <c r="BM8" s="1186" t="s">
        <v>2377</v>
      </c>
    </row>
    <row r="9" spans="1:65" ht="14.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1189"/>
      <c r="AG9" s="1189"/>
      <c r="AH9" s="1189"/>
      <c r="AI9" s="1189"/>
      <c r="AJ9" s="1189"/>
      <c r="AK9" s="1189"/>
      <c r="AL9" s="1189"/>
      <c r="AM9" s="1189"/>
      <c r="AN9" s="1189"/>
      <c r="AO9" s="1189"/>
      <c r="AP9" s="1189"/>
      <c r="AQ9" s="1192"/>
      <c r="AR9" s="1192"/>
      <c r="AS9" s="1189"/>
      <c r="AT9" s="1189"/>
      <c r="AU9" s="1189"/>
      <c r="AV9" s="1189"/>
      <c r="AW9" s="1189"/>
      <c r="AX9" s="1189"/>
      <c r="AY9" s="1189"/>
      <c r="AZ9" s="1189"/>
      <c r="BA9" s="1189"/>
      <c r="BB9" s="1189"/>
      <c r="BC9" s="1189"/>
      <c r="BD9" s="1189"/>
      <c r="BE9" s="1190"/>
      <c r="BM9" s="1186" t="s">
        <v>2575</v>
      </c>
    </row>
    <row r="10" spans="1:65" ht="14.5">
      <c r="A10" s="1188"/>
      <c r="B10" s="1191" t="s">
        <v>1860</v>
      </c>
      <c r="C10" s="1191"/>
      <c r="D10" s="1191"/>
      <c r="E10" s="1191"/>
      <c r="F10" s="1191"/>
      <c r="G10" s="1191"/>
      <c r="H10" s="1191"/>
      <c r="I10" s="1191"/>
      <c r="J10" s="1191"/>
      <c r="K10" s="1191"/>
      <c r="L10" s="1191"/>
      <c r="M10" s="1189"/>
      <c r="N10" s="2452">
        <f>Application!AO623</f>
        <v>13204000</v>
      </c>
      <c r="O10" s="2452"/>
      <c r="P10" s="2452"/>
      <c r="Q10" s="2452"/>
      <c r="R10" s="2452"/>
      <c r="S10" s="2452"/>
      <c r="T10" s="2452"/>
      <c r="U10" s="1189"/>
      <c r="V10" s="1189"/>
      <c r="W10" s="1189"/>
      <c r="X10" s="2438" t="s">
        <v>2576</v>
      </c>
      <c r="Y10" s="2438"/>
      <c r="Z10" s="2438"/>
      <c r="AA10" s="2438"/>
      <c r="AB10" s="2438"/>
      <c r="AC10" s="2438"/>
      <c r="AD10" s="2438"/>
      <c r="AE10" s="2438"/>
      <c r="AF10" s="2438"/>
      <c r="AG10" s="2438"/>
      <c r="AH10" s="2438"/>
      <c r="AI10" s="2438"/>
      <c r="AJ10" s="2438"/>
      <c r="AK10" s="2438"/>
      <c r="AL10" s="2453">
        <f>Application!W471</f>
        <v>25</v>
      </c>
      <c r="AM10" s="2454"/>
      <c r="AN10" s="2454"/>
      <c r="AO10" s="2454"/>
      <c r="AP10" s="2454"/>
      <c r="AQ10" s="1192"/>
      <c r="AR10" s="1192"/>
      <c r="AS10" s="1192"/>
      <c r="AT10" s="1192"/>
      <c r="AU10" s="1192"/>
      <c r="AV10" s="1192"/>
      <c r="AW10" s="1192"/>
      <c r="AX10" s="1189"/>
      <c r="AY10" s="1189"/>
      <c r="AZ10" s="1189"/>
      <c r="BA10" s="1189"/>
      <c r="BB10" s="1189"/>
      <c r="BC10" s="1189"/>
      <c r="BD10" s="1189"/>
      <c r="BE10" s="1190"/>
      <c r="BM10" s="1186" t="s">
        <v>2577</v>
      </c>
    </row>
    <row r="11" spans="1:65" ht="14.5">
      <c r="A11" s="1188"/>
      <c r="B11" s="1191" t="s">
        <v>1861</v>
      </c>
      <c r="C11" s="1191"/>
      <c r="D11" s="1191"/>
      <c r="E11" s="1191"/>
      <c r="F11" s="1191"/>
      <c r="G11" s="1191"/>
      <c r="H11" s="1191"/>
      <c r="I11" s="1191"/>
      <c r="J11" s="1191"/>
      <c r="K11" s="1191"/>
      <c r="L11" s="1191"/>
      <c r="M11" s="1189"/>
      <c r="N11" s="2452">
        <f>Application!AA911</f>
        <v>0</v>
      </c>
      <c r="O11" s="2452"/>
      <c r="P11" s="2452"/>
      <c r="Q11" s="2452"/>
      <c r="R11" s="2452"/>
      <c r="S11" s="2452"/>
      <c r="T11" s="2452"/>
      <c r="U11" s="1189"/>
      <c r="V11" s="1189"/>
      <c r="W11" s="1189"/>
      <c r="X11" s="2455" t="s">
        <v>2578</v>
      </c>
      <c r="Y11" s="2455"/>
      <c r="Z11" s="2455"/>
      <c r="AA11" s="2455"/>
      <c r="AB11" s="2455"/>
      <c r="AC11" s="2455"/>
      <c r="AD11" s="2455"/>
      <c r="AE11" s="2455"/>
      <c r="AF11" s="2455"/>
      <c r="AG11" s="2455"/>
      <c r="AH11" s="2455"/>
      <c r="AI11" s="2455"/>
      <c r="AJ11" s="2455"/>
      <c r="AK11" s="2455"/>
      <c r="AL11" s="2439"/>
      <c r="AM11" s="2440"/>
      <c r="AN11" s="2440"/>
      <c r="AO11" s="2440"/>
      <c r="AP11" s="2440"/>
      <c r="AQ11" s="1193"/>
      <c r="AR11" s="1194"/>
      <c r="AS11" s="1192"/>
      <c r="AT11" s="1192"/>
      <c r="AU11" s="1192"/>
      <c r="AV11" s="1192"/>
      <c r="AW11" s="1192"/>
      <c r="AX11" s="1189"/>
      <c r="AY11" s="1189"/>
      <c r="AZ11" s="1189"/>
      <c r="BA11" s="1189"/>
      <c r="BB11" s="1189"/>
      <c r="BC11" s="1189"/>
      <c r="BD11" s="1189"/>
      <c r="BE11" s="1190"/>
      <c r="BM11" s="1186" t="s">
        <v>2526</v>
      </c>
    </row>
    <row r="12" spans="1:65" ht="1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2438" t="s">
        <v>2579</v>
      </c>
      <c r="Y12" s="2438"/>
      <c r="Z12" s="2438"/>
      <c r="AA12" s="2438"/>
      <c r="AB12" s="2438"/>
      <c r="AC12" s="2438"/>
      <c r="AD12" s="2438"/>
      <c r="AE12" s="2438"/>
      <c r="AF12" s="2438"/>
      <c r="AG12" s="2438"/>
      <c r="AH12" s="2438"/>
      <c r="AI12" s="2438"/>
      <c r="AJ12" s="2438"/>
      <c r="AK12" s="2438"/>
      <c r="AL12" s="2439"/>
      <c r="AM12" s="2440"/>
      <c r="AN12" s="2440"/>
      <c r="AO12" s="2440"/>
      <c r="AP12" s="2440"/>
      <c r="AQ12" s="1192"/>
      <c r="AR12" s="1192"/>
      <c r="AS12" s="1192"/>
      <c r="AT12" s="1192"/>
      <c r="AU12" s="1192"/>
      <c r="AV12" s="1189"/>
      <c r="AW12" s="1189"/>
      <c r="AX12" s="1189"/>
      <c r="AY12" s="1189"/>
      <c r="AZ12" s="1189"/>
      <c r="BA12" s="1189"/>
      <c r="BB12" s="1189"/>
      <c r="BC12" s="1189"/>
      <c r="BD12" s="1189"/>
      <c r="BE12" s="1195"/>
      <c r="BM12" s="1186" t="s">
        <v>2580</v>
      </c>
    </row>
    <row r="13" spans="1:65" ht="15" thickBot="1">
      <c r="A13" s="1189"/>
      <c r="B13" s="2441" t="s">
        <v>1862</v>
      </c>
      <c r="C13" s="2442"/>
      <c r="D13" s="2442"/>
      <c r="E13" s="2442"/>
      <c r="F13" s="2442"/>
      <c r="G13" s="2442"/>
      <c r="H13" s="2442"/>
      <c r="I13" s="2442"/>
      <c r="J13" s="2442"/>
      <c r="K13" s="2442"/>
      <c r="L13" s="2442"/>
      <c r="M13" s="2442"/>
      <c r="N13" s="2442"/>
      <c r="O13" s="2442"/>
      <c r="P13" s="2443"/>
      <c r="Q13" s="2444" t="s">
        <v>679</v>
      </c>
      <c r="R13" s="2445"/>
      <c r="S13" s="2445"/>
      <c r="T13" s="2446"/>
      <c r="U13" s="1192"/>
      <c r="V13" s="1189"/>
      <c r="W13" s="1189"/>
      <c r="X13" s="1189"/>
      <c r="Y13" s="1189"/>
      <c r="Z13" s="1189"/>
      <c r="AA13" s="1192"/>
      <c r="AB13" s="1192"/>
      <c r="AC13" s="1192"/>
      <c r="AD13" s="1192"/>
      <c r="AE13" s="1192"/>
      <c r="AF13" s="1192"/>
      <c r="AG13" s="1192"/>
      <c r="AH13" s="1192"/>
      <c r="AI13" s="1192"/>
      <c r="AJ13" s="1192"/>
      <c r="AK13" s="1192"/>
      <c r="AL13" s="1192"/>
      <c r="AM13" s="1192"/>
      <c r="AN13" s="1192"/>
      <c r="AO13" s="1192"/>
      <c r="AP13" s="1192"/>
      <c r="AQ13" s="1192"/>
      <c r="AR13" s="1192"/>
      <c r="AS13" s="1192"/>
      <c r="AT13" s="1192"/>
      <c r="AU13" s="1192"/>
      <c r="AV13" s="1192"/>
      <c r="AW13" s="1192"/>
      <c r="AX13" s="1192"/>
      <c r="AY13" s="1192"/>
      <c r="AZ13" s="1192"/>
      <c r="BA13" s="1192"/>
      <c r="BB13" s="1192"/>
      <c r="BC13" s="1192"/>
      <c r="BD13" s="1192"/>
      <c r="BE13" s="1195"/>
      <c r="BM13" s="1186" t="s">
        <v>2581</v>
      </c>
    </row>
    <row r="14" spans="1:65" ht="1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1192"/>
      <c r="AB14" s="1192"/>
      <c r="AC14" s="1192"/>
      <c r="AD14" s="1192"/>
      <c r="AE14" s="1192"/>
      <c r="AF14" s="1192"/>
      <c r="AG14" s="1192"/>
      <c r="AH14" s="1192"/>
      <c r="AI14" s="1192"/>
      <c r="AJ14" s="1192"/>
      <c r="AK14" s="1192"/>
      <c r="AL14" s="1192"/>
      <c r="AM14" s="1192"/>
      <c r="AN14" s="1192"/>
      <c r="AO14" s="1192"/>
      <c r="AP14" s="1192"/>
      <c r="AQ14" s="1192"/>
      <c r="AR14" s="1192"/>
      <c r="AS14" s="1192"/>
      <c r="AT14" s="1192"/>
      <c r="AU14" s="1192"/>
      <c r="AV14" s="1192"/>
      <c r="AW14" s="1192"/>
      <c r="AX14" s="1192"/>
      <c r="AY14" s="1192"/>
      <c r="AZ14" s="1192"/>
      <c r="BA14" s="1192"/>
      <c r="BB14" s="1192"/>
      <c r="BC14" s="1192"/>
      <c r="BD14" s="1192"/>
      <c r="BE14" s="1195"/>
    </row>
    <row r="15" spans="1:65" ht="15" thickBot="1">
      <c r="A15" s="1189"/>
      <c r="B15" s="2447" t="s">
        <v>1863</v>
      </c>
      <c r="C15" s="2448"/>
      <c r="D15" s="2448"/>
      <c r="E15" s="2448"/>
      <c r="F15" s="2448"/>
      <c r="G15" s="2448"/>
      <c r="H15" s="2448"/>
      <c r="I15" s="2448"/>
      <c r="J15" s="2448"/>
      <c r="K15" s="2448"/>
      <c r="L15" s="2448"/>
      <c r="M15" s="2448"/>
      <c r="N15" s="2448"/>
      <c r="O15" s="2448"/>
      <c r="P15" s="2448"/>
      <c r="Q15" s="2448"/>
      <c r="R15" s="2449"/>
      <c r="S15" s="2450" t="str">
        <f>IF(Application!AB214="","",Application!AB214)</f>
        <v/>
      </c>
      <c r="T15" s="2450"/>
      <c r="U15" s="2450"/>
      <c r="V15" s="2450"/>
      <c r="W15" s="2451"/>
      <c r="X15" s="1192"/>
      <c r="Y15" s="1189"/>
      <c r="Z15" s="1189"/>
      <c r="AA15" s="1192"/>
      <c r="AB15" s="1192"/>
      <c r="AC15" s="1192"/>
      <c r="AD15" s="1192"/>
      <c r="AE15" s="1192"/>
      <c r="AF15" s="1192"/>
      <c r="AG15" s="1192"/>
      <c r="AH15" s="1192"/>
      <c r="AI15" s="1192"/>
      <c r="AJ15" s="1192"/>
      <c r="AK15" s="1192"/>
      <c r="AL15" s="1192"/>
      <c r="AM15" s="1192"/>
      <c r="AN15" s="1192"/>
      <c r="AO15" s="1192"/>
      <c r="AP15" s="1192"/>
      <c r="AQ15" s="1192"/>
      <c r="AR15" s="1192"/>
      <c r="AS15" s="1192"/>
      <c r="AT15" s="1192"/>
      <c r="AU15" s="1192"/>
      <c r="AV15" s="1192"/>
      <c r="AW15" s="1192"/>
      <c r="AX15" s="1192"/>
      <c r="AY15" s="1192"/>
      <c r="AZ15" s="1192"/>
      <c r="BA15" s="1192"/>
      <c r="BB15" s="1192"/>
      <c r="BC15" s="1192"/>
      <c r="BD15" s="1192"/>
      <c r="BE15" s="1195"/>
    </row>
    <row r="16" spans="1:65" ht="1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5"/>
    </row>
    <row r="17" spans="1:58" ht="14.5">
      <c r="A17" s="1189"/>
      <c r="B17" s="2302" t="s">
        <v>1864</v>
      </c>
      <c r="C17" s="2303"/>
      <c r="D17" s="2303"/>
      <c r="E17" s="2303"/>
      <c r="F17" s="2303"/>
      <c r="G17" s="2303"/>
      <c r="H17" s="2303"/>
      <c r="I17" s="2303"/>
      <c r="J17" s="2303"/>
      <c r="K17" s="2303"/>
      <c r="L17" s="23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c r="AS17" s="2303"/>
      <c r="AT17" s="2303"/>
      <c r="AU17" s="2303"/>
      <c r="AV17" s="2303"/>
      <c r="AW17" s="2303"/>
      <c r="AX17" s="2303"/>
      <c r="AY17" s="2304"/>
      <c r="AZ17" s="1189"/>
      <c r="BA17" s="1189"/>
      <c r="BB17" s="1189"/>
      <c r="BC17" s="1189"/>
      <c r="BD17" s="1189"/>
      <c r="BE17" s="1195"/>
      <c r="BF17" s="1187"/>
    </row>
    <row r="18" spans="1:58" ht="15.75" customHeight="1">
      <c r="A18" s="1189"/>
      <c r="B18" s="2431" t="s">
        <v>1865</v>
      </c>
      <c r="C18" s="2432"/>
      <c r="D18" s="2432"/>
      <c r="E18" s="2432"/>
      <c r="F18" s="2432"/>
      <c r="G18" s="2432"/>
      <c r="H18" s="2432"/>
      <c r="I18" s="2433"/>
      <c r="J18" s="2434" t="s">
        <v>1764</v>
      </c>
      <c r="K18" s="2435"/>
      <c r="L18" s="2435"/>
      <c r="M18" s="2435"/>
      <c r="N18" s="2435"/>
      <c r="O18" s="2436"/>
      <c r="P18" s="2434" t="s">
        <v>326</v>
      </c>
      <c r="Q18" s="2435"/>
      <c r="R18" s="2435"/>
      <c r="S18" s="2435"/>
      <c r="T18" s="2435"/>
      <c r="U18" s="2436"/>
      <c r="V18" s="2434" t="s">
        <v>327</v>
      </c>
      <c r="W18" s="2435"/>
      <c r="X18" s="2435"/>
      <c r="Y18" s="2435"/>
      <c r="Z18" s="2435"/>
      <c r="AA18" s="2436"/>
      <c r="AB18" s="2434" t="s">
        <v>164</v>
      </c>
      <c r="AC18" s="2435"/>
      <c r="AD18" s="2435"/>
      <c r="AE18" s="2435"/>
      <c r="AF18" s="2435"/>
      <c r="AG18" s="2436"/>
      <c r="AH18" s="2434" t="s">
        <v>165</v>
      </c>
      <c r="AI18" s="2435"/>
      <c r="AJ18" s="2435"/>
      <c r="AK18" s="2435"/>
      <c r="AL18" s="2435"/>
      <c r="AM18" s="2436"/>
      <c r="AN18" s="2434" t="s">
        <v>166</v>
      </c>
      <c r="AO18" s="2435"/>
      <c r="AP18" s="2435"/>
      <c r="AQ18" s="2435"/>
      <c r="AR18" s="2435"/>
      <c r="AS18" s="2436"/>
      <c r="AT18" s="2434" t="s">
        <v>1866</v>
      </c>
      <c r="AU18" s="2435"/>
      <c r="AV18" s="2435"/>
      <c r="AW18" s="2435"/>
      <c r="AX18" s="2435"/>
      <c r="AY18" s="2437"/>
      <c r="AZ18" s="1189"/>
      <c r="BA18" s="1189"/>
      <c r="BB18" s="1189"/>
      <c r="BC18" s="1189"/>
      <c r="BD18" s="1189"/>
      <c r="BE18" s="1195"/>
    </row>
    <row r="19" spans="1:58" ht="14.5">
      <c r="A19" s="1189"/>
      <c r="B19" s="2428">
        <v>0.3</v>
      </c>
      <c r="C19" s="2429"/>
      <c r="D19" s="2429"/>
      <c r="E19" s="2429"/>
      <c r="F19" s="2429"/>
      <c r="G19" s="2429"/>
      <c r="H19" s="2429"/>
      <c r="I19" s="2430"/>
      <c r="J19" s="2413">
        <f>SUM(P19:AS19)</f>
        <v>45</v>
      </c>
      <c r="K19" s="2414"/>
      <c r="L19" s="2414"/>
      <c r="M19" s="2414"/>
      <c r="N19" s="2414"/>
      <c r="O19" s="2415"/>
      <c r="P19" s="2413" cm="1">
        <f t="array" ref="P19">SUMPRODUCT((Application!$B$714:$B$738 = 'CalHFA Addendum'!P$18)*(Application!$AC$714:$AC$738 = 'CalHFA Addendum'!$B19),Application!$G$714:$G$738)</f>
        <v>4</v>
      </c>
      <c r="Q19" s="2414"/>
      <c r="R19" s="2414"/>
      <c r="S19" s="2414"/>
      <c r="T19" s="2414"/>
      <c r="U19" s="2415"/>
      <c r="V19" s="2413" cm="1">
        <f t="array" ref="V19">SUMPRODUCT((Application!$B$714:$B$738 = 'CalHFA Addendum'!V$18)*(Application!$AC$714:$AC$738 = 'CalHFA Addendum'!$B19),Application!$G$714:$G$738)</f>
        <v>6</v>
      </c>
      <c r="W19" s="2414"/>
      <c r="X19" s="2414"/>
      <c r="Y19" s="2414"/>
      <c r="Z19" s="2414"/>
      <c r="AA19" s="2415"/>
      <c r="AB19" s="2413" cm="1">
        <f t="array" ref="AB19">SUMPRODUCT((Application!$B$714:$B$738 = 'CalHFA Addendum'!AB$18)*(Application!$AC$714:$AC$738 = 'CalHFA Addendum'!$B19),Application!$G$714:$G$738)</f>
        <v>23</v>
      </c>
      <c r="AC19" s="2414"/>
      <c r="AD19" s="2414"/>
      <c r="AE19" s="2414"/>
      <c r="AF19" s="2414"/>
      <c r="AG19" s="2415"/>
      <c r="AH19" s="2413" cm="1">
        <f t="array" ref="AH19">SUMPRODUCT((Application!$B$714:$B$738 = 'CalHFA Addendum'!AH$18)*(Application!$AC$714:$AC$738 = 'CalHFA Addendum'!$B19),Application!$G$714:$G$738)</f>
        <v>9</v>
      </c>
      <c r="AI19" s="2414"/>
      <c r="AJ19" s="2414"/>
      <c r="AK19" s="2414"/>
      <c r="AL19" s="2414"/>
      <c r="AM19" s="2415"/>
      <c r="AN19" s="2413" cm="1">
        <f t="array" ref="AN19">SUMPRODUCT((Application!$B$714:$B$738 = 'CalHFA Addendum'!AN$18)*(Application!$AC$714:$AC$738 = 'CalHFA Addendum'!$B19),Application!$G$714:$G$738)</f>
        <v>3</v>
      </c>
      <c r="AO19" s="2414"/>
      <c r="AP19" s="2414"/>
      <c r="AQ19" s="2414"/>
      <c r="AR19" s="2414"/>
      <c r="AS19" s="2415"/>
      <c r="AT19" s="2416">
        <f t="shared" ref="AT19:AT28" si="0">J19/$J$29</f>
        <v>0.33088235294117646</v>
      </c>
      <c r="AU19" s="2417"/>
      <c r="AV19" s="2417"/>
      <c r="AW19" s="2417"/>
      <c r="AX19" s="2417"/>
      <c r="AY19" s="2418"/>
      <c r="AZ19" s="1196"/>
      <c r="BA19" s="1189"/>
      <c r="BB19" s="1189"/>
      <c r="BC19" s="1189"/>
      <c r="BD19" s="1189"/>
      <c r="BE19" s="1195"/>
    </row>
    <row r="20" spans="1:58" ht="15" customHeight="1">
      <c r="A20" s="1189"/>
      <c r="B20" s="2428">
        <v>0.4</v>
      </c>
      <c r="C20" s="2429"/>
      <c r="D20" s="2429"/>
      <c r="E20" s="2429"/>
      <c r="F20" s="2429"/>
      <c r="G20" s="2429"/>
      <c r="H20" s="2429"/>
      <c r="I20" s="2430"/>
      <c r="J20" s="2413">
        <f t="shared" ref="J20:J28" si="1">SUM(P20:AS20)</f>
        <v>17</v>
      </c>
      <c r="K20" s="2414"/>
      <c r="L20" s="2414"/>
      <c r="M20" s="2414"/>
      <c r="N20" s="2414"/>
      <c r="O20" s="2415"/>
      <c r="P20" s="2413" cm="1">
        <f t="array" ref="P20">SUMPRODUCT((Application!$B$714:$B$738 = 'CalHFA Addendum'!P$18)*(Application!$AC$714:$AC$738 = 'CalHFA Addendum'!$B20),Application!$G$714:$G$738)</f>
        <v>4</v>
      </c>
      <c r="Q20" s="2414"/>
      <c r="R20" s="2414"/>
      <c r="S20" s="2414"/>
      <c r="T20" s="2414"/>
      <c r="U20" s="2415"/>
      <c r="V20" s="2413" cm="1">
        <f t="array" ref="V20">SUMPRODUCT((Application!$B$714:$B$738 = 'CalHFA Addendum'!V$18)*(Application!$AC$714:$AC$738 = 'CalHFA Addendum'!$B20),Application!$G$714:$G$738)</f>
        <v>6</v>
      </c>
      <c r="W20" s="2414"/>
      <c r="X20" s="2414"/>
      <c r="Y20" s="2414"/>
      <c r="Z20" s="2414"/>
      <c r="AA20" s="2415"/>
      <c r="AB20" s="2413" cm="1">
        <f t="array" ref="AB20">SUMPRODUCT((Application!$B$714:$B$738 = 'CalHFA Addendum'!AB$18)*(Application!$AC$714:$AC$738 = 'CalHFA Addendum'!$B20),Application!$G$714:$G$738)</f>
        <v>5</v>
      </c>
      <c r="AC20" s="2414"/>
      <c r="AD20" s="2414"/>
      <c r="AE20" s="2414"/>
      <c r="AF20" s="2414"/>
      <c r="AG20" s="2415"/>
      <c r="AH20" s="2413" cm="1">
        <f t="array" ref="AH20">SUMPRODUCT((Application!$B$714:$B$738 = 'CalHFA Addendum'!AH$18)*(Application!$AC$714:$AC$738 = 'CalHFA Addendum'!$B20),Application!$G$714:$G$738)</f>
        <v>2</v>
      </c>
      <c r="AI20" s="2414"/>
      <c r="AJ20" s="2414"/>
      <c r="AK20" s="2414"/>
      <c r="AL20" s="2414"/>
      <c r="AM20" s="2415"/>
      <c r="AN20" s="2413" cm="1">
        <f t="array" ref="AN20">SUMPRODUCT((Application!$B$714:$B$738 = 'CalHFA Addendum'!AN$18)*(Application!$AC$714:$AC$738 = 'CalHFA Addendum'!$B20),Application!$G$714:$G$738)</f>
        <v>0</v>
      </c>
      <c r="AO20" s="2414"/>
      <c r="AP20" s="2414"/>
      <c r="AQ20" s="2414"/>
      <c r="AR20" s="2414"/>
      <c r="AS20" s="2415"/>
      <c r="AT20" s="2416">
        <f t="shared" si="0"/>
        <v>0.125</v>
      </c>
      <c r="AU20" s="2417"/>
      <c r="AV20" s="2417"/>
      <c r="AW20" s="2417"/>
      <c r="AX20" s="2417"/>
      <c r="AY20" s="2418"/>
      <c r="AZ20" s="1189"/>
      <c r="BA20" s="1189"/>
      <c r="BB20" s="1189"/>
      <c r="BC20" s="1189"/>
      <c r="BD20" s="1189"/>
      <c r="BE20" s="1195"/>
    </row>
    <row r="21" spans="1:58" ht="14.5">
      <c r="A21" s="1189"/>
      <c r="B21" s="2428">
        <v>0.5</v>
      </c>
      <c r="C21" s="2429"/>
      <c r="D21" s="2429"/>
      <c r="E21" s="2429"/>
      <c r="F21" s="2429"/>
      <c r="G21" s="2429"/>
      <c r="H21" s="2429"/>
      <c r="I21" s="2430"/>
      <c r="J21" s="2413">
        <f t="shared" si="1"/>
        <v>31</v>
      </c>
      <c r="K21" s="2414"/>
      <c r="L21" s="2414"/>
      <c r="M21" s="2414"/>
      <c r="N21" s="2414"/>
      <c r="O21" s="2415"/>
      <c r="P21" s="2413" cm="1">
        <f t="array" ref="P21">SUMPRODUCT((Application!$B$714:$B$738 = 'CalHFA Addendum'!P$18)*(Application!$AC$714:$AC$738 = 'CalHFA Addendum'!$B21),Application!$G$714:$G$738)</f>
        <v>0</v>
      </c>
      <c r="Q21" s="2414"/>
      <c r="R21" s="2414"/>
      <c r="S21" s="2414"/>
      <c r="T21" s="2414"/>
      <c r="U21" s="2415"/>
      <c r="V21" s="2413" cm="1">
        <f t="array" ref="V21">SUMPRODUCT((Application!$B$714:$B$738 = 'CalHFA Addendum'!V$18)*(Application!$AC$714:$AC$738 = 'CalHFA Addendum'!$B21),Application!$G$714:$G$738)</f>
        <v>3</v>
      </c>
      <c r="W21" s="2414"/>
      <c r="X21" s="2414"/>
      <c r="Y21" s="2414"/>
      <c r="Z21" s="2414"/>
      <c r="AA21" s="2415"/>
      <c r="AB21" s="2413" cm="1">
        <f t="array" ref="AB21">SUMPRODUCT((Application!$B$714:$B$738 = 'CalHFA Addendum'!AB$18)*(Application!$AC$714:$AC$738 = 'CalHFA Addendum'!$B21),Application!$G$714:$G$738)</f>
        <v>22</v>
      </c>
      <c r="AC21" s="2414"/>
      <c r="AD21" s="2414"/>
      <c r="AE21" s="2414"/>
      <c r="AF21" s="2414"/>
      <c r="AG21" s="2415"/>
      <c r="AH21" s="2413" cm="1">
        <f t="array" ref="AH21">SUMPRODUCT((Application!$B$714:$B$738 = 'CalHFA Addendum'!AH$18)*(Application!$AC$714:$AC$738 = 'CalHFA Addendum'!$B21),Application!$G$714:$G$738)</f>
        <v>4</v>
      </c>
      <c r="AI21" s="2414"/>
      <c r="AJ21" s="2414"/>
      <c r="AK21" s="2414"/>
      <c r="AL21" s="2414"/>
      <c r="AM21" s="2415"/>
      <c r="AN21" s="2413" cm="1">
        <f t="array" ref="AN21">SUMPRODUCT((Application!$B$714:$B$738 = 'CalHFA Addendum'!AN$18)*(Application!$AC$714:$AC$738 = 'CalHFA Addendum'!$B21),Application!$G$714:$G$738)</f>
        <v>2</v>
      </c>
      <c r="AO21" s="2414"/>
      <c r="AP21" s="2414"/>
      <c r="AQ21" s="2414"/>
      <c r="AR21" s="2414"/>
      <c r="AS21" s="2415"/>
      <c r="AT21" s="2416">
        <f t="shared" si="0"/>
        <v>0.22794117647058823</v>
      </c>
      <c r="AU21" s="2417"/>
      <c r="AV21" s="2417"/>
      <c r="AW21" s="2417"/>
      <c r="AX21" s="2417"/>
      <c r="AY21" s="2418"/>
      <c r="AZ21" s="1189"/>
      <c r="BA21" s="1189"/>
      <c r="BB21" s="1189"/>
      <c r="BC21" s="1189"/>
      <c r="BD21" s="1189"/>
      <c r="BE21" s="1195"/>
    </row>
    <row r="22" spans="1:58" ht="14.5">
      <c r="A22" s="1189"/>
      <c r="B22" s="2428">
        <v>0.6</v>
      </c>
      <c r="C22" s="2429"/>
      <c r="D22" s="2429"/>
      <c r="E22" s="2429"/>
      <c r="F22" s="2429"/>
      <c r="G22" s="2429"/>
      <c r="H22" s="2429"/>
      <c r="I22" s="2430"/>
      <c r="J22" s="2413">
        <f t="shared" si="1"/>
        <v>42</v>
      </c>
      <c r="K22" s="2414"/>
      <c r="L22" s="2414"/>
      <c r="M22" s="2414"/>
      <c r="N22" s="2414"/>
      <c r="O22" s="2415"/>
      <c r="P22" s="2413" cm="1">
        <f t="array" ref="P22">SUMPRODUCT((Application!$B$714:$B$738 = 'CalHFA Addendum'!P$18)*(Application!$AC$714:$AC$738 = 'CalHFA Addendum'!$B22),Application!$G$714:$G$738)</f>
        <v>0</v>
      </c>
      <c r="Q22" s="2414"/>
      <c r="R22" s="2414"/>
      <c r="S22" s="2414"/>
      <c r="T22" s="2414"/>
      <c r="U22" s="2415"/>
      <c r="V22" s="2413" cm="1">
        <f t="array" ref="V22">SUMPRODUCT((Application!$B$714:$B$738 = 'CalHFA Addendum'!V$18)*(Application!$AC$714:$AC$738 = 'CalHFA Addendum'!$B22),Application!$G$714:$G$738)</f>
        <v>4</v>
      </c>
      <c r="W22" s="2414"/>
      <c r="X22" s="2414"/>
      <c r="Y22" s="2414"/>
      <c r="Z22" s="2414"/>
      <c r="AA22" s="2415"/>
      <c r="AB22" s="2413" cm="1">
        <f t="array" ref="AB22">SUMPRODUCT((Application!$B$714:$B$738 = 'CalHFA Addendum'!AB$18)*(Application!$AC$714:$AC$738 = 'CalHFA Addendum'!$B22),Application!$G$714:$G$738)</f>
        <v>24</v>
      </c>
      <c r="AC22" s="2414"/>
      <c r="AD22" s="2414"/>
      <c r="AE22" s="2414"/>
      <c r="AF22" s="2414"/>
      <c r="AG22" s="2415"/>
      <c r="AH22" s="2413" cm="1">
        <f t="array" ref="AH22">SUMPRODUCT((Application!$B$714:$B$738 = 'CalHFA Addendum'!AH$18)*(Application!$AC$714:$AC$738 = 'CalHFA Addendum'!$B22),Application!$G$714:$G$738)</f>
        <v>12</v>
      </c>
      <c r="AI22" s="2414"/>
      <c r="AJ22" s="2414"/>
      <c r="AK22" s="2414"/>
      <c r="AL22" s="2414"/>
      <c r="AM22" s="2415"/>
      <c r="AN22" s="2413" cm="1">
        <f t="array" ref="AN22">SUMPRODUCT((Application!$B$714:$B$738 = 'CalHFA Addendum'!AN$18)*(Application!$AC$714:$AC$738 = 'CalHFA Addendum'!$B22),Application!$G$714:$G$738)</f>
        <v>2</v>
      </c>
      <c r="AO22" s="2414"/>
      <c r="AP22" s="2414"/>
      <c r="AQ22" s="2414"/>
      <c r="AR22" s="2414"/>
      <c r="AS22" s="2415"/>
      <c r="AT22" s="2416">
        <f t="shared" si="0"/>
        <v>0.30882352941176472</v>
      </c>
      <c r="AU22" s="2417"/>
      <c r="AV22" s="2417"/>
      <c r="AW22" s="2417"/>
      <c r="AX22" s="2417"/>
      <c r="AY22" s="2418"/>
      <c r="AZ22" s="1189"/>
      <c r="BA22" s="1189"/>
      <c r="BB22" s="1189"/>
      <c r="BC22" s="1189"/>
      <c r="BD22" s="1189"/>
      <c r="BE22" s="1195"/>
    </row>
    <row r="23" spans="1:58" ht="14.5">
      <c r="A23" s="1189"/>
      <c r="B23" s="2428">
        <v>0.7</v>
      </c>
      <c r="C23" s="2429"/>
      <c r="D23" s="2429"/>
      <c r="E23" s="2429"/>
      <c r="F23" s="2429"/>
      <c r="G23" s="2429"/>
      <c r="H23" s="2429"/>
      <c r="I23" s="2430"/>
      <c r="J23" s="2413">
        <f t="shared" si="1"/>
        <v>0</v>
      </c>
      <c r="K23" s="2414"/>
      <c r="L23" s="2414"/>
      <c r="M23" s="2414"/>
      <c r="N23" s="2414"/>
      <c r="O23" s="2415"/>
      <c r="P23" s="2413" cm="1">
        <f t="array" ref="P23">SUMPRODUCT((Application!$B$714:$B$738 = 'CalHFA Addendum'!P$18)*(Application!$AC$714:$AC$738 = 'CalHFA Addendum'!$B23),Application!$G$714:$G$738)</f>
        <v>0</v>
      </c>
      <c r="Q23" s="2414"/>
      <c r="R23" s="2414"/>
      <c r="S23" s="2414"/>
      <c r="T23" s="2414"/>
      <c r="U23" s="2415"/>
      <c r="V23" s="2413" cm="1">
        <f t="array" ref="V23">SUMPRODUCT((Application!$B$714:$B$738 = 'CalHFA Addendum'!V$18)*(Application!$AC$714:$AC$738 = 'CalHFA Addendum'!$B23),Application!$G$714:$G$738)</f>
        <v>0</v>
      </c>
      <c r="W23" s="2414"/>
      <c r="X23" s="2414"/>
      <c r="Y23" s="2414"/>
      <c r="Z23" s="2414"/>
      <c r="AA23" s="2415"/>
      <c r="AB23" s="2413" cm="1">
        <f t="array" ref="AB23">SUMPRODUCT((Application!$B$714:$B$738 = 'CalHFA Addendum'!AB$18)*(Application!$AC$714:$AC$738 = 'CalHFA Addendum'!$B23),Application!$G$714:$G$738)</f>
        <v>0</v>
      </c>
      <c r="AC23" s="2414"/>
      <c r="AD23" s="2414"/>
      <c r="AE23" s="2414"/>
      <c r="AF23" s="2414"/>
      <c r="AG23" s="2415"/>
      <c r="AH23" s="2413" cm="1">
        <f t="array" ref="AH23">SUMPRODUCT((Application!$B$714:$B$738 = 'CalHFA Addendum'!AH$18)*(Application!$AC$714:$AC$738 = 'CalHFA Addendum'!$B23),Application!$G$714:$G$738)</f>
        <v>0</v>
      </c>
      <c r="AI23" s="2414"/>
      <c r="AJ23" s="2414"/>
      <c r="AK23" s="2414"/>
      <c r="AL23" s="2414"/>
      <c r="AM23" s="2415"/>
      <c r="AN23" s="2413" cm="1">
        <f t="array" ref="AN23">SUMPRODUCT((Application!$B$714:$B$738 = 'CalHFA Addendum'!AN$18)*(Application!$AC$714:$AC$738 = 'CalHFA Addendum'!$B23),Application!$G$714:$G$738)</f>
        <v>0</v>
      </c>
      <c r="AO23" s="2414"/>
      <c r="AP23" s="2414"/>
      <c r="AQ23" s="2414"/>
      <c r="AR23" s="2414"/>
      <c r="AS23" s="2415"/>
      <c r="AT23" s="2416">
        <f t="shared" si="0"/>
        <v>0</v>
      </c>
      <c r="AU23" s="2417"/>
      <c r="AV23" s="2417"/>
      <c r="AW23" s="2417"/>
      <c r="AX23" s="2417"/>
      <c r="AY23" s="2418"/>
      <c r="AZ23" s="1189"/>
      <c r="BA23" s="1189"/>
      <c r="BB23" s="1189"/>
      <c r="BC23" s="1189"/>
      <c r="BD23" s="1189"/>
      <c r="BE23" s="1195"/>
    </row>
    <row r="24" spans="1:58" ht="14.5">
      <c r="A24" s="1189"/>
      <c r="B24" s="2428">
        <v>0.8</v>
      </c>
      <c r="C24" s="2429"/>
      <c r="D24" s="2429"/>
      <c r="E24" s="2429"/>
      <c r="F24" s="2429"/>
      <c r="G24" s="2429"/>
      <c r="H24" s="2429"/>
      <c r="I24" s="2430"/>
      <c r="J24" s="2413">
        <f t="shared" si="1"/>
        <v>0</v>
      </c>
      <c r="K24" s="2414"/>
      <c r="L24" s="2414"/>
      <c r="M24" s="2414"/>
      <c r="N24" s="2414"/>
      <c r="O24" s="2415"/>
      <c r="P24" s="2413" cm="1">
        <f t="array" ref="P24">SUMPRODUCT((Application!$B$714:$B$738 = 'CalHFA Addendum'!P$18)*(Application!$AC$714:$AC$738 = 'CalHFA Addendum'!$B24),Application!$G$714:$G$738)</f>
        <v>0</v>
      </c>
      <c r="Q24" s="2414"/>
      <c r="R24" s="2414"/>
      <c r="S24" s="2414"/>
      <c r="T24" s="2414"/>
      <c r="U24" s="2415"/>
      <c r="V24" s="2413" cm="1">
        <f t="array" ref="V24">SUMPRODUCT((Application!$B$714:$B$738 = 'CalHFA Addendum'!V$18)*(Application!$AC$714:$AC$738 = 'CalHFA Addendum'!$B24),Application!$G$714:$G$738)</f>
        <v>0</v>
      </c>
      <c r="W24" s="2414"/>
      <c r="X24" s="2414"/>
      <c r="Y24" s="2414"/>
      <c r="Z24" s="2414"/>
      <c r="AA24" s="2415"/>
      <c r="AB24" s="2413" cm="1">
        <f t="array" ref="AB24">SUMPRODUCT((Application!$B$714:$B$738 = 'CalHFA Addendum'!AB$18)*(Application!$AC$714:$AC$738 = 'CalHFA Addendum'!$B24),Application!$G$714:$G$738)</f>
        <v>0</v>
      </c>
      <c r="AC24" s="2414"/>
      <c r="AD24" s="2414"/>
      <c r="AE24" s="2414"/>
      <c r="AF24" s="2414"/>
      <c r="AG24" s="2415"/>
      <c r="AH24" s="2413" cm="1">
        <f t="array" ref="AH24">SUMPRODUCT((Application!$B$714:$B$738 = 'CalHFA Addendum'!AH$18)*(Application!$AC$714:$AC$738 = 'CalHFA Addendum'!$B24),Application!$G$714:$G$738)</f>
        <v>0</v>
      </c>
      <c r="AI24" s="2414"/>
      <c r="AJ24" s="2414"/>
      <c r="AK24" s="2414"/>
      <c r="AL24" s="2414"/>
      <c r="AM24" s="2415"/>
      <c r="AN24" s="2413" cm="1">
        <f t="array" ref="AN24">SUMPRODUCT((Application!$B$714:$B$738 = 'CalHFA Addendum'!AN$18)*(Application!$AC$714:$AC$738 = 'CalHFA Addendum'!$B24),Application!$G$714:$G$738)</f>
        <v>0</v>
      </c>
      <c r="AO24" s="2414"/>
      <c r="AP24" s="2414"/>
      <c r="AQ24" s="2414"/>
      <c r="AR24" s="2414"/>
      <c r="AS24" s="2415"/>
      <c r="AT24" s="2416">
        <f t="shared" si="0"/>
        <v>0</v>
      </c>
      <c r="AU24" s="2417"/>
      <c r="AV24" s="2417"/>
      <c r="AW24" s="2417"/>
      <c r="AX24" s="2417"/>
      <c r="AY24" s="2418"/>
      <c r="AZ24" s="1189"/>
      <c r="BA24" s="1189"/>
      <c r="BB24" s="1189"/>
      <c r="BC24" s="1189"/>
      <c r="BD24" s="1189"/>
      <c r="BE24" s="1195"/>
    </row>
    <row r="25" spans="1:58" ht="14.5">
      <c r="A25" s="1189"/>
      <c r="B25" s="2428">
        <v>0.9</v>
      </c>
      <c r="C25" s="2429"/>
      <c r="D25" s="2429"/>
      <c r="E25" s="2429"/>
      <c r="F25" s="2429"/>
      <c r="G25" s="2429"/>
      <c r="H25" s="2429"/>
      <c r="I25" s="2430"/>
      <c r="J25" s="2413">
        <f t="shared" si="1"/>
        <v>0</v>
      </c>
      <c r="K25" s="2414"/>
      <c r="L25" s="2414"/>
      <c r="M25" s="2414"/>
      <c r="N25" s="2414"/>
      <c r="O25" s="2415"/>
      <c r="P25" s="2413" cm="1">
        <f t="array" ref="P25">SUMPRODUCT((Application!$B$714:$B$738 = 'CalHFA Addendum'!P$18)*(Application!$AC$714:$AC$738 = 'CalHFA Addendum'!$B25),Application!$G$714:$G$738)</f>
        <v>0</v>
      </c>
      <c r="Q25" s="2414"/>
      <c r="R25" s="2414"/>
      <c r="S25" s="2414"/>
      <c r="T25" s="2414"/>
      <c r="U25" s="2415"/>
      <c r="V25" s="2413" cm="1">
        <f t="array" ref="V25">SUMPRODUCT((Application!$B$714:$B$738 = 'CalHFA Addendum'!V$18)*(Application!$AC$714:$AC$738 = 'CalHFA Addendum'!$B25),Application!$G$714:$G$738)</f>
        <v>0</v>
      </c>
      <c r="W25" s="2414"/>
      <c r="X25" s="2414"/>
      <c r="Y25" s="2414"/>
      <c r="Z25" s="2414"/>
      <c r="AA25" s="2415"/>
      <c r="AB25" s="2413" cm="1">
        <f t="array" ref="AB25">SUMPRODUCT((Application!$B$714:$B$738 = 'CalHFA Addendum'!AB$18)*(Application!$AC$714:$AC$738 = 'CalHFA Addendum'!$B25),Application!$G$714:$G$738)</f>
        <v>0</v>
      </c>
      <c r="AC25" s="2414"/>
      <c r="AD25" s="2414"/>
      <c r="AE25" s="2414"/>
      <c r="AF25" s="2414"/>
      <c r="AG25" s="2415"/>
      <c r="AH25" s="2413" cm="1">
        <f t="array" ref="AH25">SUMPRODUCT((Application!$B$714:$B$738 = 'CalHFA Addendum'!AH$18)*(Application!$AC$714:$AC$738 = 'CalHFA Addendum'!$B25),Application!$G$714:$G$738)</f>
        <v>0</v>
      </c>
      <c r="AI25" s="2414"/>
      <c r="AJ25" s="2414"/>
      <c r="AK25" s="2414"/>
      <c r="AL25" s="2414"/>
      <c r="AM25" s="2415"/>
      <c r="AN25" s="2413" cm="1">
        <f t="array" ref="AN25">SUMPRODUCT((Application!$B$714:$B$738 = 'CalHFA Addendum'!AN$18)*(Application!$AC$714:$AC$738 = 'CalHFA Addendum'!$B25),Application!$G$714:$G$738)</f>
        <v>0</v>
      </c>
      <c r="AO25" s="2414"/>
      <c r="AP25" s="2414"/>
      <c r="AQ25" s="2414"/>
      <c r="AR25" s="2414"/>
      <c r="AS25" s="2415"/>
      <c r="AT25" s="2416">
        <f t="shared" si="0"/>
        <v>0</v>
      </c>
      <c r="AU25" s="2417"/>
      <c r="AV25" s="2417"/>
      <c r="AW25" s="2417"/>
      <c r="AX25" s="2417"/>
      <c r="AY25" s="2418"/>
      <c r="AZ25" s="1189"/>
      <c r="BA25" s="1189"/>
      <c r="BB25" s="1189"/>
      <c r="BC25" s="1189"/>
      <c r="BD25" s="1189"/>
      <c r="BE25" s="1195"/>
    </row>
    <row r="26" spans="1:58" ht="14.5">
      <c r="A26" s="1189"/>
      <c r="B26" s="2428">
        <v>1</v>
      </c>
      <c r="C26" s="2429"/>
      <c r="D26" s="2429"/>
      <c r="E26" s="2429"/>
      <c r="F26" s="2429"/>
      <c r="G26" s="2429"/>
      <c r="H26" s="2429"/>
      <c r="I26" s="2430"/>
      <c r="J26" s="2413">
        <f t="shared" si="1"/>
        <v>0</v>
      </c>
      <c r="K26" s="2414"/>
      <c r="L26" s="2414"/>
      <c r="M26" s="2414"/>
      <c r="N26" s="2414"/>
      <c r="O26" s="2415"/>
      <c r="P26" s="2413" cm="1">
        <f t="array" ref="P26">SUMPRODUCT((Application!$B$714:$B$738 = 'CalHFA Addendum'!P$18)*(Application!$AC$714:$AC$738 = 'CalHFA Addendum'!$B26),Application!$G$714:$G$738)</f>
        <v>0</v>
      </c>
      <c r="Q26" s="2414"/>
      <c r="R26" s="2414"/>
      <c r="S26" s="2414"/>
      <c r="T26" s="2414"/>
      <c r="U26" s="2415"/>
      <c r="V26" s="2413" cm="1">
        <f t="array" ref="V26">SUMPRODUCT((Application!$B$714:$B$738 = 'CalHFA Addendum'!V$18)*(Application!$AC$714:$AC$738 = 'CalHFA Addendum'!$B26),Application!$G$714:$G$738)</f>
        <v>0</v>
      </c>
      <c r="W26" s="2414"/>
      <c r="X26" s="2414"/>
      <c r="Y26" s="2414"/>
      <c r="Z26" s="2414"/>
      <c r="AA26" s="2415"/>
      <c r="AB26" s="2413" cm="1">
        <f t="array" ref="AB26">SUMPRODUCT((Application!$B$714:$B$738 = 'CalHFA Addendum'!AB$18)*(Application!$AC$714:$AC$738 = 'CalHFA Addendum'!$B26),Application!$G$714:$G$738)</f>
        <v>0</v>
      </c>
      <c r="AC26" s="2414"/>
      <c r="AD26" s="2414"/>
      <c r="AE26" s="2414"/>
      <c r="AF26" s="2414"/>
      <c r="AG26" s="2415"/>
      <c r="AH26" s="2413" cm="1">
        <f t="array" ref="AH26">SUMPRODUCT((Application!$B$714:$B$738 = 'CalHFA Addendum'!AH$18)*(Application!$AC$714:$AC$738 = 'CalHFA Addendum'!$B26),Application!$G$714:$G$738)</f>
        <v>0</v>
      </c>
      <c r="AI26" s="2414"/>
      <c r="AJ26" s="2414"/>
      <c r="AK26" s="2414"/>
      <c r="AL26" s="2414"/>
      <c r="AM26" s="2415"/>
      <c r="AN26" s="2413" cm="1">
        <f t="array" ref="AN26">SUMPRODUCT((Application!$B$714:$B$738 = 'CalHFA Addendum'!AN$18)*(Application!$AC$714:$AC$738 = 'CalHFA Addendum'!$B26),Application!$G$714:$G$738)</f>
        <v>0</v>
      </c>
      <c r="AO26" s="2414"/>
      <c r="AP26" s="2414"/>
      <c r="AQ26" s="2414"/>
      <c r="AR26" s="2414"/>
      <c r="AS26" s="2415"/>
      <c r="AT26" s="2416">
        <f t="shared" si="0"/>
        <v>0</v>
      </c>
      <c r="AU26" s="2417"/>
      <c r="AV26" s="2417"/>
      <c r="AW26" s="2417"/>
      <c r="AX26" s="2417"/>
      <c r="AY26" s="2418"/>
      <c r="AZ26" s="1189"/>
      <c r="BA26" s="1189"/>
      <c r="BB26" s="1189"/>
      <c r="BC26" s="1189"/>
      <c r="BD26" s="1189"/>
      <c r="BE26" s="1195"/>
    </row>
    <row r="27" spans="1:58" ht="14.5">
      <c r="A27" s="1189"/>
      <c r="B27" s="2428">
        <v>1.1000000000000001</v>
      </c>
      <c r="C27" s="2429"/>
      <c r="D27" s="2429"/>
      <c r="E27" s="2429"/>
      <c r="F27" s="2429"/>
      <c r="G27" s="2429"/>
      <c r="H27" s="2429"/>
      <c r="I27" s="2430"/>
      <c r="J27" s="2413">
        <f t="shared" si="1"/>
        <v>0</v>
      </c>
      <c r="K27" s="2414"/>
      <c r="L27" s="2414"/>
      <c r="M27" s="2414"/>
      <c r="N27" s="2414"/>
      <c r="O27" s="2415"/>
      <c r="P27" s="2413" cm="1">
        <f t="array" ref="P27">SUMPRODUCT((Application!$B$714:$B$738 = 'CalHFA Addendum'!P$18)*(Application!$AC$714:$AC$738 = 'CalHFA Addendum'!$B27),Application!$G$714:$G$738)</f>
        <v>0</v>
      </c>
      <c r="Q27" s="2414"/>
      <c r="R27" s="2414"/>
      <c r="S27" s="2414"/>
      <c r="T27" s="2414"/>
      <c r="U27" s="2415"/>
      <c r="V27" s="2413" cm="1">
        <f t="array" ref="V27">SUMPRODUCT((Application!$B$714:$B$738 = 'CalHFA Addendum'!V$18)*(Application!$AC$714:$AC$738 = 'CalHFA Addendum'!$B27),Application!$G$714:$G$738)</f>
        <v>0</v>
      </c>
      <c r="W27" s="2414"/>
      <c r="X27" s="2414"/>
      <c r="Y27" s="2414"/>
      <c r="Z27" s="2414"/>
      <c r="AA27" s="2415"/>
      <c r="AB27" s="2413" cm="1">
        <f t="array" ref="AB27">SUMPRODUCT((Application!$B$714:$B$738 = 'CalHFA Addendum'!AB$18)*(Application!$AC$714:$AC$738 = 'CalHFA Addendum'!$B27),Application!$G$714:$G$738)</f>
        <v>0</v>
      </c>
      <c r="AC27" s="2414"/>
      <c r="AD27" s="2414"/>
      <c r="AE27" s="2414"/>
      <c r="AF27" s="2414"/>
      <c r="AG27" s="2415"/>
      <c r="AH27" s="2413" cm="1">
        <f t="array" ref="AH27">SUMPRODUCT((Application!$B$714:$B$738 = 'CalHFA Addendum'!AH$18)*(Application!$AC$714:$AC$738 = 'CalHFA Addendum'!$B27),Application!$G$714:$G$738)</f>
        <v>0</v>
      </c>
      <c r="AI27" s="2414"/>
      <c r="AJ27" s="2414"/>
      <c r="AK27" s="2414"/>
      <c r="AL27" s="2414"/>
      <c r="AM27" s="2415"/>
      <c r="AN27" s="2413" cm="1">
        <f t="array" ref="AN27">SUMPRODUCT((Application!$B$714:$B$738 = 'CalHFA Addendum'!AN$18)*(Application!$AC$714:$AC$738 = 'CalHFA Addendum'!$B27),Application!$G$714:$G$738)</f>
        <v>0</v>
      </c>
      <c r="AO27" s="2414"/>
      <c r="AP27" s="2414"/>
      <c r="AQ27" s="2414"/>
      <c r="AR27" s="2414"/>
      <c r="AS27" s="2415"/>
      <c r="AT27" s="2416">
        <f t="shared" si="0"/>
        <v>0</v>
      </c>
      <c r="AU27" s="2417"/>
      <c r="AV27" s="2417"/>
      <c r="AW27" s="2417"/>
      <c r="AX27" s="2417"/>
      <c r="AY27" s="2418"/>
      <c r="AZ27" s="1189"/>
      <c r="BA27" s="1189"/>
      <c r="BB27" s="1189"/>
      <c r="BC27" s="1189"/>
      <c r="BD27" s="1189"/>
      <c r="BE27" s="1195"/>
    </row>
    <row r="28" spans="1:58" ht="15" thickBot="1">
      <c r="A28" s="1189"/>
      <c r="B28" s="2419" t="s">
        <v>1867</v>
      </c>
      <c r="C28" s="2420"/>
      <c r="D28" s="2420"/>
      <c r="E28" s="2420"/>
      <c r="F28" s="2420"/>
      <c r="G28" s="2420"/>
      <c r="H28" s="2420"/>
      <c r="I28" s="2421"/>
      <c r="J28" s="2422">
        <f t="shared" si="1"/>
        <v>1</v>
      </c>
      <c r="K28" s="2423"/>
      <c r="L28" s="2423"/>
      <c r="M28" s="2423"/>
      <c r="N28" s="2423"/>
      <c r="O28" s="2424"/>
      <c r="P28" s="2422">
        <f>_xlfn.IFNA(VLOOKUP(P$18,Application!$J$758:$S$761,6,FALSE), 0)</f>
        <v>0</v>
      </c>
      <c r="Q28" s="2423"/>
      <c r="R28" s="2423"/>
      <c r="S28" s="2423"/>
      <c r="T28" s="2423"/>
      <c r="U28" s="2424"/>
      <c r="V28" s="2422">
        <f>_xlfn.IFNA(VLOOKUP(V$18,Application!$J$758:$S$761,6,FALSE), 0)</f>
        <v>0</v>
      </c>
      <c r="W28" s="2423"/>
      <c r="X28" s="2423"/>
      <c r="Y28" s="2423"/>
      <c r="Z28" s="2423"/>
      <c r="AA28" s="2424"/>
      <c r="AB28" s="2422">
        <f>_xlfn.IFNA(VLOOKUP(AB$18,Application!$J$758:$S$761,6,FALSE), 0)</f>
        <v>1</v>
      </c>
      <c r="AC28" s="2423"/>
      <c r="AD28" s="2423"/>
      <c r="AE28" s="2423"/>
      <c r="AF28" s="2423"/>
      <c r="AG28" s="2424"/>
      <c r="AH28" s="2422">
        <f>_xlfn.IFNA(VLOOKUP(AH$18,Application!$J$758:$S$761,6,FALSE), 0)</f>
        <v>0</v>
      </c>
      <c r="AI28" s="2423"/>
      <c r="AJ28" s="2423"/>
      <c r="AK28" s="2423"/>
      <c r="AL28" s="2423"/>
      <c r="AM28" s="2424"/>
      <c r="AN28" s="2422">
        <f>_xlfn.IFNA(VLOOKUP(AN$18,Application!$J$758:$S$761,6,FALSE), 0)</f>
        <v>0</v>
      </c>
      <c r="AO28" s="2423"/>
      <c r="AP28" s="2423"/>
      <c r="AQ28" s="2423"/>
      <c r="AR28" s="2423"/>
      <c r="AS28" s="2424"/>
      <c r="AT28" s="2425">
        <f t="shared" si="0"/>
        <v>7.3529411764705881E-3</v>
      </c>
      <c r="AU28" s="2426"/>
      <c r="AV28" s="2426"/>
      <c r="AW28" s="2426"/>
      <c r="AX28" s="2426"/>
      <c r="AY28" s="2427"/>
      <c r="AZ28" s="1189"/>
      <c r="BA28" s="1189"/>
      <c r="BB28" s="1189"/>
      <c r="BC28" s="1189"/>
      <c r="BD28" s="1189"/>
      <c r="BE28" s="1195"/>
    </row>
    <row r="29" spans="1:58" ht="15" thickBot="1">
      <c r="A29" s="1189"/>
      <c r="B29" s="2412" t="s">
        <v>1764</v>
      </c>
      <c r="C29" s="2401"/>
      <c r="D29" s="2401"/>
      <c r="E29" s="2401"/>
      <c r="F29" s="2401"/>
      <c r="G29" s="2401"/>
      <c r="H29" s="2401"/>
      <c r="I29" s="2402"/>
      <c r="J29" s="2400">
        <f>SUM(J19:O28)</f>
        <v>136</v>
      </c>
      <c r="K29" s="2401"/>
      <c r="L29" s="2401"/>
      <c r="M29" s="2401"/>
      <c r="N29" s="2401"/>
      <c r="O29" s="2402"/>
      <c r="P29" s="2400">
        <f>SUM(P19:U28)</f>
        <v>8</v>
      </c>
      <c r="Q29" s="2401"/>
      <c r="R29" s="2401"/>
      <c r="S29" s="2401"/>
      <c r="T29" s="2401"/>
      <c r="U29" s="2402"/>
      <c r="V29" s="2400">
        <f>SUM(V19:AA28)</f>
        <v>19</v>
      </c>
      <c r="W29" s="2401"/>
      <c r="X29" s="2401"/>
      <c r="Y29" s="2401"/>
      <c r="Z29" s="2401"/>
      <c r="AA29" s="2402"/>
      <c r="AB29" s="2400">
        <f>SUM(AB19:AG28)</f>
        <v>75</v>
      </c>
      <c r="AC29" s="2401"/>
      <c r="AD29" s="2401"/>
      <c r="AE29" s="2401"/>
      <c r="AF29" s="2401"/>
      <c r="AG29" s="2402"/>
      <c r="AH29" s="2400">
        <f>SUM(AH19:AM28)</f>
        <v>27</v>
      </c>
      <c r="AI29" s="2401"/>
      <c r="AJ29" s="2401"/>
      <c r="AK29" s="2401"/>
      <c r="AL29" s="2401"/>
      <c r="AM29" s="2402"/>
      <c r="AN29" s="2400">
        <f>SUM(AN19:AS28)</f>
        <v>7</v>
      </c>
      <c r="AO29" s="2401"/>
      <c r="AP29" s="2401"/>
      <c r="AQ29" s="2401"/>
      <c r="AR29" s="2401"/>
      <c r="AS29" s="2402"/>
      <c r="AT29" s="2403">
        <f>J29/$J$29</f>
        <v>1</v>
      </c>
      <c r="AU29" s="2404"/>
      <c r="AV29" s="2404"/>
      <c r="AW29" s="2404"/>
      <c r="AX29" s="2404"/>
      <c r="AY29" s="2405"/>
      <c r="AZ29" s="1189"/>
      <c r="BA29" s="1189"/>
      <c r="BB29" s="1189"/>
      <c r="BC29" s="1189"/>
      <c r="BD29" s="1189"/>
      <c r="BE29" s="1195"/>
    </row>
    <row r="30" spans="1:58" ht="15"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5"/>
    </row>
    <row r="31" spans="1:58" ht="14.5">
      <c r="A31" s="1189"/>
      <c r="B31" s="2280" t="s">
        <v>1868</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7"/>
      <c r="BA31" s="1189"/>
      <c r="BB31" s="1189"/>
      <c r="BC31" s="1189"/>
      <c r="BD31" s="1189"/>
      <c r="BE31" s="1195"/>
    </row>
    <row r="32" spans="1:58" ht="14.5">
      <c r="A32" s="1189"/>
      <c r="B32" s="2406" t="s">
        <v>2582</v>
      </c>
      <c r="C32" s="2407"/>
      <c r="D32" s="2407"/>
      <c r="E32" s="2407"/>
      <c r="F32" s="2407"/>
      <c r="G32" s="2407"/>
      <c r="H32" s="2407"/>
      <c r="I32" s="2407"/>
      <c r="J32" s="2409" t="s">
        <v>2583</v>
      </c>
      <c r="K32" s="2410"/>
      <c r="L32" s="2410"/>
      <c r="M32" s="2410"/>
      <c r="N32" s="2409" t="s">
        <v>1869</v>
      </c>
      <c r="O32" s="2410"/>
      <c r="P32" s="2410"/>
      <c r="Q32" s="2410"/>
      <c r="R32" s="2281" t="s">
        <v>1870</v>
      </c>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331"/>
      <c r="BA32" s="1189"/>
      <c r="BB32" s="1189"/>
      <c r="BC32" s="1189"/>
      <c r="BD32" s="1189"/>
      <c r="BE32" s="1195"/>
    </row>
    <row r="33" spans="1:58" ht="15" customHeight="1">
      <c r="A33" s="1189"/>
      <c r="B33" s="2408"/>
      <c r="C33" s="2407"/>
      <c r="D33" s="2407"/>
      <c r="E33" s="2407"/>
      <c r="F33" s="2407"/>
      <c r="G33" s="2407"/>
      <c r="H33" s="2407"/>
      <c r="I33" s="2407"/>
      <c r="J33" s="2410"/>
      <c r="K33" s="2410"/>
      <c r="L33" s="2410"/>
      <c r="M33" s="2410"/>
      <c r="N33" s="2410"/>
      <c r="O33" s="2410"/>
      <c r="P33" s="2410"/>
      <c r="Q33" s="2410"/>
      <c r="R33" s="2382" t="s">
        <v>1871</v>
      </c>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11"/>
      <c r="BA33" s="1196"/>
      <c r="BB33" s="1189"/>
      <c r="BC33" s="1189"/>
      <c r="BD33" s="1189"/>
      <c r="BE33" s="1195"/>
    </row>
    <row r="34" spans="1:58" ht="15.75" customHeight="1">
      <c r="A34" s="1189"/>
      <c r="B34" s="2408"/>
      <c r="C34" s="2407"/>
      <c r="D34" s="2407"/>
      <c r="E34" s="2407"/>
      <c r="F34" s="2407"/>
      <c r="G34" s="2407"/>
      <c r="H34" s="2407"/>
      <c r="I34" s="2407"/>
      <c r="J34" s="2410"/>
      <c r="K34" s="2410"/>
      <c r="L34" s="2410"/>
      <c r="M34" s="2410"/>
      <c r="N34" s="2410"/>
      <c r="O34" s="2410"/>
      <c r="P34" s="2410"/>
      <c r="Q34" s="2410"/>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11"/>
      <c r="BA34" s="1196"/>
      <c r="BB34" s="1189"/>
      <c r="BC34" s="1189"/>
      <c r="BD34" s="1189"/>
      <c r="BE34" s="1195"/>
    </row>
    <row r="35" spans="1:58" ht="15.75" customHeight="1">
      <c r="A35" s="1189"/>
      <c r="B35" s="2408"/>
      <c r="C35" s="2407"/>
      <c r="D35" s="2407"/>
      <c r="E35" s="2407"/>
      <c r="F35" s="2407"/>
      <c r="G35" s="2407"/>
      <c r="H35" s="2407"/>
      <c r="I35" s="2407"/>
      <c r="J35" s="2410"/>
      <c r="K35" s="2410"/>
      <c r="L35" s="2410"/>
      <c r="M35" s="2410"/>
      <c r="N35" s="2410"/>
      <c r="O35" s="2410"/>
      <c r="P35" s="2410"/>
      <c r="Q35" s="2410"/>
      <c r="R35" s="2396">
        <v>0.3</v>
      </c>
      <c r="S35" s="2396"/>
      <c r="T35" s="2396"/>
      <c r="U35" s="2396"/>
      <c r="V35" s="2396">
        <v>0.4</v>
      </c>
      <c r="W35" s="2396"/>
      <c r="X35" s="2396"/>
      <c r="Y35" s="2396"/>
      <c r="Z35" s="2396">
        <v>0.5</v>
      </c>
      <c r="AA35" s="2396"/>
      <c r="AB35" s="2396"/>
      <c r="AC35" s="2396"/>
      <c r="AD35" s="2396">
        <v>0.6</v>
      </c>
      <c r="AE35" s="2396"/>
      <c r="AF35" s="2396"/>
      <c r="AG35" s="2396"/>
      <c r="AH35" s="2396">
        <v>0.8</v>
      </c>
      <c r="AI35" s="2396"/>
      <c r="AJ35" s="2396"/>
      <c r="AK35" s="2396"/>
      <c r="AL35" s="2397">
        <v>1</v>
      </c>
      <c r="AM35" s="2397"/>
      <c r="AN35" s="2397"/>
      <c r="AO35" s="2398" t="s">
        <v>1872</v>
      </c>
      <c r="AP35" s="2398"/>
      <c r="AQ35" s="2398"/>
      <c r="AR35" s="2398"/>
      <c r="AS35" s="2398"/>
      <c r="AT35" s="2398"/>
      <c r="AU35" s="2398" t="s">
        <v>1873</v>
      </c>
      <c r="AV35" s="2398"/>
      <c r="AW35" s="2398"/>
      <c r="AX35" s="2398"/>
      <c r="AY35" s="2398"/>
      <c r="AZ35" s="2399"/>
      <c r="BA35" s="1196"/>
      <c r="BB35" s="1189"/>
      <c r="BC35" s="1189"/>
      <c r="BD35" s="1189"/>
      <c r="BE35" s="1195"/>
      <c r="BF35" s="1187"/>
    </row>
    <row r="36" spans="1:58" ht="15.75" customHeight="1">
      <c r="A36" s="1189"/>
      <c r="B36" s="2335" t="s">
        <v>1874</v>
      </c>
      <c r="C36" s="2336"/>
      <c r="D36" s="2336"/>
      <c r="E36" s="2336"/>
      <c r="F36" s="2336"/>
      <c r="G36" s="2336"/>
      <c r="H36" s="2336"/>
      <c r="I36" s="2336"/>
      <c r="J36" s="2395" t="s">
        <v>1875</v>
      </c>
      <c r="K36" s="2395"/>
      <c r="L36" s="2395"/>
      <c r="M36" s="2395"/>
      <c r="N36" s="2395">
        <v>55</v>
      </c>
      <c r="O36" s="2395"/>
      <c r="P36" s="2395"/>
      <c r="Q36" s="2395"/>
      <c r="R36" s="2388">
        <v>0</v>
      </c>
      <c r="S36" s="2388"/>
      <c r="T36" s="2388"/>
      <c r="U36" s="2388"/>
      <c r="V36" s="2388">
        <v>0</v>
      </c>
      <c r="W36" s="2388"/>
      <c r="X36" s="2388"/>
      <c r="Y36" s="2388"/>
      <c r="Z36" s="2388">
        <v>10</v>
      </c>
      <c r="AA36" s="2388"/>
      <c r="AB36" s="2388"/>
      <c r="AC36" s="2388"/>
      <c r="AD36" s="2388">
        <v>30</v>
      </c>
      <c r="AE36" s="2388"/>
      <c r="AF36" s="2388"/>
      <c r="AG36" s="2388"/>
      <c r="AH36" s="2388">
        <v>0</v>
      </c>
      <c r="AI36" s="2388"/>
      <c r="AJ36" s="2388"/>
      <c r="AK36" s="2388"/>
      <c r="AL36" s="2388">
        <v>0</v>
      </c>
      <c r="AM36" s="2388"/>
      <c r="AN36" s="2388"/>
      <c r="AO36" s="2389">
        <f>SUM(R36:AN36)</f>
        <v>40</v>
      </c>
      <c r="AP36" s="2389"/>
      <c r="AQ36" s="2389"/>
      <c r="AR36" s="2389"/>
      <c r="AS36" s="2389"/>
      <c r="AT36" s="2389"/>
      <c r="AU36" s="2390">
        <f>AO36/$J$29</f>
        <v>0.29411764705882354</v>
      </c>
      <c r="AV36" s="2390"/>
      <c r="AW36" s="2390"/>
      <c r="AX36" s="2390"/>
      <c r="AY36" s="2390"/>
      <c r="AZ36" s="2391"/>
      <c r="BA36" s="1189"/>
      <c r="BB36" s="1189"/>
      <c r="BC36" s="1189"/>
      <c r="BD36" s="1189"/>
      <c r="BE36" s="1195"/>
      <c r="BF36" s="1187"/>
    </row>
    <row r="37" spans="1:58" ht="15.75" customHeight="1">
      <c r="A37" s="1189"/>
      <c r="B37" s="2335" t="s">
        <v>2584</v>
      </c>
      <c r="C37" s="2336"/>
      <c r="D37" s="2336"/>
      <c r="E37" s="2336"/>
      <c r="F37" s="2336"/>
      <c r="G37" s="2336"/>
      <c r="H37" s="2336"/>
      <c r="I37" s="2336"/>
      <c r="J37" s="2395" t="s">
        <v>1876</v>
      </c>
      <c r="K37" s="2395"/>
      <c r="L37" s="2395"/>
      <c r="M37" s="2395"/>
      <c r="N37" s="2395">
        <v>55</v>
      </c>
      <c r="O37" s="2395"/>
      <c r="P37" s="2395"/>
      <c r="Q37" s="2395"/>
      <c r="R37" s="2388">
        <v>10</v>
      </c>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9">
        <f t="shared" ref="AO37:AO47" si="2">SUM(R37:AN37)</f>
        <v>10</v>
      </c>
      <c r="AP37" s="2389"/>
      <c r="AQ37" s="2389"/>
      <c r="AR37" s="2389"/>
      <c r="AS37" s="2389"/>
      <c r="AT37" s="2389"/>
      <c r="AU37" s="2390">
        <f t="shared" ref="AU37:AU47" si="3">AO37/$J$29</f>
        <v>7.3529411764705885E-2</v>
      </c>
      <c r="AV37" s="2390"/>
      <c r="AW37" s="2390"/>
      <c r="AX37" s="2390"/>
      <c r="AY37" s="2390"/>
      <c r="AZ37" s="2391"/>
      <c r="BA37" s="1189"/>
      <c r="BB37" s="1189"/>
      <c r="BC37" s="1189"/>
      <c r="BD37" s="1189"/>
      <c r="BE37" s="1195"/>
      <c r="BF37" s="1187"/>
    </row>
    <row r="38" spans="1:58" ht="15.75" customHeight="1">
      <c r="A38" s="1189"/>
      <c r="B38" s="2335" t="s">
        <v>2522</v>
      </c>
      <c r="C38" s="2336"/>
      <c r="D38" s="2336"/>
      <c r="E38" s="2336"/>
      <c r="F38" s="2336"/>
      <c r="G38" s="2336"/>
      <c r="H38" s="2336"/>
      <c r="I38" s="2336"/>
      <c r="J38" s="2395" t="s">
        <v>1877</v>
      </c>
      <c r="K38" s="2395"/>
      <c r="L38" s="2395"/>
      <c r="M38" s="2395"/>
      <c r="N38" s="2395">
        <v>55</v>
      </c>
      <c r="O38" s="2395"/>
      <c r="P38" s="2395"/>
      <c r="Q38" s="2395"/>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9">
        <f t="shared" si="2"/>
        <v>0</v>
      </c>
      <c r="AP38" s="2389"/>
      <c r="AQ38" s="2389"/>
      <c r="AR38" s="2389"/>
      <c r="AS38" s="2389"/>
      <c r="AT38" s="2389"/>
      <c r="AU38" s="2390">
        <f t="shared" si="3"/>
        <v>0</v>
      </c>
      <c r="AV38" s="2390"/>
      <c r="AW38" s="2390"/>
      <c r="AX38" s="2390"/>
      <c r="AY38" s="2390"/>
      <c r="AZ38" s="2391"/>
      <c r="BA38" s="1189"/>
      <c r="BB38" s="1189"/>
      <c r="BC38" s="1189"/>
      <c r="BD38" s="1189"/>
      <c r="BE38" s="1195"/>
      <c r="BF38" s="1187"/>
    </row>
    <row r="39" spans="1:58" ht="15.75" customHeight="1">
      <c r="A39" s="1189"/>
      <c r="B39" s="2335" t="s">
        <v>1878</v>
      </c>
      <c r="C39" s="2336"/>
      <c r="D39" s="2336"/>
      <c r="E39" s="2336"/>
      <c r="F39" s="2336"/>
      <c r="G39" s="2336"/>
      <c r="H39" s="2336"/>
      <c r="I39" s="2336"/>
      <c r="J39" s="2395"/>
      <c r="K39" s="2395"/>
      <c r="L39" s="2395"/>
      <c r="M39" s="2395"/>
      <c r="N39" s="2395"/>
      <c r="O39" s="2395"/>
      <c r="P39" s="2395"/>
      <c r="Q39" s="2395"/>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9">
        <f t="shared" si="2"/>
        <v>0</v>
      </c>
      <c r="AP39" s="2389"/>
      <c r="AQ39" s="2389"/>
      <c r="AR39" s="2389"/>
      <c r="AS39" s="2389"/>
      <c r="AT39" s="2389"/>
      <c r="AU39" s="2390">
        <f t="shared" si="3"/>
        <v>0</v>
      </c>
      <c r="AV39" s="2390"/>
      <c r="AW39" s="2390"/>
      <c r="AX39" s="2390"/>
      <c r="AY39" s="2390"/>
      <c r="AZ39" s="2391"/>
      <c r="BA39" s="1189"/>
      <c r="BB39" s="1189"/>
      <c r="BC39" s="1189"/>
      <c r="BD39" s="1189"/>
      <c r="BE39" s="1195"/>
    </row>
    <row r="40" spans="1:58" ht="15.75" customHeight="1">
      <c r="A40" s="1189"/>
      <c r="B40" s="2335" t="s">
        <v>1878</v>
      </c>
      <c r="C40" s="2336"/>
      <c r="D40" s="2336"/>
      <c r="E40" s="2336"/>
      <c r="F40" s="2336"/>
      <c r="G40" s="2336"/>
      <c r="H40" s="2336"/>
      <c r="I40" s="2336"/>
      <c r="J40" s="2395"/>
      <c r="K40" s="2395"/>
      <c r="L40" s="2395"/>
      <c r="M40" s="2395"/>
      <c r="N40" s="2395"/>
      <c r="O40" s="2395"/>
      <c r="P40" s="2395"/>
      <c r="Q40" s="2395"/>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9">
        <f t="shared" si="2"/>
        <v>0</v>
      </c>
      <c r="AP40" s="2389"/>
      <c r="AQ40" s="2389"/>
      <c r="AR40" s="2389"/>
      <c r="AS40" s="2389"/>
      <c r="AT40" s="2389"/>
      <c r="AU40" s="2390">
        <f t="shared" si="3"/>
        <v>0</v>
      </c>
      <c r="AV40" s="2390"/>
      <c r="AW40" s="2390"/>
      <c r="AX40" s="2390"/>
      <c r="AY40" s="2390"/>
      <c r="AZ40" s="2391"/>
      <c r="BA40" s="1189"/>
      <c r="BB40" s="1189"/>
      <c r="BC40" s="1189"/>
      <c r="BD40" s="1189"/>
      <c r="BE40" s="1195"/>
    </row>
    <row r="41" spans="1:58" ht="15.75" customHeight="1">
      <c r="A41" s="1189"/>
      <c r="B41" s="2335" t="s">
        <v>1879</v>
      </c>
      <c r="C41" s="2336"/>
      <c r="D41" s="2336"/>
      <c r="E41" s="2336"/>
      <c r="F41" s="2336"/>
      <c r="G41" s="2336"/>
      <c r="H41" s="2336"/>
      <c r="I41" s="2336"/>
      <c r="J41" s="2395"/>
      <c r="K41" s="2395"/>
      <c r="L41" s="2395"/>
      <c r="M41" s="2395"/>
      <c r="N41" s="2395"/>
      <c r="O41" s="2395"/>
      <c r="P41" s="2395"/>
      <c r="Q41" s="2395"/>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9">
        <f t="shared" si="2"/>
        <v>0</v>
      </c>
      <c r="AP41" s="2389"/>
      <c r="AQ41" s="2389"/>
      <c r="AR41" s="2389"/>
      <c r="AS41" s="2389"/>
      <c r="AT41" s="2389"/>
      <c r="AU41" s="2390">
        <f t="shared" si="3"/>
        <v>0</v>
      </c>
      <c r="AV41" s="2390"/>
      <c r="AW41" s="2390"/>
      <c r="AX41" s="2390"/>
      <c r="AY41" s="2390"/>
      <c r="AZ41" s="2391"/>
      <c r="BA41" s="1189"/>
      <c r="BB41" s="1189"/>
      <c r="BC41" s="1189"/>
      <c r="BD41" s="1189"/>
      <c r="BE41" s="1195"/>
    </row>
    <row r="42" spans="1:58" ht="15.75" customHeight="1">
      <c r="A42" s="1189"/>
      <c r="B42" s="2335" t="s">
        <v>1879</v>
      </c>
      <c r="C42" s="2336"/>
      <c r="D42" s="2336"/>
      <c r="E42" s="2336"/>
      <c r="F42" s="2336"/>
      <c r="G42" s="2336"/>
      <c r="H42" s="2336"/>
      <c r="I42" s="2336"/>
      <c r="J42" s="2395"/>
      <c r="K42" s="2395"/>
      <c r="L42" s="2395"/>
      <c r="M42" s="2395"/>
      <c r="N42" s="2395"/>
      <c r="O42" s="2395"/>
      <c r="P42" s="2395"/>
      <c r="Q42" s="2395"/>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9">
        <f t="shared" si="2"/>
        <v>0</v>
      </c>
      <c r="AP42" s="2389"/>
      <c r="AQ42" s="2389"/>
      <c r="AR42" s="2389"/>
      <c r="AS42" s="2389"/>
      <c r="AT42" s="2389"/>
      <c r="AU42" s="2390">
        <f t="shared" si="3"/>
        <v>0</v>
      </c>
      <c r="AV42" s="2390"/>
      <c r="AW42" s="2390"/>
      <c r="AX42" s="2390"/>
      <c r="AY42" s="2390"/>
      <c r="AZ42" s="2391"/>
      <c r="BA42" s="1189"/>
      <c r="BB42" s="1189"/>
      <c r="BC42" s="1189"/>
      <c r="BD42" s="1189"/>
      <c r="BE42" s="1195"/>
    </row>
    <row r="43" spans="1:58" ht="15.75" customHeight="1">
      <c r="A43" s="1189"/>
      <c r="B43" s="2340" t="s">
        <v>1880</v>
      </c>
      <c r="C43" s="2341"/>
      <c r="D43" s="2341"/>
      <c r="E43" s="2341"/>
      <c r="F43" s="2341"/>
      <c r="G43" s="2341"/>
      <c r="H43" s="2341"/>
      <c r="I43" s="2341"/>
      <c r="J43" s="2395"/>
      <c r="K43" s="2395"/>
      <c r="L43" s="2395"/>
      <c r="M43" s="2395"/>
      <c r="N43" s="2395"/>
      <c r="O43" s="2395"/>
      <c r="P43" s="2395"/>
      <c r="Q43" s="2395"/>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9">
        <f t="shared" si="2"/>
        <v>0</v>
      </c>
      <c r="AP43" s="2389"/>
      <c r="AQ43" s="2389"/>
      <c r="AR43" s="2389"/>
      <c r="AS43" s="2389"/>
      <c r="AT43" s="2389"/>
      <c r="AU43" s="2390">
        <f t="shared" si="3"/>
        <v>0</v>
      </c>
      <c r="AV43" s="2390"/>
      <c r="AW43" s="2390"/>
      <c r="AX43" s="2390"/>
      <c r="AY43" s="2390"/>
      <c r="AZ43" s="2391"/>
      <c r="BA43" s="1189"/>
      <c r="BB43" s="1189"/>
      <c r="BC43" s="1189"/>
      <c r="BD43" s="1189"/>
      <c r="BE43" s="1195"/>
    </row>
    <row r="44" spans="1:58" ht="15.75" customHeight="1">
      <c r="A44" s="1189"/>
      <c r="B44" s="2340" t="s">
        <v>1881</v>
      </c>
      <c r="C44" s="2341"/>
      <c r="D44" s="2341"/>
      <c r="E44" s="2341"/>
      <c r="F44" s="2341"/>
      <c r="G44" s="2341"/>
      <c r="H44" s="2341"/>
      <c r="I44" s="2341"/>
      <c r="J44" s="2395"/>
      <c r="K44" s="2395"/>
      <c r="L44" s="2395"/>
      <c r="M44" s="2395"/>
      <c r="N44" s="2395"/>
      <c r="O44" s="2395"/>
      <c r="P44" s="2395"/>
      <c r="Q44" s="2395"/>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9">
        <f t="shared" si="2"/>
        <v>0</v>
      </c>
      <c r="AP44" s="2389"/>
      <c r="AQ44" s="2389"/>
      <c r="AR44" s="2389"/>
      <c r="AS44" s="2389"/>
      <c r="AT44" s="2389"/>
      <c r="AU44" s="2390">
        <f t="shared" si="3"/>
        <v>0</v>
      </c>
      <c r="AV44" s="2390"/>
      <c r="AW44" s="2390"/>
      <c r="AX44" s="2390"/>
      <c r="AY44" s="2390"/>
      <c r="AZ44" s="2391"/>
      <c r="BA44" s="1189"/>
      <c r="BB44" s="1189"/>
      <c r="BC44" s="1189"/>
      <c r="BD44" s="1189"/>
      <c r="BE44" s="1195"/>
    </row>
    <row r="45" spans="1:58" ht="15.75" customHeight="1">
      <c r="A45" s="1189"/>
      <c r="B45" s="2340" t="s">
        <v>1882</v>
      </c>
      <c r="C45" s="2341"/>
      <c r="D45" s="2341"/>
      <c r="E45" s="2341"/>
      <c r="F45" s="2341"/>
      <c r="G45" s="2341"/>
      <c r="H45" s="2341"/>
      <c r="I45" s="2341"/>
      <c r="J45" s="2395"/>
      <c r="K45" s="2395"/>
      <c r="L45" s="2395"/>
      <c r="M45" s="2395"/>
      <c r="N45" s="2395"/>
      <c r="O45" s="2395"/>
      <c r="P45" s="2395"/>
      <c r="Q45" s="2395"/>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9">
        <f t="shared" si="2"/>
        <v>0</v>
      </c>
      <c r="AP45" s="2389"/>
      <c r="AQ45" s="2389"/>
      <c r="AR45" s="2389"/>
      <c r="AS45" s="2389"/>
      <c r="AT45" s="2389"/>
      <c r="AU45" s="2390">
        <f t="shared" si="3"/>
        <v>0</v>
      </c>
      <c r="AV45" s="2390"/>
      <c r="AW45" s="2390"/>
      <c r="AX45" s="2390"/>
      <c r="AY45" s="2390"/>
      <c r="AZ45" s="2391"/>
      <c r="BA45" s="1189"/>
      <c r="BB45" s="1189"/>
      <c r="BC45" s="1189"/>
      <c r="BD45" s="1189"/>
      <c r="BE45" s="1195"/>
    </row>
    <row r="46" spans="1:58" ht="15.75" customHeight="1">
      <c r="A46" s="1189"/>
      <c r="B46" s="2340" t="s">
        <v>1883</v>
      </c>
      <c r="C46" s="2341"/>
      <c r="D46" s="2341"/>
      <c r="E46" s="2341"/>
      <c r="F46" s="2341"/>
      <c r="G46" s="2341"/>
      <c r="H46" s="2341"/>
      <c r="I46" s="2341"/>
      <c r="J46" s="2395"/>
      <c r="K46" s="2395"/>
      <c r="L46" s="2395"/>
      <c r="M46" s="2395"/>
      <c r="N46" s="2395">
        <v>99</v>
      </c>
      <c r="O46" s="2395"/>
      <c r="P46" s="2395"/>
      <c r="Q46" s="2395"/>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9">
        <f t="shared" si="2"/>
        <v>0</v>
      </c>
      <c r="AP46" s="2389"/>
      <c r="AQ46" s="2389"/>
      <c r="AR46" s="2389"/>
      <c r="AS46" s="2389"/>
      <c r="AT46" s="2389"/>
      <c r="AU46" s="2390">
        <f t="shared" si="3"/>
        <v>0</v>
      </c>
      <c r="AV46" s="2390"/>
      <c r="AW46" s="2390"/>
      <c r="AX46" s="2390"/>
      <c r="AY46" s="2390"/>
      <c r="AZ46" s="2391"/>
      <c r="BA46" s="1189"/>
      <c r="BB46" s="1189"/>
      <c r="BC46" s="1189"/>
      <c r="BD46" s="1189"/>
      <c r="BE46" s="1195"/>
    </row>
    <row r="47" spans="1:58" ht="15.75" customHeight="1" thickBot="1">
      <c r="A47" s="1189"/>
      <c r="B47" s="2392" t="s">
        <v>302</v>
      </c>
      <c r="C47" s="2393"/>
      <c r="D47" s="2393"/>
      <c r="E47" s="2393"/>
      <c r="F47" s="2393"/>
      <c r="G47" s="2393"/>
      <c r="H47" s="2393"/>
      <c r="I47" s="2393"/>
      <c r="J47" s="2394"/>
      <c r="K47" s="2394"/>
      <c r="L47" s="2394"/>
      <c r="M47" s="2394"/>
      <c r="N47" s="2394"/>
      <c r="O47" s="2394"/>
      <c r="P47" s="2394"/>
      <c r="Q47" s="239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5">
        <f t="shared" si="2"/>
        <v>0</v>
      </c>
      <c r="AP47" s="2385"/>
      <c r="AQ47" s="2385"/>
      <c r="AR47" s="2385"/>
      <c r="AS47" s="2385"/>
      <c r="AT47" s="2385"/>
      <c r="AU47" s="2386">
        <f t="shared" si="3"/>
        <v>0</v>
      </c>
      <c r="AV47" s="2386"/>
      <c r="AW47" s="2386"/>
      <c r="AX47" s="2386"/>
      <c r="AY47" s="2386"/>
      <c r="AZ47" s="2387"/>
      <c r="BA47" s="1189"/>
      <c r="BB47" s="1189"/>
      <c r="BC47" s="1189"/>
      <c r="BD47" s="1189"/>
      <c r="BE47" s="1195"/>
    </row>
    <row r="48" spans="1:58" ht="15.75" customHeight="1">
      <c r="A48" s="1189"/>
      <c r="B48" s="1197" t="s">
        <v>2585</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5"/>
      <c r="BF48" s="1187"/>
    </row>
    <row r="49" spans="1:58" ht="15.75" customHeight="1" thickBot="1">
      <c r="A49" s="1189"/>
      <c r="B49" s="1197" t="s">
        <v>2259</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5"/>
      <c r="BF49" s="1187"/>
    </row>
    <row r="50" spans="1:58" ht="15.75" customHeight="1">
      <c r="A50" s="1189"/>
      <c r="B50" s="2280" t="s">
        <v>1884</v>
      </c>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7"/>
      <c r="AP50" s="1191"/>
      <c r="AQ50" s="1191"/>
      <c r="AR50" s="1191"/>
      <c r="AS50" s="1191"/>
      <c r="AT50" s="1191"/>
      <c r="AU50" s="1191"/>
      <c r="AV50" s="1191"/>
      <c r="AW50" s="1191"/>
      <c r="AX50" s="1189"/>
      <c r="AY50" s="1189"/>
      <c r="AZ50" s="1189"/>
      <c r="BA50" s="1189"/>
      <c r="BB50" s="1189"/>
      <c r="BC50" s="1189"/>
      <c r="BD50" s="1189"/>
      <c r="BE50" s="1195"/>
    </row>
    <row r="51" spans="1:58" ht="33.75" customHeight="1">
      <c r="A51" s="1189"/>
      <c r="B51" s="2325" t="s">
        <v>1885</v>
      </c>
      <c r="C51" s="2314"/>
      <c r="D51" s="2314"/>
      <c r="E51" s="2314"/>
      <c r="F51" s="2314"/>
      <c r="G51" s="2314"/>
      <c r="H51" s="2314"/>
      <c r="I51" s="2314"/>
      <c r="J51" s="2314" t="s">
        <v>2586</v>
      </c>
      <c r="K51" s="2314"/>
      <c r="L51" s="2314"/>
      <c r="M51" s="2314"/>
      <c r="N51" s="2314"/>
      <c r="O51" s="2314"/>
      <c r="P51" s="2314"/>
      <c r="Q51" s="2314"/>
      <c r="R51" s="2382" t="s">
        <v>2587</v>
      </c>
      <c r="S51" s="2382"/>
      <c r="T51" s="2382"/>
      <c r="U51" s="2382"/>
      <c r="V51" s="2382"/>
      <c r="W51" s="2382"/>
      <c r="X51" s="2382"/>
      <c r="Y51" s="2382"/>
      <c r="Z51" s="2382" t="s">
        <v>1886</v>
      </c>
      <c r="AA51" s="2382"/>
      <c r="AB51" s="2382"/>
      <c r="AC51" s="2382"/>
      <c r="AD51" s="2382"/>
      <c r="AE51" s="2382"/>
      <c r="AF51" s="2382"/>
      <c r="AG51" s="2382"/>
      <c r="AH51" s="2382" t="s">
        <v>1887</v>
      </c>
      <c r="AI51" s="2382"/>
      <c r="AJ51" s="2382"/>
      <c r="AK51" s="2382"/>
      <c r="AL51" s="2382"/>
      <c r="AM51" s="2382"/>
      <c r="AN51" s="2382"/>
      <c r="AO51" s="2383"/>
      <c r="AP51" s="1191"/>
      <c r="AQ51" s="1191"/>
      <c r="AR51" s="1191"/>
      <c r="AS51" s="1191"/>
      <c r="AT51" s="1191"/>
      <c r="AU51" s="1191"/>
      <c r="AV51" s="1191"/>
      <c r="AW51" s="1191"/>
      <c r="AX51" s="1196"/>
      <c r="AY51" s="1189"/>
      <c r="AZ51" s="1189"/>
      <c r="BA51" s="1189"/>
      <c r="BB51" s="1189"/>
      <c r="BC51" s="1189"/>
      <c r="BD51" s="1189"/>
      <c r="BE51" s="1195"/>
    </row>
    <row r="52" spans="1:58" ht="15.75" customHeight="1">
      <c r="A52" s="1189"/>
      <c r="B52" s="2340" t="s">
        <v>2260</v>
      </c>
      <c r="C52" s="2341"/>
      <c r="D52" s="2341"/>
      <c r="E52" s="2341"/>
      <c r="F52" s="2341"/>
      <c r="G52" s="2341"/>
      <c r="H52" s="2341"/>
      <c r="I52" s="2341"/>
      <c r="J52" s="2205">
        <v>0</v>
      </c>
      <c r="K52" s="2205"/>
      <c r="L52" s="2205"/>
      <c r="M52" s="2205"/>
      <c r="N52" s="2205"/>
      <c r="O52" s="2205"/>
      <c r="P52" s="2205"/>
      <c r="Q52" s="2205"/>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191"/>
      <c r="AQ52" s="1191"/>
      <c r="AR52" s="1191"/>
      <c r="AS52" s="1191"/>
      <c r="AT52" s="1191"/>
      <c r="AU52" s="1191"/>
      <c r="AV52" s="1191"/>
      <c r="AW52" s="1191"/>
      <c r="AX52" s="1196"/>
      <c r="AY52" s="1189"/>
      <c r="AZ52" s="1189"/>
      <c r="BA52" s="1189"/>
      <c r="BB52" s="1189"/>
      <c r="BC52" s="1189"/>
      <c r="BD52" s="1189"/>
      <c r="BE52" s="1195"/>
    </row>
    <row r="53" spans="1:58" ht="15.75" customHeight="1">
      <c r="A53" s="1189"/>
      <c r="B53" s="2340" t="s">
        <v>2261</v>
      </c>
      <c r="C53" s="2341"/>
      <c r="D53" s="2341"/>
      <c r="E53" s="2341"/>
      <c r="F53" s="2341"/>
      <c r="G53" s="2341"/>
      <c r="H53" s="2341"/>
      <c r="I53" s="2341"/>
      <c r="J53" s="2205">
        <v>0</v>
      </c>
      <c r="K53" s="2205"/>
      <c r="L53" s="2205"/>
      <c r="M53" s="2205"/>
      <c r="N53" s="2205"/>
      <c r="O53" s="2205"/>
      <c r="P53" s="2205"/>
      <c r="Q53" s="2205"/>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191"/>
      <c r="AQ53" s="1191"/>
      <c r="AR53" s="1191"/>
      <c r="AS53" s="1191"/>
      <c r="AT53" s="1191"/>
      <c r="AU53" s="1191"/>
      <c r="AV53" s="1191"/>
      <c r="AW53" s="1191"/>
      <c r="AX53" s="1189"/>
      <c r="AY53" s="1189"/>
      <c r="AZ53" s="1189"/>
      <c r="BA53" s="1189"/>
      <c r="BB53" s="1189"/>
      <c r="BC53" s="1189"/>
      <c r="BD53" s="1189"/>
      <c r="BE53" s="1195"/>
    </row>
    <row r="54" spans="1:58" ht="15.75" customHeight="1">
      <c r="A54" s="1189"/>
      <c r="B54" s="2340"/>
      <c r="C54" s="2341"/>
      <c r="D54" s="2341"/>
      <c r="E54" s="2341"/>
      <c r="F54" s="2341"/>
      <c r="G54" s="2341"/>
      <c r="H54" s="2341"/>
      <c r="I54" s="2341"/>
      <c r="J54" s="2205"/>
      <c r="K54" s="2205"/>
      <c r="L54" s="2205"/>
      <c r="M54" s="2205"/>
      <c r="N54" s="2205"/>
      <c r="O54" s="2205"/>
      <c r="P54" s="2205"/>
      <c r="Q54" s="2205"/>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191"/>
      <c r="AQ54" s="1191"/>
      <c r="AR54" s="1191"/>
      <c r="AS54" s="1191"/>
      <c r="AT54" s="1191"/>
      <c r="AU54" s="1191"/>
      <c r="AV54" s="1191"/>
      <c r="AW54" s="1191"/>
      <c r="AX54" s="1189"/>
      <c r="AY54" s="1189"/>
      <c r="AZ54" s="1189"/>
      <c r="BA54" s="1189"/>
      <c r="BB54" s="1189"/>
      <c r="BC54" s="1189"/>
      <c r="BD54" s="1189"/>
      <c r="BE54" s="1195"/>
    </row>
    <row r="55" spans="1:58" ht="15.75" customHeight="1">
      <c r="A55" s="1189"/>
      <c r="B55" s="2340"/>
      <c r="C55" s="2341"/>
      <c r="D55" s="2341"/>
      <c r="E55" s="2341"/>
      <c r="F55" s="2341"/>
      <c r="G55" s="2341"/>
      <c r="H55" s="2341"/>
      <c r="I55" s="2341"/>
      <c r="J55" s="2205"/>
      <c r="K55" s="2205"/>
      <c r="L55" s="2205"/>
      <c r="M55" s="2205"/>
      <c r="N55" s="2205"/>
      <c r="O55" s="2205"/>
      <c r="P55" s="2205"/>
      <c r="Q55" s="2205"/>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191"/>
      <c r="AQ55" s="1191"/>
      <c r="AR55" s="1191"/>
      <c r="AS55" s="1191"/>
      <c r="AT55" s="1191" t="s">
        <v>252</v>
      </c>
      <c r="AU55" s="1191"/>
      <c r="AV55" s="1191"/>
      <c r="AW55" s="1191"/>
      <c r="AX55" s="1189"/>
      <c r="AY55" s="1189"/>
      <c r="AZ55" s="1189"/>
      <c r="BA55" s="1189"/>
      <c r="BB55" s="1189"/>
      <c r="BC55" s="1189"/>
      <c r="BD55" s="1189"/>
      <c r="BE55" s="1195"/>
    </row>
    <row r="56" spans="1:58" ht="15.75" customHeight="1">
      <c r="A56" s="1189"/>
      <c r="B56" s="2340"/>
      <c r="C56" s="2341"/>
      <c r="D56" s="2341"/>
      <c r="E56" s="2341"/>
      <c r="F56" s="2341"/>
      <c r="G56" s="2341"/>
      <c r="H56" s="2341"/>
      <c r="I56" s="2341"/>
      <c r="J56" s="2205"/>
      <c r="K56" s="2205"/>
      <c r="L56" s="2205"/>
      <c r="M56" s="2205"/>
      <c r="N56" s="2205"/>
      <c r="O56" s="2205"/>
      <c r="P56" s="2205"/>
      <c r="Q56" s="2205"/>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191"/>
      <c r="AQ56" s="1191"/>
      <c r="AR56" s="1191"/>
      <c r="AS56" s="1191"/>
      <c r="AT56" s="1191"/>
      <c r="AU56" s="1191"/>
      <c r="AV56" s="1191"/>
      <c r="AW56" s="1191"/>
      <c r="AX56" s="1189"/>
      <c r="AY56" s="1189"/>
      <c r="AZ56" s="1189"/>
      <c r="BA56" s="1189"/>
      <c r="BB56" s="1189"/>
      <c r="BC56" s="1189"/>
      <c r="BD56" s="1189"/>
      <c r="BE56" s="1195"/>
    </row>
    <row r="57" spans="1:58" s="1199" customFormat="1" ht="15.75" customHeight="1" thickBot="1">
      <c r="A57" s="1191"/>
      <c r="B57" s="2323" t="s">
        <v>1764</v>
      </c>
      <c r="C57" s="2324"/>
      <c r="D57" s="2324"/>
      <c r="E57" s="2324"/>
      <c r="F57" s="2324"/>
      <c r="G57" s="2324"/>
      <c r="H57" s="2324"/>
      <c r="I57" s="2324"/>
      <c r="J57" s="2324"/>
      <c r="K57" s="2324"/>
      <c r="L57" s="2324"/>
      <c r="M57" s="2324"/>
      <c r="N57" s="2324"/>
      <c r="O57" s="2324"/>
      <c r="P57" s="2324"/>
      <c r="Q57" s="2324"/>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191"/>
      <c r="AQ57" s="1191"/>
      <c r="AR57" s="1191"/>
      <c r="AS57" s="1191"/>
      <c r="AT57" s="1191"/>
      <c r="AU57" s="1191"/>
      <c r="AV57" s="1191"/>
      <c r="AW57" s="1191"/>
      <c r="AX57" s="1191"/>
      <c r="AY57" s="1191"/>
      <c r="AZ57" s="1191"/>
      <c r="BA57" s="1191"/>
      <c r="BB57" s="1191"/>
      <c r="BC57" s="1191"/>
      <c r="BD57" s="1191"/>
      <c r="BE57" s="1198"/>
    </row>
    <row r="58" spans="1:58"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5"/>
    </row>
    <row r="59" spans="1:58" ht="15.75" customHeight="1">
      <c r="A59" s="1189"/>
      <c r="B59" s="2371" t="s">
        <v>1885</v>
      </c>
      <c r="C59" s="2372"/>
      <c r="D59" s="2372"/>
      <c r="E59" s="2372"/>
      <c r="F59" s="2372"/>
      <c r="G59" s="2372"/>
      <c r="H59" s="2372"/>
      <c r="I59" s="2373"/>
      <c r="J59" s="2303" t="s">
        <v>2588</v>
      </c>
      <c r="K59" s="2303"/>
      <c r="L59" s="2303"/>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4"/>
      <c r="AX59" s="1189"/>
      <c r="AY59" s="1189"/>
      <c r="AZ59" s="1189"/>
      <c r="BA59" s="1189"/>
      <c r="BB59" s="1189"/>
      <c r="BC59" s="1189"/>
      <c r="BD59" s="1189"/>
      <c r="BE59" s="1195"/>
    </row>
    <row r="60" spans="1:58" ht="15.75" customHeight="1">
      <c r="A60" s="1189"/>
      <c r="B60" s="2363" t="str">
        <f>IF(B52="", "", B52)</f>
        <v>Services Company 1</v>
      </c>
      <c r="C60" s="2364"/>
      <c r="D60" s="2364"/>
      <c r="E60" s="2364"/>
      <c r="F60" s="2364"/>
      <c r="G60" s="2364"/>
      <c r="H60" s="2364"/>
      <c r="I60" s="2365"/>
      <c r="J60" s="2366"/>
      <c r="K60" s="2208"/>
      <c r="L60" s="2208"/>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c r="AS60" s="2208"/>
      <c r="AT60" s="2208"/>
      <c r="AU60" s="2208"/>
      <c r="AV60" s="2208"/>
      <c r="AW60" s="2209"/>
      <c r="AX60" s="1189"/>
      <c r="AY60" s="1189"/>
      <c r="AZ60" s="1189"/>
      <c r="BA60" s="1189"/>
      <c r="BB60" s="1189"/>
      <c r="BC60" s="1189"/>
      <c r="BD60" s="1189"/>
      <c r="BE60" s="1195"/>
    </row>
    <row r="61" spans="1:58" ht="15.75" customHeight="1">
      <c r="A61" s="1189"/>
      <c r="B61" s="2363" t="str">
        <f>IF(B53="", "", B53)</f>
        <v>Services Company 2</v>
      </c>
      <c r="C61" s="2364"/>
      <c r="D61" s="2364"/>
      <c r="E61" s="2364"/>
      <c r="F61" s="2364"/>
      <c r="G61" s="2364"/>
      <c r="H61" s="2364"/>
      <c r="I61" s="2365"/>
      <c r="J61" s="2366"/>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c r="AS61" s="2208"/>
      <c r="AT61" s="2208"/>
      <c r="AU61" s="2208"/>
      <c r="AV61" s="2208"/>
      <c r="AW61" s="2209"/>
      <c r="AX61" s="1189"/>
      <c r="AY61" s="1189"/>
      <c r="AZ61" s="1189"/>
      <c r="BA61" s="1189"/>
      <c r="BB61" s="1189"/>
      <c r="BC61" s="1189"/>
      <c r="BD61" s="1189"/>
      <c r="BE61" s="1195"/>
    </row>
    <row r="62" spans="1:58" ht="15.75" customHeight="1">
      <c r="A62" s="1189"/>
      <c r="B62" s="2363" t="str">
        <f>IF(B54="", "", B54)</f>
        <v/>
      </c>
      <c r="C62" s="2364"/>
      <c r="D62" s="2364"/>
      <c r="E62" s="2364"/>
      <c r="F62" s="2364"/>
      <c r="G62" s="2364"/>
      <c r="H62" s="2364"/>
      <c r="I62" s="2365"/>
      <c r="J62" s="2366"/>
      <c r="K62" s="2208"/>
      <c r="L62" s="2208"/>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c r="AS62" s="2208"/>
      <c r="AT62" s="2208"/>
      <c r="AU62" s="2208"/>
      <c r="AV62" s="2208"/>
      <c r="AW62" s="2209"/>
      <c r="AX62" s="1189"/>
      <c r="AY62" s="1189"/>
      <c r="AZ62" s="1189"/>
      <c r="BA62" s="1189"/>
      <c r="BB62" s="1189"/>
      <c r="BC62" s="1189"/>
      <c r="BD62" s="1189"/>
      <c r="BE62" s="1195"/>
    </row>
    <row r="63" spans="1:58" ht="15.75" customHeight="1">
      <c r="A63" s="1189"/>
      <c r="B63" s="2363" t="str">
        <f>IF(B55="", "", B55)</f>
        <v/>
      </c>
      <c r="C63" s="2364"/>
      <c r="D63" s="2364"/>
      <c r="E63" s="2364"/>
      <c r="F63" s="2364"/>
      <c r="G63" s="2364"/>
      <c r="H63" s="2364"/>
      <c r="I63" s="2365"/>
      <c r="J63" s="2366"/>
      <c r="K63" s="2208"/>
      <c r="L63" s="2208"/>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c r="AS63" s="2208"/>
      <c r="AT63" s="2208"/>
      <c r="AU63" s="2208"/>
      <c r="AV63" s="2208"/>
      <c r="AW63" s="2209"/>
      <c r="AX63" s="1189"/>
      <c r="AY63" s="1189"/>
      <c r="AZ63" s="1189"/>
      <c r="BA63" s="1189"/>
      <c r="BB63" s="1189"/>
      <c r="BC63" s="1189"/>
      <c r="BD63" s="1189"/>
      <c r="BE63" s="1195"/>
    </row>
    <row r="64" spans="1:58" ht="15.75" customHeight="1" thickBot="1">
      <c r="A64" s="1189"/>
      <c r="B64" s="2367" t="str">
        <f>IF(B56="", "", B56)</f>
        <v/>
      </c>
      <c r="C64" s="2368"/>
      <c r="D64" s="2368"/>
      <c r="E64" s="2368"/>
      <c r="F64" s="2368"/>
      <c r="G64" s="2368"/>
      <c r="H64" s="2368"/>
      <c r="I64" s="2369"/>
      <c r="J64" s="237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c r="AS64" s="2350"/>
      <c r="AT64" s="2350"/>
      <c r="AU64" s="2350"/>
      <c r="AV64" s="2350"/>
      <c r="AW64" s="2351"/>
      <c r="AX64" s="1189"/>
      <c r="AY64" s="1189"/>
      <c r="AZ64" s="1189"/>
      <c r="BA64" s="1189"/>
      <c r="BB64" s="1189"/>
      <c r="BC64" s="1189"/>
      <c r="BD64" s="1189"/>
      <c r="BE64" s="1195"/>
    </row>
    <row r="65" spans="1:65"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5"/>
    </row>
    <row r="66" spans="1:65" ht="15.75" customHeight="1">
      <c r="A66" s="1189"/>
      <c r="B66" s="1199" t="s">
        <v>1888</v>
      </c>
      <c r="C66" s="1199"/>
      <c r="D66" s="1199"/>
      <c r="E66" s="1199"/>
      <c r="F66" s="1199"/>
      <c r="G66" s="1199"/>
      <c r="H66" s="1199"/>
      <c r="I66" s="1199"/>
      <c r="J66" s="1199"/>
      <c r="K66" s="1199"/>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5"/>
    </row>
    <row r="67" spans="1:65"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5"/>
    </row>
    <row r="68" spans="1:65" ht="15.75" customHeight="1" thickBot="1">
      <c r="A68" s="1189"/>
      <c r="B68" s="2302" t="s">
        <v>1889</v>
      </c>
      <c r="C68" s="2303"/>
      <c r="D68" s="2303"/>
      <c r="E68" s="2303"/>
      <c r="F68" s="2303"/>
      <c r="G68" s="2303"/>
      <c r="H68" s="2303"/>
      <c r="I68" s="2303"/>
      <c r="J68" s="2303"/>
      <c r="K68" s="2303"/>
      <c r="L68" s="2303"/>
      <c r="M68" s="2303"/>
      <c r="N68" s="2303"/>
      <c r="O68" s="2303"/>
      <c r="P68" s="2303"/>
      <c r="Q68" s="2303"/>
      <c r="R68" s="2303"/>
      <c r="S68" s="2303"/>
      <c r="T68" s="2303"/>
      <c r="U68" s="2303"/>
      <c r="V68" s="2303"/>
      <c r="W68" s="2303"/>
      <c r="X68" s="2303"/>
      <c r="Y68" s="2303"/>
      <c r="Z68" s="2303"/>
      <c r="AA68" s="2304"/>
      <c r="AB68" s="1189"/>
      <c r="AC68" s="2244" t="s">
        <v>1890</v>
      </c>
      <c r="AD68" s="2245"/>
      <c r="AE68" s="2245"/>
      <c r="AF68" s="2245"/>
      <c r="AG68" s="2245"/>
      <c r="AH68" s="2245"/>
      <c r="AI68" s="2245"/>
      <c r="AJ68" s="2245"/>
      <c r="AK68" s="2245"/>
      <c r="AL68" s="2245"/>
      <c r="AM68" s="2245"/>
      <c r="AN68" s="2245"/>
      <c r="AO68" s="2245"/>
      <c r="AP68" s="2245"/>
      <c r="AQ68" s="2245"/>
      <c r="AR68" s="2245"/>
      <c r="AS68" s="2245"/>
      <c r="AT68" s="2245"/>
      <c r="AU68" s="2245"/>
      <c r="AV68" s="2352" t="s">
        <v>679</v>
      </c>
      <c r="AW68" s="2288"/>
      <c r="AX68" s="2288"/>
      <c r="AY68" s="2288"/>
      <c r="AZ68" s="2288"/>
      <c r="BA68" s="2288"/>
      <c r="BB68" s="2288"/>
      <c r="BC68" s="2289"/>
      <c r="BD68" s="1189"/>
      <c r="BE68" s="1195"/>
      <c r="BM68" s="1200" t="s">
        <v>2589</v>
      </c>
    </row>
    <row r="69" spans="1:65" ht="15.75" customHeight="1" thickTop="1" thickBot="1">
      <c r="A69" s="1189"/>
      <c r="B69" s="2353" t="s">
        <v>1891</v>
      </c>
      <c r="C69" s="2354"/>
      <c r="D69" s="2354"/>
      <c r="E69" s="2354"/>
      <c r="F69" s="2354"/>
      <c r="G69" s="2354"/>
      <c r="H69" s="2354"/>
      <c r="I69" s="2354"/>
      <c r="J69" s="2354"/>
      <c r="K69" s="2354"/>
      <c r="L69" s="2354"/>
      <c r="M69" s="2354"/>
      <c r="N69" s="2354"/>
      <c r="O69" s="2355" t="s">
        <v>1892</v>
      </c>
      <c r="P69" s="2356"/>
      <c r="Q69" s="2356"/>
      <c r="R69" s="2356"/>
      <c r="S69" s="2356"/>
      <c r="T69" s="2356"/>
      <c r="U69" s="2356"/>
      <c r="V69" s="2356"/>
      <c r="W69" s="2356"/>
      <c r="X69" s="2356"/>
      <c r="Y69" s="2356"/>
      <c r="Z69" s="2356"/>
      <c r="AA69" s="2357"/>
      <c r="AB69" s="1189"/>
      <c r="AC69" s="2358" t="s">
        <v>1893</v>
      </c>
      <c r="AD69" s="2359"/>
      <c r="AE69" s="2359"/>
      <c r="AF69" s="2359"/>
      <c r="AG69" s="2359"/>
      <c r="AH69" s="2359"/>
      <c r="AI69" s="2359"/>
      <c r="AJ69" s="2359"/>
      <c r="AK69" s="2359"/>
      <c r="AL69" s="2359"/>
      <c r="AM69" s="2359"/>
      <c r="AN69" s="2359"/>
      <c r="AO69" s="2359"/>
      <c r="AP69" s="2359"/>
      <c r="AQ69" s="2359"/>
      <c r="AR69" s="2359"/>
      <c r="AS69" s="2359"/>
      <c r="AT69" s="2359"/>
      <c r="AU69" s="2359"/>
      <c r="AV69" s="2360"/>
      <c r="AW69" s="2361"/>
      <c r="AX69" s="2361"/>
      <c r="AY69" s="2361"/>
      <c r="AZ69" s="2361"/>
      <c r="BA69" s="2361"/>
      <c r="BB69" s="2361"/>
      <c r="BC69" s="2362"/>
      <c r="BD69" s="1189"/>
      <c r="BE69" s="1195"/>
      <c r="BM69" s="1201" t="s">
        <v>555</v>
      </c>
    </row>
    <row r="70" spans="1:65" ht="15.75" customHeight="1">
      <c r="A70" s="1189"/>
      <c r="B70" s="2335" t="s">
        <v>2590</v>
      </c>
      <c r="C70" s="2336"/>
      <c r="D70" s="2336"/>
      <c r="E70" s="2336"/>
      <c r="F70" s="2336"/>
      <c r="G70" s="2336"/>
      <c r="H70" s="2336"/>
      <c r="I70" s="2336"/>
      <c r="J70" s="2336"/>
      <c r="K70" s="2336"/>
      <c r="L70" s="2336"/>
      <c r="M70" s="2336"/>
      <c r="N70" s="2336"/>
      <c r="O70" s="2238">
        <v>0</v>
      </c>
      <c r="P70" s="2238"/>
      <c r="Q70" s="2238"/>
      <c r="R70" s="2238"/>
      <c r="S70" s="2238"/>
      <c r="T70" s="2238"/>
      <c r="U70" s="2238"/>
      <c r="V70" s="2238"/>
      <c r="W70" s="2238"/>
      <c r="X70" s="2238"/>
      <c r="Y70" s="2238"/>
      <c r="Z70" s="2238"/>
      <c r="AA70" s="2337"/>
      <c r="AB70" s="1189"/>
      <c r="AC70" s="2280" t="s">
        <v>1894</v>
      </c>
      <c r="AD70" s="2246"/>
      <c r="AE70" s="2246"/>
      <c r="AF70" s="2346"/>
      <c r="AG70" s="2346"/>
      <c r="AH70" s="2346"/>
      <c r="AI70" s="2346"/>
      <c r="AJ70" s="2346"/>
      <c r="AK70" s="2346"/>
      <c r="AL70" s="2346"/>
      <c r="AM70" s="2346"/>
      <c r="AN70" s="2346"/>
      <c r="AO70" s="2346"/>
      <c r="AP70" s="2346"/>
      <c r="AQ70" s="2346"/>
      <c r="AR70" s="2346"/>
      <c r="AS70" s="2346"/>
      <c r="AT70" s="2346"/>
      <c r="AU70" s="2347"/>
      <c r="AV70" s="1189"/>
      <c r="AW70" s="1189"/>
      <c r="AX70" s="1189"/>
      <c r="AY70" s="1189"/>
      <c r="AZ70" s="1189"/>
      <c r="BA70" s="1189"/>
      <c r="BB70" s="1189"/>
      <c r="BC70" s="1189"/>
      <c r="BD70" s="1189"/>
      <c r="BE70" s="1195"/>
      <c r="BM70" s="1202" t="s">
        <v>679</v>
      </c>
    </row>
    <row r="71" spans="1:65" ht="15.75" customHeight="1" thickBot="1">
      <c r="A71" s="1189"/>
      <c r="B71" s="2335" t="s">
        <v>2591</v>
      </c>
      <c r="C71" s="2336"/>
      <c r="D71" s="2336"/>
      <c r="E71" s="2336"/>
      <c r="F71" s="2336"/>
      <c r="G71" s="2336"/>
      <c r="H71" s="2336"/>
      <c r="I71" s="2336"/>
      <c r="J71" s="2336"/>
      <c r="K71" s="2336"/>
      <c r="L71" s="2336"/>
      <c r="M71" s="2336"/>
      <c r="N71" s="2336"/>
      <c r="O71" s="2238">
        <v>0</v>
      </c>
      <c r="P71" s="2238"/>
      <c r="Q71" s="2238"/>
      <c r="R71" s="2238"/>
      <c r="S71" s="2238"/>
      <c r="T71" s="2238"/>
      <c r="U71" s="2238"/>
      <c r="V71" s="2238"/>
      <c r="W71" s="2238"/>
      <c r="X71" s="2238"/>
      <c r="Y71" s="2238"/>
      <c r="Z71" s="2238"/>
      <c r="AA71" s="2337"/>
      <c r="AB71" s="1189"/>
      <c r="AC71" s="2348" t="s">
        <v>1895</v>
      </c>
      <c r="AD71" s="2349"/>
      <c r="AE71" s="2349"/>
      <c r="AF71" s="2350"/>
      <c r="AG71" s="2350"/>
      <c r="AH71" s="2350"/>
      <c r="AI71" s="2350"/>
      <c r="AJ71" s="2350"/>
      <c r="AK71" s="2350"/>
      <c r="AL71" s="2350"/>
      <c r="AM71" s="2350"/>
      <c r="AN71" s="2350"/>
      <c r="AO71" s="2350"/>
      <c r="AP71" s="2350"/>
      <c r="AQ71" s="2350"/>
      <c r="AR71" s="2350"/>
      <c r="AS71" s="2350"/>
      <c r="AT71" s="2350"/>
      <c r="AU71" s="2351"/>
      <c r="AV71" s="1189"/>
      <c r="AW71" s="1189"/>
      <c r="AX71" s="1189"/>
      <c r="AY71" s="1189"/>
      <c r="AZ71" s="1189"/>
      <c r="BA71" s="1189"/>
      <c r="BB71" s="1189"/>
      <c r="BC71" s="1189"/>
      <c r="BD71" s="1189"/>
      <c r="BE71" s="1195"/>
      <c r="BM71" s="1186" t="s">
        <v>2592</v>
      </c>
    </row>
    <row r="72" spans="1:65" ht="15.75" customHeight="1">
      <c r="A72" s="1189"/>
      <c r="B72" s="2335" t="s">
        <v>2593</v>
      </c>
      <c r="C72" s="2336"/>
      <c r="D72" s="2336"/>
      <c r="E72" s="2336"/>
      <c r="F72" s="2336"/>
      <c r="G72" s="2336"/>
      <c r="H72" s="2336"/>
      <c r="I72" s="2336"/>
      <c r="J72" s="2336"/>
      <c r="K72" s="2336"/>
      <c r="L72" s="2336"/>
      <c r="M72" s="2336"/>
      <c r="N72" s="2336"/>
      <c r="O72" s="2238">
        <v>0</v>
      </c>
      <c r="P72" s="2238"/>
      <c r="Q72" s="2238"/>
      <c r="R72" s="2238"/>
      <c r="S72" s="2238"/>
      <c r="T72" s="2238"/>
      <c r="U72" s="2238"/>
      <c r="V72" s="2238"/>
      <c r="W72" s="2238"/>
      <c r="X72" s="2238"/>
      <c r="Y72" s="2238"/>
      <c r="Z72" s="2238"/>
      <c r="AA72" s="2337"/>
      <c r="AB72" s="1189"/>
      <c r="AC72" s="2338" t="s">
        <v>2594</v>
      </c>
      <c r="AD72" s="2339"/>
      <c r="AE72" s="2339"/>
      <c r="AF72" s="2339"/>
      <c r="AG72" s="2339"/>
      <c r="AH72" s="2339"/>
      <c r="AI72" s="2339"/>
      <c r="AJ72" s="2339"/>
      <c r="AK72" s="2339"/>
      <c r="AL72" s="2339"/>
      <c r="AM72" s="2339"/>
      <c r="AN72" s="2339"/>
      <c r="AO72" s="2339"/>
      <c r="AP72" s="2339"/>
      <c r="AQ72" s="2339"/>
      <c r="AR72" s="2339"/>
      <c r="AS72" s="2339"/>
      <c r="AT72" s="2339"/>
      <c r="AU72" s="2339"/>
      <c r="AV72" s="2246"/>
      <c r="AW72" s="2246"/>
      <c r="AX72" s="2246"/>
      <c r="AY72" s="2246"/>
      <c r="AZ72" s="2246"/>
      <c r="BA72" s="2246"/>
      <c r="BB72" s="2246"/>
      <c r="BC72" s="2247"/>
      <c r="BD72" s="1189"/>
      <c r="BE72" s="1195"/>
    </row>
    <row r="73" spans="1:65" ht="15.75" customHeight="1">
      <c r="A73" s="1189"/>
      <c r="B73" s="2340" t="s">
        <v>2595</v>
      </c>
      <c r="C73" s="2341"/>
      <c r="D73" s="2341"/>
      <c r="E73" s="2341"/>
      <c r="F73" s="2341"/>
      <c r="G73" s="2341"/>
      <c r="H73" s="2341"/>
      <c r="I73" s="2341"/>
      <c r="J73" s="2341"/>
      <c r="K73" s="2341"/>
      <c r="L73" s="2341"/>
      <c r="M73" s="2341"/>
      <c r="N73" s="2341"/>
      <c r="O73" s="2238">
        <v>0</v>
      </c>
      <c r="P73" s="2238"/>
      <c r="Q73" s="2238"/>
      <c r="R73" s="2238"/>
      <c r="S73" s="2238"/>
      <c r="T73" s="2238"/>
      <c r="U73" s="2238"/>
      <c r="V73" s="2238"/>
      <c r="W73" s="2238"/>
      <c r="X73" s="2238"/>
      <c r="Y73" s="2238"/>
      <c r="Z73" s="2238"/>
      <c r="AA73" s="2337"/>
      <c r="AB73" s="1189"/>
      <c r="AC73" s="2257" t="s">
        <v>2262</v>
      </c>
      <c r="AD73" s="2258"/>
      <c r="AE73" s="2258"/>
      <c r="AF73" s="2258"/>
      <c r="AG73" s="2258"/>
      <c r="AH73" s="2258"/>
      <c r="AI73" s="2258"/>
      <c r="AJ73" s="2258"/>
      <c r="AK73" s="2258"/>
      <c r="AL73" s="2258"/>
      <c r="AM73" s="2258"/>
      <c r="AN73" s="2258"/>
      <c r="AO73" s="2258"/>
      <c r="AP73" s="2258"/>
      <c r="AQ73" s="2258"/>
      <c r="AR73" s="2258"/>
      <c r="AS73" s="2258"/>
      <c r="AT73" s="2258"/>
      <c r="AU73" s="2258"/>
      <c r="AV73" s="2258"/>
      <c r="AW73" s="2258"/>
      <c r="AX73" s="2258"/>
      <c r="AY73" s="2258"/>
      <c r="AZ73" s="2258"/>
      <c r="BA73" s="2258"/>
      <c r="BB73" s="2258"/>
      <c r="BC73" s="2259"/>
      <c r="BD73" s="1189"/>
      <c r="BE73" s="1195"/>
    </row>
    <row r="74" spans="1:65" ht="15.75" customHeight="1">
      <c r="A74" s="1189"/>
      <c r="B74" s="2204"/>
      <c r="C74" s="2205"/>
      <c r="D74" s="2205"/>
      <c r="E74" s="2205"/>
      <c r="F74" s="2205"/>
      <c r="G74" s="2205"/>
      <c r="H74" s="2205"/>
      <c r="I74" s="2205"/>
      <c r="J74" s="2205"/>
      <c r="K74" s="2205"/>
      <c r="L74" s="2205"/>
      <c r="M74" s="2205"/>
      <c r="N74" s="2205"/>
      <c r="O74" s="2238"/>
      <c r="P74" s="2238"/>
      <c r="Q74" s="2238"/>
      <c r="R74" s="2238"/>
      <c r="S74" s="2238"/>
      <c r="T74" s="2238"/>
      <c r="U74" s="2238"/>
      <c r="V74" s="2238"/>
      <c r="W74" s="2238"/>
      <c r="X74" s="2238"/>
      <c r="Y74" s="2238"/>
      <c r="Z74" s="2238"/>
      <c r="AA74" s="2337"/>
      <c r="AB74" s="1189"/>
      <c r="AC74" s="2257"/>
      <c r="AD74" s="2258"/>
      <c r="AE74" s="2258"/>
      <c r="AF74" s="2258"/>
      <c r="AG74" s="2258"/>
      <c r="AH74" s="2258"/>
      <c r="AI74" s="2258"/>
      <c r="AJ74" s="2258"/>
      <c r="AK74" s="2258"/>
      <c r="AL74" s="2258"/>
      <c r="AM74" s="2258"/>
      <c r="AN74" s="2258"/>
      <c r="AO74" s="2258"/>
      <c r="AP74" s="2258"/>
      <c r="AQ74" s="2258"/>
      <c r="AR74" s="2258"/>
      <c r="AS74" s="2258"/>
      <c r="AT74" s="2258"/>
      <c r="AU74" s="2258"/>
      <c r="AV74" s="2258"/>
      <c r="AW74" s="2258"/>
      <c r="AX74" s="2258"/>
      <c r="AY74" s="2258"/>
      <c r="AZ74" s="2258"/>
      <c r="BA74" s="2258"/>
      <c r="BB74" s="2258"/>
      <c r="BC74" s="2259"/>
      <c r="BD74" s="1189"/>
      <c r="BE74" s="1195"/>
    </row>
    <row r="75" spans="1:65" ht="15.75" customHeight="1" thickBot="1">
      <c r="A75" s="1189"/>
      <c r="B75" s="2342" t="s">
        <v>125</v>
      </c>
      <c r="C75" s="2343"/>
      <c r="D75" s="2343"/>
      <c r="E75" s="2343"/>
      <c r="F75" s="2343"/>
      <c r="G75" s="2343"/>
      <c r="H75" s="2343"/>
      <c r="I75" s="2343"/>
      <c r="J75" s="2343"/>
      <c r="K75" s="2343"/>
      <c r="L75" s="2343"/>
      <c r="M75" s="2343"/>
      <c r="N75" s="2343"/>
      <c r="O75" s="2344">
        <f>SUM(O70:AA74)</f>
        <v>0</v>
      </c>
      <c r="P75" s="2344"/>
      <c r="Q75" s="2344"/>
      <c r="R75" s="2344"/>
      <c r="S75" s="2344"/>
      <c r="T75" s="2344"/>
      <c r="U75" s="2344"/>
      <c r="V75" s="2344"/>
      <c r="W75" s="2344"/>
      <c r="X75" s="2344"/>
      <c r="Y75" s="2344"/>
      <c r="Z75" s="2344"/>
      <c r="AA75" s="2345"/>
      <c r="AB75" s="1189"/>
      <c r="AC75" s="2257"/>
      <c r="AD75" s="2258"/>
      <c r="AE75" s="2258"/>
      <c r="AF75" s="2258"/>
      <c r="AG75" s="2258"/>
      <c r="AH75" s="2258"/>
      <c r="AI75" s="2258"/>
      <c r="AJ75" s="2258"/>
      <c r="AK75" s="2258"/>
      <c r="AL75" s="2258"/>
      <c r="AM75" s="2258"/>
      <c r="AN75" s="2258"/>
      <c r="AO75" s="2258"/>
      <c r="AP75" s="2258"/>
      <c r="AQ75" s="2258"/>
      <c r="AR75" s="2258"/>
      <c r="AS75" s="2258"/>
      <c r="AT75" s="2258"/>
      <c r="AU75" s="2258"/>
      <c r="AV75" s="2258"/>
      <c r="AW75" s="2258"/>
      <c r="AX75" s="2258"/>
      <c r="AY75" s="2258"/>
      <c r="AZ75" s="2258"/>
      <c r="BA75" s="2258"/>
      <c r="BB75" s="2258"/>
      <c r="BC75" s="2259"/>
      <c r="BD75" s="1189"/>
      <c r="BE75" s="1195"/>
    </row>
    <row r="76" spans="1:65"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257"/>
      <c r="AD76" s="2258"/>
      <c r="AE76" s="2258"/>
      <c r="AF76" s="2258"/>
      <c r="AG76" s="2258"/>
      <c r="AH76" s="2258"/>
      <c r="AI76" s="2258"/>
      <c r="AJ76" s="2258"/>
      <c r="AK76" s="2258"/>
      <c r="AL76" s="2258"/>
      <c r="AM76" s="2258"/>
      <c r="AN76" s="2258"/>
      <c r="AO76" s="2258"/>
      <c r="AP76" s="2258"/>
      <c r="AQ76" s="2258"/>
      <c r="AR76" s="2258"/>
      <c r="AS76" s="2258"/>
      <c r="AT76" s="2258"/>
      <c r="AU76" s="2258"/>
      <c r="AV76" s="2258"/>
      <c r="AW76" s="2258"/>
      <c r="AX76" s="2258"/>
      <c r="AY76" s="2258"/>
      <c r="AZ76" s="2258"/>
      <c r="BA76" s="2258"/>
      <c r="BB76" s="2258"/>
      <c r="BC76" s="2259"/>
      <c r="BD76" s="1189"/>
      <c r="BE76" s="1195"/>
    </row>
    <row r="77" spans="1:65" ht="15.75" customHeight="1" thickBot="1">
      <c r="A77" s="1189"/>
      <c r="B77" s="1203" t="s">
        <v>1896</v>
      </c>
      <c r="C77" s="1204"/>
      <c r="D77" s="1204"/>
      <c r="E77" s="1204"/>
      <c r="F77" s="1204"/>
      <c r="G77" s="1204"/>
      <c r="H77" s="1204"/>
      <c r="I77" s="1204"/>
      <c r="J77" s="1204"/>
      <c r="K77" s="1204"/>
      <c r="L77" s="1204"/>
      <c r="M77" s="1204"/>
      <c r="N77" s="1204"/>
      <c r="O77" s="1204"/>
      <c r="P77" s="1204"/>
      <c r="Q77" s="1189"/>
      <c r="R77" s="1189"/>
      <c r="S77" s="1189"/>
      <c r="T77" s="1189"/>
      <c r="U77" s="1189"/>
      <c r="V77" s="1189"/>
      <c r="W77" s="1189"/>
      <c r="X77" s="1189"/>
      <c r="Y77" s="1189"/>
      <c r="Z77" s="1189"/>
      <c r="AA77" s="1189"/>
      <c r="AB77" s="1189"/>
      <c r="AC77" s="2260"/>
      <c r="AD77" s="2261"/>
      <c r="AE77" s="2261"/>
      <c r="AF77" s="2261"/>
      <c r="AG77" s="2261"/>
      <c r="AH77" s="2261"/>
      <c r="AI77" s="2261"/>
      <c r="AJ77" s="2261"/>
      <c r="AK77" s="2261"/>
      <c r="AL77" s="2261"/>
      <c r="AM77" s="2261"/>
      <c r="AN77" s="2261"/>
      <c r="AO77" s="2261"/>
      <c r="AP77" s="2261"/>
      <c r="AQ77" s="2261"/>
      <c r="AR77" s="2261"/>
      <c r="AS77" s="2261"/>
      <c r="AT77" s="2261"/>
      <c r="AU77" s="2261"/>
      <c r="AV77" s="2261"/>
      <c r="AW77" s="2261"/>
      <c r="AX77" s="2261"/>
      <c r="AY77" s="2261"/>
      <c r="AZ77" s="2261"/>
      <c r="BA77" s="2261"/>
      <c r="BB77" s="2261"/>
      <c r="BC77" s="2262"/>
      <c r="BD77" s="1189"/>
      <c r="BE77" s="1195"/>
    </row>
    <row r="78" spans="1:65" ht="15.75" customHeight="1" thickBot="1">
      <c r="A78" s="1189"/>
      <c r="B78" s="1189"/>
      <c r="C78" s="1189"/>
      <c r="D78" s="1189"/>
      <c r="E78" s="1189"/>
      <c r="F78" s="1189"/>
      <c r="G78" s="1189"/>
      <c r="H78" s="1189"/>
      <c r="I78" s="1189"/>
      <c r="J78" s="1189"/>
      <c r="K78" s="1189"/>
      <c r="L78" s="1189"/>
      <c r="M78" s="1189"/>
      <c r="N78" s="1189"/>
      <c r="O78" s="1189"/>
      <c r="P78" s="1189"/>
      <c r="Q78" s="1189"/>
      <c r="R78" s="1189"/>
      <c r="S78" s="1189"/>
      <c r="T78" s="1189"/>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5"/>
    </row>
    <row r="79" spans="1:65" ht="15.75" customHeight="1">
      <c r="A79" s="1189"/>
      <c r="B79" s="2332" t="s">
        <v>2245</v>
      </c>
      <c r="C79" s="2333"/>
      <c r="D79" s="2333"/>
      <c r="E79" s="2333"/>
      <c r="F79" s="2333"/>
      <c r="G79" s="2333"/>
      <c r="H79" s="2333"/>
      <c r="I79" s="2333"/>
      <c r="J79" s="2333"/>
      <c r="K79" s="2333"/>
      <c r="L79" s="2333"/>
      <c r="M79" s="2333"/>
      <c r="N79" s="2333"/>
      <c r="O79" s="2333"/>
      <c r="P79" s="2333"/>
      <c r="Q79" s="2333"/>
      <c r="R79" s="2333"/>
      <c r="S79" s="2333"/>
      <c r="T79" s="2333"/>
      <c r="U79" s="2333"/>
      <c r="V79" s="2333"/>
      <c r="W79" s="2333"/>
      <c r="X79" s="2333"/>
      <c r="Y79" s="2333"/>
      <c r="Z79" s="2333"/>
      <c r="AA79" s="2333"/>
      <c r="AB79" s="2333"/>
      <c r="AC79" s="2333"/>
      <c r="AD79" s="2333"/>
      <c r="AE79" s="2333"/>
      <c r="AF79" s="2333"/>
      <c r="AG79" s="2333"/>
      <c r="AH79" s="2334"/>
      <c r="AI79" s="1189"/>
      <c r="AJ79" s="2305" t="s">
        <v>2596</v>
      </c>
      <c r="AK79" s="2306"/>
      <c r="AL79" s="2306"/>
      <c r="AM79" s="2306"/>
      <c r="AN79" s="2306"/>
      <c r="AO79" s="2306"/>
      <c r="AP79" s="2306"/>
      <c r="AQ79" s="2306"/>
      <c r="AR79" s="2306"/>
      <c r="AS79" s="2306"/>
      <c r="AT79" s="2306"/>
      <c r="AU79" s="2306"/>
      <c r="AV79" s="2306"/>
      <c r="AW79" s="2306"/>
      <c r="AX79" s="2306"/>
      <c r="AY79" s="2326" t="s">
        <v>555</v>
      </c>
      <c r="AZ79" s="2326"/>
      <c r="BA79" s="2326"/>
      <c r="BB79" s="2327"/>
      <c r="BC79" s="1189"/>
      <c r="BD79" s="1189"/>
      <c r="BE79" s="1195"/>
    </row>
    <row r="80" spans="1:65" ht="15.75" customHeight="1">
      <c r="A80" s="1189"/>
      <c r="B80" s="2325"/>
      <c r="C80" s="2314"/>
      <c r="D80" s="2314"/>
      <c r="E80" s="2314"/>
      <c r="F80" s="2314"/>
      <c r="G80" s="2314"/>
      <c r="H80" s="2314"/>
      <c r="I80" s="2314" t="s">
        <v>1897</v>
      </c>
      <c r="J80" s="2314"/>
      <c r="K80" s="2314"/>
      <c r="L80" s="2314"/>
      <c r="M80" s="2314"/>
      <c r="N80" s="2314"/>
      <c r="O80" s="2314" t="s">
        <v>1898</v>
      </c>
      <c r="P80" s="2314"/>
      <c r="Q80" s="2314"/>
      <c r="R80" s="2314"/>
      <c r="S80" s="2314"/>
      <c r="T80" s="2314"/>
      <c r="U80" s="2314"/>
      <c r="V80" s="2330" t="s">
        <v>2263</v>
      </c>
      <c r="W80" s="2330"/>
      <c r="X80" s="2330"/>
      <c r="Y80" s="2330"/>
      <c r="Z80" s="2330"/>
      <c r="AA80" s="2330"/>
      <c r="AB80" s="2281" t="s">
        <v>1899</v>
      </c>
      <c r="AC80" s="2281"/>
      <c r="AD80" s="2281"/>
      <c r="AE80" s="2281"/>
      <c r="AF80" s="2281"/>
      <c r="AG80" s="2281"/>
      <c r="AH80" s="2331"/>
      <c r="AI80" s="1189"/>
      <c r="AJ80" s="2308"/>
      <c r="AK80" s="2309"/>
      <c r="AL80" s="2309"/>
      <c r="AM80" s="2309"/>
      <c r="AN80" s="2309"/>
      <c r="AO80" s="2309"/>
      <c r="AP80" s="2309"/>
      <c r="AQ80" s="2309"/>
      <c r="AR80" s="2309"/>
      <c r="AS80" s="2309"/>
      <c r="AT80" s="2309"/>
      <c r="AU80" s="2309"/>
      <c r="AV80" s="2309"/>
      <c r="AW80" s="2309"/>
      <c r="AX80" s="2309"/>
      <c r="AY80" s="2328"/>
      <c r="AZ80" s="2328"/>
      <c r="BA80" s="2328"/>
      <c r="BB80" s="2329"/>
      <c r="BC80" s="1189"/>
      <c r="BD80" s="1189"/>
      <c r="BE80" s="1195"/>
    </row>
    <row r="81" spans="1:57" ht="15.75" customHeight="1">
      <c r="A81" s="1189"/>
      <c r="B81" s="2325"/>
      <c r="C81" s="2314"/>
      <c r="D81" s="2314"/>
      <c r="E81" s="2314"/>
      <c r="F81" s="2314"/>
      <c r="G81" s="2314"/>
      <c r="H81" s="2314"/>
      <c r="I81" s="2314"/>
      <c r="J81" s="2314"/>
      <c r="K81" s="2314"/>
      <c r="L81" s="2314"/>
      <c r="M81" s="2314"/>
      <c r="N81" s="2314"/>
      <c r="O81" s="2314"/>
      <c r="P81" s="2314"/>
      <c r="Q81" s="2314"/>
      <c r="R81" s="2314"/>
      <c r="S81" s="2314"/>
      <c r="T81" s="2314"/>
      <c r="U81" s="2314"/>
      <c r="V81" s="2330"/>
      <c r="W81" s="2330"/>
      <c r="X81" s="2330"/>
      <c r="Y81" s="2330"/>
      <c r="Z81" s="2330"/>
      <c r="AA81" s="2330"/>
      <c r="AB81" s="2281"/>
      <c r="AC81" s="2281"/>
      <c r="AD81" s="2281"/>
      <c r="AE81" s="2281"/>
      <c r="AF81" s="2281"/>
      <c r="AG81" s="2281"/>
      <c r="AH81" s="2331"/>
      <c r="AI81" s="1189"/>
      <c r="AJ81" s="2308"/>
      <c r="AK81" s="2309"/>
      <c r="AL81" s="2309"/>
      <c r="AM81" s="2309"/>
      <c r="AN81" s="2309"/>
      <c r="AO81" s="2309"/>
      <c r="AP81" s="2309"/>
      <c r="AQ81" s="2309"/>
      <c r="AR81" s="2309"/>
      <c r="AS81" s="2309"/>
      <c r="AT81" s="2309"/>
      <c r="AU81" s="2309"/>
      <c r="AV81" s="2309"/>
      <c r="AW81" s="2309"/>
      <c r="AX81" s="2309"/>
      <c r="AY81" s="2328"/>
      <c r="AZ81" s="2328"/>
      <c r="BA81" s="2328"/>
      <c r="BB81" s="2329"/>
      <c r="BC81" s="1189"/>
      <c r="BD81" s="1189"/>
      <c r="BE81" s="1195"/>
    </row>
    <row r="82" spans="1:57" ht="15.75" customHeight="1">
      <c r="A82" s="1189"/>
      <c r="B82" s="2325" t="s">
        <v>2246</v>
      </c>
      <c r="C82" s="2314"/>
      <c r="D82" s="2314"/>
      <c r="E82" s="2314"/>
      <c r="F82" s="2314"/>
      <c r="G82" s="2314"/>
      <c r="H82" s="2314"/>
      <c r="I82" s="2284">
        <v>0</v>
      </c>
      <c r="J82" s="2284"/>
      <c r="K82" s="2284"/>
      <c r="L82" s="2284"/>
      <c r="M82" s="2284"/>
      <c r="N82" s="2284"/>
      <c r="O82" s="2284">
        <v>0</v>
      </c>
      <c r="P82" s="2284"/>
      <c r="Q82" s="2284"/>
      <c r="R82" s="2284"/>
      <c r="S82" s="2284"/>
      <c r="T82" s="2284"/>
      <c r="U82" s="2284"/>
      <c r="V82" s="2284">
        <v>0</v>
      </c>
      <c r="W82" s="2284"/>
      <c r="X82" s="2284"/>
      <c r="Y82" s="2284"/>
      <c r="Z82" s="2284"/>
      <c r="AA82" s="2284"/>
      <c r="AB82" s="2284">
        <v>0</v>
      </c>
      <c r="AC82" s="2284"/>
      <c r="AD82" s="2284"/>
      <c r="AE82" s="2284"/>
      <c r="AF82" s="2284"/>
      <c r="AG82" s="2284"/>
      <c r="AH82" s="2285"/>
      <c r="AI82" s="1189"/>
      <c r="AJ82" s="2308"/>
      <c r="AK82" s="2309"/>
      <c r="AL82" s="2309"/>
      <c r="AM82" s="2309"/>
      <c r="AN82" s="2309"/>
      <c r="AO82" s="2309"/>
      <c r="AP82" s="2309"/>
      <c r="AQ82" s="2309"/>
      <c r="AR82" s="2309"/>
      <c r="AS82" s="2309"/>
      <c r="AT82" s="2309"/>
      <c r="AU82" s="2309"/>
      <c r="AV82" s="2309"/>
      <c r="AW82" s="2309"/>
      <c r="AX82" s="2309"/>
      <c r="AY82" s="2328"/>
      <c r="AZ82" s="2328"/>
      <c r="BA82" s="2328"/>
      <c r="BB82" s="2329"/>
      <c r="BC82" s="1189"/>
      <c r="BD82" s="1189"/>
      <c r="BE82" s="1195"/>
    </row>
    <row r="83" spans="1:57" ht="15.75" customHeight="1">
      <c r="A83" s="1189"/>
      <c r="B83" s="2325" t="s">
        <v>2247</v>
      </c>
      <c r="C83" s="2314"/>
      <c r="D83" s="2314"/>
      <c r="E83" s="2314"/>
      <c r="F83" s="2314"/>
      <c r="G83" s="2314"/>
      <c r="H83" s="2314"/>
      <c r="I83" s="2284">
        <v>0</v>
      </c>
      <c r="J83" s="2284"/>
      <c r="K83" s="2284"/>
      <c r="L83" s="2284"/>
      <c r="M83" s="2284"/>
      <c r="N83" s="2284"/>
      <c r="O83" s="2284">
        <v>0</v>
      </c>
      <c r="P83" s="2284"/>
      <c r="Q83" s="2284"/>
      <c r="R83" s="2284"/>
      <c r="S83" s="2284"/>
      <c r="T83" s="2284"/>
      <c r="U83" s="2284"/>
      <c r="V83" s="2284">
        <v>0</v>
      </c>
      <c r="W83" s="2284"/>
      <c r="X83" s="2284"/>
      <c r="Y83" s="2284"/>
      <c r="Z83" s="2284"/>
      <c r="AA83" s="2284"/>
      <c r="AB83" s="2284">
        <v>0</v>
      </c>
      <c r="AC83" s="2284"/>
      <c r="AD83" s="2284"/>
      <c r="AE83" s="2284"/>
      <c r="AF83" s="2284"/>
      <c r="AG83" s="2284"/>
      <c r="AH83" s="2285"/>
      <c r="AI83" s="1189"/>
      <c r="AJ83" s="2317" t="s">
        <v>2597</v>
      </c>
      <c r="AK83" s="2318"/>
      <c r="AL83" s="2318"/>
      <c r="AM83" s="2318"/>
      <c r="AN83" s="2318"/>
      <c r="AO83" s="2318"/>
      <c r="AP83" s="2318"/>
      <c r="AQ83" s="2318"/>
      <c r="AR83" s="2318"/>
      <c r="AS83" s="2318"/>
      <c r="AT83" s="2318"/>
      <c r="AU83" s="2318"/>
      <c r="AV83" s="2318"/>
      <c r="AW83" s="2318"/>
      <c r="AX83" s="2318"/>
      <c r="AY83" s="2318"/>
      <c r="AZ83" s="2318"/>
      <c r="BA83" s="2318"/>
      <c r="BB83" s="2319"/>
      <c r="BC83" s="1189"/>
      <c r="BD83" s="1189"/>
      <c r="BE83" s="1195"/>
    </row>
    <row r="84" spans="1:57" ht="15.75" customHeight="1" thickBot="1">
      <c r="A84" s="1189"/>
      <c r="B84" s="2323" t="s">
        <v>1900</v>
      </c>
      <c r="C84" s="2324"/>
      <c r="D84" s="2324"/>
      <c r="E84" s="2324"/>
      <c r="F84" s="2324"/>
      <c r="G84" s="2324"/>
      <c r="H84" s="2324"/>
      <c r="I84" s="2278">
        <v>0</v>
      </c>
      <c r="J84" s="2278"/>
      <c r="K84" s="2278"/>
      <c r="L84" s="2278"/>
      <c r="M84" s="2278"/>
      <c r="N84" s="2278"/>
      <c r="O84" s="2278">
        <v>0</v>
      </c>
      <c r="P84" s="2278"/>
      <c r="Q84" s="2278"/>
      <c r="R84" s="2278"/>
      <c r="S84" s="2278"/>
      <c r="T84" s="2278"/>
      <c r="U84" s="2278"/>
      <c r="V84" s="2278">
        <v>0</v>
      </c>
      <c r="W84" s="2278"/>
      <c r="X84" s="2278"/>
      <c r="Y84" s="2278"/>
      <c r="Z84" s="2278"/>
      <c r="AA84" s="2278"/>
      <c r="AB84" s="2278">
        <v>0</v>
      </c>
      <c r="AC84" s="2278"/>
      <c r="AD84" s="2278"/>
      <c r="AE84" s="2278"/>
      <c r="AF84" s="2278"/>
      <c r="AG84" s="2278"/>
      <c r="AH84" s="2279"/>
      <c r="AI84" s="1189"/>
      <c r="AJ84" s="2320"/>
      <c r="AK84" s="2321"/>
      <c r="AL84" s="2321"/>
      <c r="AM84" s="2321"/>
      <c r="AN84" s="2321"/>
      <c r="AO84" s="2321"/>
      <c r="AP84" s="2321"/>
      <c r="AQ84" s="2321"/>
      <c r="AR84" s="2321"/>
      <c r="AS84" s="2321"/>
      <c r="AT84" s="2321"/>
      <c r="AU84" s="2321"/>
      <c r="AV84" s="2321"/>
      <c r="AW84" s="2321"/>
      <c r="AX84" s="2321"/>
      <c r="AY84" s="2321"/>
      <c r="AZ84" s="2321"/>
      <c r="BA84" s="2321"/>
      <c r="BB84" s="2322"/>
      <c r="BC84" s="1189"/>
      <c r="BD84" s="1189"/>
      <c r="BE84" s="1195"/>
    </row>
    <row r="85" spans="1:57" ht="15.75" customHeight="1">
      <c r="A85" s="1189"/>
      <c r="B85" s="1189"/>
      <c r="C85" s="1189"/>
      <c r="D85" s="1189"/>
      <c r="E85" s="1189"/>
      <c r="F85" s="1189"/>
      <c r="G85" s="1189"/>
      <c r="H85" s="1189"/>
      <c r="I85" s="1189"/>
      <c r="J85" s="1189"/>
      <c r="K85" s="1189"/>
      <c r="L85" s="1189"/>
      <c r="M85" s="1189"/>
      <c r="N85" s="1189"/>
      <c r="O85" s="1189"/>
      <c r="P85" s="1189"/>
      <c r="Q85" s="1189"/>
      <c r="R85" s="1189"/>
      <c r="S85" s="1189"/>
      <c r="T85" s="1189"/>
      <c r="U85" s="1189"/>
      <c r="V85" s="1189"/>
      <c r="W85" s="1189"/>
      <c r="X85" s="1189"/>
      <c r="Y85" s="1189"/>
      <c r="Z85" s="1189"/>
      <c r="AA85" s="1189"/>
      <c r="AB85" s="1189"/>
      <c r="AC85" s="1189"/>
      <c r="AD85" s="1189"/>
      <c r="AE85" s="1189"/>
      <c r="AF85" s="1189"/>
      <c r="AG85" s="1189"/>
      <c r="AH85" s="1189"/>
      <c r="AI85" s="1189"/>
      <c r="AJ85" s="1189"/>
      <c r="AK85" s="1189"/>
      <c r="AL85" s="1189"/>
      <c r="AM85" s="1189"/>
      <c r="AN85" s="1189"/>
      <c r="AO85" s="1189"/>
      <c r="AP85" s="1189"/>
      <c r="AQ85" s="1189"/>
      <c r="AR85" s="1189"/>
      <c r="AS85" s="1189"/>
      <c r="AT85" s="1189"/>
      <c r="AU85" s="1189"/>
      <c r="AV85" s="1189"/>
      <c r="AW85" s="1189"/>
      <c r="AX85" s="1189"/>
      <c r="AY85" s="1189"/>
      <c r="AZ85" s="1189"/>
      <c r="BA85" s="1189"/>
      <c r="BB85" s="1189"/>
      <c r="BC85" s="1189"/>
      <c r="BD85" s="1189"/>
      <c r="BE85" s="1195"/>
    </row>
    <row r="86" spans="1:57" ht="15.75" customHeight="1">
      <c r="A86" s="1189"/>
      <c r="B86" s="1199" t="s">
        <v>1901</v>
      </c>
      <c r="P86" s="1189"/>
      <c r="Q86" s="1189"/>
      <c r="R86" s="1189"/>
      <c r="S86" s="1189" t="s">
        <v>252</v>
      </c>
      <c r="T86" s="1189"/>
      <c r="U86" s="1189"/>
      <c r="V86" s="1189"/>
      <c r="W86" s="1189"/>
      <c r="X86" s="1189"/>
      <c r="Y86" s="1189"/>
      <c r="Z86" s="1189"/>
      <c r="AA86" s="1189"/>
      <c r="AB86" s="1189"/>
      <c r="AC86" s="1189"/>
      <c r="AD86" s="1189"/>
      <c r="AE86" s="1189"/>
      <c r="AF86" s="1189"/>
      <c r="AG86" s="1189"/>
      <c r="AH86" s="1189"/>
      <c r="AI86" s="1189"/>
      <c r="AJ86" s="1189"/>
      <c r="AK86" s="1189"/>
      <c r="AL86" s="1189"/>
      <c r="AM86" s="1189"/>
      <c r="AN86" s="1189"/>
      <c r="AO86" s="1189"/>
      <c r="AP86" s="1189"/>
      <c r="AQ86" s="1189"/>
      <c r="AR86" s="1189"/>
      <c r="AS86" s="1189"/>
      <c r="AT86" s="1189"/>
      <c r="AU86" s="1189"/>
      <c r="AV86" s="1189"/>
      <c r="AW86" s="1189"/>
      <c r="AX86" s="1189"/>
      <c r="AY86" s="1189"/>
      <c r="AZ86" s="1189"/>
      <c r="BA86" s="1189"/>
      <c r="BB86" s="1189"/>
      <c r="BC86" s="1189"/>
      <c r="BD86" s="1189"/>
      <c r="BE86" s="1195"/>
    </row>
    <row r="87" spans="1:57" ht="15.75" customHeight="1" thickBot="1">
      <c r="A87" s="1189"/>
      <c r="B87" s="1189"/>
      <c r="C87" s="1189"/>
      <c r="D87" s="1189"/>
      <c r="E87" s="1189"/>
      <c r="F87" s="1189"/>
      <c r="G87" s="1189"/>
      <c r="H87" s="1189"/>
      <c r="I87" s="1189"/>
      <c r="J87" s="1189"/>
      <c r="K87" s="1189"/>
      <c r="L87" s="1189"/>
      <c r="M87" s="1189"/>
      <c r="N87" s="1189"/>
      <c r="O87" s="1189"/>
      <c r="P87" s="1205"/>
      <c r="Q87" s="1189"/>
      <c r="R87" s="1189"/>
      <c r="S87" s="1189"/>
      <c r="T87" s="1189"/>
      <c r="U87" s="1189"/>
      <c r="V87" s="1189"/>
      <c r="W87" s="1189"/>
      <c r="X87" s="1189"/>
      <c r="Y87" s="1189"/>
      <c r="Z87" s="1189"/>
      <c r="AA87" s="1189"/>
      <c r="AB87" s="1189"/>
      <c r="AC87" s="1189"/>
      <c r="AD87" s="1189"/>
      <c r="AE87" s="1189"/>
      <c r="AF87" s="1189"/>
      <c r="AG87" s="1189"/>
      <c r="AH87" s="1189"/>
      <c r="AI87" s="1189"/>
      <c r="AJ87" s="1189"/>
      <c r="AK87" s="1189"/>
      <c r="AL87" s="1189"/>
      <c r="AM87" s="1189"/>
      <c r="AN87" s="1189"/>
      <c r="AO87" s="1189"/>
      <c r="AP87" s="1189"/>
      <c r="AQ87" s="1189"/>
      <c r="AR87" s="1189"/>
      <c r="AS87" s="1189"/>
      <c r="AT87" s="1189"/>
      <c r="AU87" s="1189"/>
      <c r="AV87" s="1189"/>
      <c r="AW87" s="1189"/>
      <c r="AX87" s="1189"/>
      <c r="AY87" s="1189"/>
      <c r="AZ87" s="1189"/>
      <c r="BA87" s="1189"/>
      <c r="BB87" s="1189"/>
      <c r="BC87" s="1189"/>
      <c r="BD87" s="1189"/>
      <c r="BE87" s="1195"/>
    </row>
    <row r="88" spans="1:57" ht="15.75" customHeight="1">
      <c r="A88" s="1189"/>
      <c r="B88" s="2244" t="s">
        <v>1902</v>
      </c>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50"/>
      <c r="AI88" s="1189"/>
      <c r="AJ88" s="2305" t="s">
        <v>2598</v>
      </c>
      <c r="AK88" s="2306"/>
      <c r="AL88" s="2306"/>
      <c r="AM88" s="2306"/>
      <c r="AN88" s="2306"/>
      <c r="AO88" s="2306"/>
      <c r="AP88" s="2306"/>
      <c r="AQ88" s="2306"/>
      <c r="AR88" s="2306"/>
      <c r="AS88" s="2306"/>
      <c r="AT88" s="2306"/>
      <c r="AU88" s="2306"/>
      <c r="AV88" s="2306"/>
      <c r="AW88" s="2306"/>
      <c r="AX88" s="2306"/>
      <c r="AY88" s="2326" t="s">
        <v>555</v>
      </c>
      <c r="AZ88" s="2326"/>
      <c r="BA88" s="2326"/>
      <c r="BB88" s="2327"/>
      <c r="BC88" s="1189"/>
      <c r="BD88" s="1189"/>
      <c r="BE88" s="1195"/>
    </row>
    <row r="89" spans="1:57" ht="16.5" customHeight="1">
      <c r="A89" s="1189"/>
      <c r="B89" s="2325"/>
      <c r="C89" s="2314"/>
      <c r="D89" s="2314"/>
      <c r="E89" s="2314"/>
      <c r="F89" s="2314"/>
      <c r="G89" s="2314"/>
      <c r="H89" s="2314"/>
      <c r="I89" s="2314" t="s">
        <v>1897</v>
      </c>
      <c r="J89" s="2314"/>
      <c r="K89" s="2314"/>
      <c r="L89" s="2314"/>
      <c r="M89" s="2314"/>
      <c r="N89" s="2314"/>
      <c r="O89" s="2314" t="s">
        <v>1898</v>
      </c>
      <c r="P89" s="2314"/>
      <c r="Q89" s="2314"/>
      <c r="R89" s="2314"/>
      <c r="S89" s="2314"/>
      <c r="T89" s="2314"/>
      <c r="U89" s="2314"/>
      <c r="V89" s="2330" t="s">
        <v>2263</v>
      </c>
      <c r="W89" s="2330"/>
      <c r="X89" s="2330"/>
      <c r="Y89" s="2330"/>
      <c r="Z89" s="2330"/>
      <c r="AA89" s="2330"/>
      <c r="AB89" s="2281" t="s">
        <v>1899</v>
      </c>
      <c r="AC89" s="2281"/>
      <c r="AD89" s="2281"/>
      <c r="AE89" s="2281"/>
      <c r="AF89" s="2281"/>
      <c r="AG89" s="2281"/>
      <c r="AH89" s="2331"/>
      <c r="AI89" s="1189"/>
      <c r="AJ89" s="2308"/>
      <c r="AK89" s="2309"/>
      <c r="AL89" s="2309"/>
      <c r="AM89" s="2309"/>
      <c r="AN89" s="2309"/>
      <c r="AO89" s="2309"/>
      <c r="AP89" s="2309"/>
      <c r="AQ89" s="2309"/>
      <c r="AR89" s="2309"/>
      <c r="AS89" s="2309"/>
      <c r="AT89" s="2309"/>
      <c r="AU89" s="2309"/>
      <c r="AV89" s="2309"/>
      <c r="AW89" s="2309"/>
      <c r="AX89" s="2309"/>
      <c r="AY89" s="2328"/>
      <c r="AZ89" s="2328"/>
      <c r="BA89" s="2328"/>
      <c r="BB89" s="2329"/>
      <c r="BC89" s="1189"/>
      <c r="BD89" s="1189"/>
      <c r="BE89" s="1195"/>
    </row>
    <row r="90" spans="1:57" ht="16.5" customHeight="1">
      <c r="A90" s="1189"/>
      <c r="B90" s="2325"/>
      <c r="C90" s="2314"/>
      <c r="D90" s="2314"/>
      <c r="E90" s="2314"/>
      <c r="F90" s="2314"/>
      <c r="G90" s="2314"/>
      <c r="H90" s="2314"/>
      <c r="I90" s="2314"/>
      <c r="J90" s="2314"/>
      <c r="K90" s="2314"/>
      <c r="L90" s="2314"/>
      <c r="M90" s="2314"/>
      <c r="N90" s="2314"/>
      <c r="O90" s="2314"/>
      <c r="P90" s="2314"/>
      <c r="Q90" s="2314"/>
      <c r="R90" s="2314"/>
      <c r="S90" s="2314"/>
      <c r="T90" s="2314"/>
      <c r="U90" s="2314"/>
      <c r="V90" s="2330"/>
      <c r="W90" s="2330"/>
      <c r="X90" s="2330"/>
      <c r="Y90" s="2330"/>
      <c r="Z90" s="2330"/>
      <c r="AA90" s="2330"/>
      <c r="AB90" s="2281"/>
      <c r="AC90" s="2281"/>
      <c r="AD90" s="2281"/>
      <c r="AE90" s="2281"/>
      <c r="AF90" s="2281"/>
      <c r="AG90" s="2281"/>
      <c r="AH90" s="2331"/>
      <c r="AI90" s="1189"/>
      <c r="AJ90" s="2308"/>
      <c r="AK90" s="2309"/>
      <c r="AL90" s="2309"/>
      <c r="AM90" s="2309"/>
      <c r="AN90" s="2309"/>
      <c r="AO90" s="2309"/>
      <c r="AP90" s="2309"/>
      <c r="AQ90" s="2309"/>
      <c r="AR90" s="2309"/>
      <c r="AS90" s="2309"/>
      <c r="AT90" s="2309"/>
      <c r="AU90" s="2309"/>
      <c r="AV90" s="2309"/>
      <c r="AW90" s="2309"/>
      <c r="AX90" s="2309"/>
      <c r="AY90" s="2328"/>
      <c r="AZ90" s="2328"/>
      <c r="BA90" s="2328"/>
      <c r="BB90" s="2329"/>
      <c r="BC90" s="1189"/>
      <c r="BD90" s="1189"/>
      <c r="BE90" s="1195"/>
    </row>
    <row r="91" spans="1:57" ht="15.75" customHeight="1">
      <c r="A91" s="1189"/>
      <c r="B91" s="2325" t="s">
        <v>2246</v>
      </c>
      <c r="C91" s="2314"/>
      <c r="D91" s="2314"/>
      <c r="E91" s="2314"/>
      <c r="F91" s="2314"/>
      <c r="G91" s="2314"/>
      <c r="H91" s="2314"/>
      <c r="I91" s="2284">
        <v>0</v>
      </c>
      <c r="J91" s="2284"/>
      <c r="K91" s="2284"/>
      <c r="L91" s="2284"/>
      <c r="M91" s="2284"/>
      <c r="N91" s="2284"/>
      <c r="O91" s="2284">
        <v>0</v>
      </c>
      <c r="P91" s="2284"/>
      <c r="Q91" s="2284"/>
      <c r="R91" s="2284"/>
      <c r="S91" s="2284"/>
      <c r="T91" s="2284"/>
      <c r="U91" s="2284"/>
      <c r="V91" s="2284">
        <v>0</v>
      </c>
      <c r="W91" s="2284"/>
      <c r="X91" s="2284"/>
      <c r="Y91" s="2284"/>
      <c r="Z91" s="2284"/>
      <c r="AA91" s="2284"/>
      <c r="AB91" s="2284">
        <v>0</v>
      </c>
      <c r="AC91" s="2284"/>
      <c r="AD91" s="2284"/>
      <c r="AE91" s="2284"/>
      <c r="AF91" s="2284"/>
      <c r="AG91" s="2284"/>
      <c r="AH91" s="2285"/>
      <c r="AI91" s="1189"/>
      <c r="AJ91" s="2308"/>
      <c r="AK91" s="2309"/>
      <c r="AL91" s="2309"/>
      <c r="AM91" s="2309"/>
      <c r="AN91" s="2309"/>
      <c r="AO91" s="2309"/>
      <c r="AP91" s="2309"/>
      <c r="AQ91" s="2309"/>
      <c r="AR91" s="2309"/>
      <c r="AS91" s="2309"/>
      <c r="AT91" s="2309"/>
      <c r="AU91" s="2309"/>
      <c r="AV91" s="2309"/>
      <c r="AW91" s="2309"/>
      <c r="AX91" s="2309"/>
      <c r="AY91" s="2328"/>
      <c r="AZ91" s="2328"/>
      <c r="BA91" s="2328"/>
      <c r="BB91" s="2329"/>
      <c r="BC91" s="1189"/>
      <c r="BD91" s="1189"/>
      <c r="BE91" s="1195"/>
    </row>
    <row r="92" spans="1:57" ht="15.75" customHeight="1">
      <c r="A92" s="1189"/>
      <c r="B92" s="2325" t="s">
        <v>2247</v>
      </c>
      <c r="C92" s="2314"/>
      <c r="D92" s="2314"/>
      <c r="E92" s="2314"/>
      <c r="F92" s="2314"/>
      <c r="G92" s="2314"/>
      <c r="H92" s="2314"/>
      <c r="I92" s="2284">
        <v>0</v>
      </c>
      <c r="J92" s="2284"/>
      <c r="K92" s="2284"/>
      <c r="L92" s="2284"/>
      <c r="M92" s="2284"/>
      <c r="N92" s="2284"/>
      <c r="O92" s="2284">
        <v>0</v>
      </c>
      <c r="P92" s="2284"/>
      <c r="Q92" s="2284"/>
      <c r="R92" s="2284"/>
      <c r="S92" s="2284"/>
      <c r="T92" s="2284"/>
      <c r="U92" s="2284"/>
      <c r="V92" s="2284">
        <v>0</v>
      </c>
      <c r="W92" s="2284"/>
      <c r="X92" s="2284"/>
      <c r="Y92" s="2284"/>
      <c r="Z92" s="2284"/>
      <c r="AA92" s="2284"/>
      <c r="AB92" s="2284">
        <v>0</v>
      </c>
      <c r="AC92" s="2284"/>
      <c r="AD92" s="2284"/>
      <c r="AE92" s="2284"/>
      <c r="AF92" s="2284"/>
      <c r="AG92" s="2284"/>
      <c r="AH92" s="2285"/>
      <c r="AI92" s="1189"/>
      <c r="AJ92" s="2317" t="s">
        <v>2264</v>
      </c>
      <c r="AK92" s="2318"/>
      <c r="AL92" s="2318"/>
      <c r="AM92" s="2318"/>
      <c r="AN92" s="2318"/>
      <c r="AO92" s="2318"/>
      <c r="AP92" s="2318"/>
      <c r="AQ92" s="2318"/>
      <c r="AR92" s="2318"/>
      <c r="AS92" s="2318"/>
      <c r="AT92" s="2318"/>
      <c r="AU92" s="2318"/>
      <c r="AV92" s="2318"/>
      <c r="AW92" s="2318"/>
      <c r="AX92" s="2318"/>
      <c r="AY92" s="2318"/>
      <c r="AZ92" s="2318"/>
      <c r="BA92" s="2318"/>
      <c r="BB92" s="2319"/>
      <c r="BC92" s="1189"/>
      <c r="BD92" s="1189"/>
      <c r="BE92" s="1195"/>
    </row>
    <row r="93" spans="1:57" ht="15.75" customHeight="1" thickBot="1">
      <c r="A93" s="1189"/>
      <c r="B93" s="2323" t="s">
        <v>1900</v>
      </c>
      <c r="C93" s="2324"/>
      <c r="D93" s="2324"/>
      <c r="E93" s="2324"/>
      <c r="F93" s="2324"/>
      <c r="G93" s="2324"/>
      <c r="H93" s="2324"/>
      <c r="I93" s="2278">
        <v>0</v>
      </c>
      <c r="J93" s="2278"/>
      <c r="K93" s="2278"/>
      <c r="L93" s="2278"/>
      <c r="M93" s="2278"/>
      <c r="N93" s="2278"/>
      <c r="O93" s="2278">
        <v>0</v>
      </c>
      <c r="P93" s="2278"/>
      <c r="Q93" s="2278"/>
      <c r="R93" s="2278"/>
      <c r="S93" s="2278"/>
      <c r="T93" s="2278"/>
      <c r="U93" s="2278"/>
      <c r="V93" s="2278">
        <v>0</v>
      </c>
      <c r="W93" s="2278"/>
      <c r="X93" s="2278"/>
      <c r="Y93" s="2278"/>
      <c r="Z93" s="2278"/>
      <c r="AA93" s="2278"/>
      <c r="AB93" s="2278">
        <v>0</v>
      </c>
      <c r="AC93" s="2278"/>
      <c r="AD93" s="2278"/>
      <c r="AE93" s="2278"/>
      <c r="AF93" s="2278"/>
      <c r="AG93" s="2278"/>
      <c r="AH93" s="2279"/>
      <c r="AI93" s="1189"/>
      <c r="AJ93" s="2320"/>
      <c r="AK93" s="2321"/>
      <c r="AL93" s="2321"/>
      <c r="AM93" s="2321"/>
      <c r="AN93" s="2321"/>
      <c r="AO93" s="2321"/>
      <c r="AP93" s="2321"/>
      <c r="AQ93" s="2321"/>
      <c r="AR93" s="2321"/>
      <c r="AS93" s="2321"/>
      <c r="AT93" s="2321"/>
      <c r="AU93" s="2321"/>
      <c r="AV93" s="2321"/>
      <c r="AW93" s="2321"/>
      <c r="AX93" s="2321"/>
      <c r="AY93" s="2321"/>
      <c r="AZ93" s="2321"/>
      <c r="BA93" s="2321"/>
      <c r="BB93" s="2322"/>
      <c r="BC93" s="1189"/>
      <c r="BD93" s="1189"/>
      <c r="BE93" s="1195"/>
    </row>
    <row r="94" spans="1:57" ht="15.75" customHeight="1">
      <c r="A94" s="1189"/>
      <c r="B94" s="1189"/>
      <c r="C94" s="1189"/>
      <c r="D94" s="1189"/>
      <c r="E94" s="1189"/>
      <c r="F94" s="1189"/>
      <c r="G94" s="1189"/>
      <c r="H94" s="1189"/>
      <c r="I94" s="1189"/>
      <c r="J94" s="1189"/>
      <c r="K94" s="1189"/>
      <c r="L94" s="1189"/>
      <c r="M94" s="1189"/>
      <c r="N94" s="1189"/>
      <c r="O94" s="1189"/>
      <c r="P94" s="1189"/>
      <c r="Q94" s="1189"/>
      <c r="R94" s="1189"/>
      <c r="S94" s="1189"/>
      <c r="T94" s="1189"/>
      <c r="U94" s="1189" t="s">
        <v>252</v>
      </c>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5"/>
    </row>
    <row r="95" spans="1:57" ht="15.75" customHeight="1" thickBot="1">
      <c r="A95" s="1189"/>
      <c r="B95" s="1199" t="s">
        <v>1903</v>
      </c>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5"/>
    </row>
    <row r="96" spans="1:57" ht="15.75" customHeight="1" thickBot="1">
      <c r="A96" s="1189"/>
      <c r="B96" s="1189"/>
      <c r="C96" s="1189"/>
      <c r="D96" s="1189"/>
      <c r="E96" s="1189"/>
      <c r="F96" s="1189"/>
      <c r="G96" s="1189"/>
      <c r="H96" s="1189"/>
      <c r="I96" s="1189"/>
      <c r="J96" s="1189"/>
      <c r="K96" s="1189"/>
      <c r="L96" s="1189"/>
      <c r="M96" s="1189"/>
      <c r="N96" s="1189"/>
      <c r="O96" s="1189"/>
      <c r="P96" s="1205"/>
      <c r="Q96" s="1189"/>
      <c r="R96" s="1189"/>
      <c r="S96" s="1189"/>
      <c r="T96" s="1189"/>
      <c r="U96" s="1189"/>
      <c r="V96" s="1189"/>
      <c r="W96" s="1189"/>
      <c r="X96" s="2305" t="s">
        <v>2248</v>
      </c>
      <c r="Y96" s="2306"/>
      <c r="Z96" s="2306"/>
      <c r="AA96" s="2306"/>
      <c r="AB96" s="2306"/>
      <c r="AC96" s="2306"/>
      <c r="AD96" s="2306"/>
      <c r="AE96" s="2306"/>
      <c r="AF96" s="2306"/>
      <c r="AG96" s="2306"/>
      <c r="AH96" s="2306"/>
      <c r="AI96" s="2306"/>
      <c r="AJ96" s="2306"/>
      <c r="AK96" s="2306"/>
      <c r="AL96" s="2306"/>
      <c r="AM96" s="2306"/>
      <c r="AN96" s="2306"/>
      <c r="AO96" s="2306"/>
      <c r="AP96" s="2306"/>
      <c r="AQ96" s="2306"/>
      <c r="AR96" s="2306"/>
      <c r="AS96" s="2306"/>
      <c r="AT96" s="2306"/>
      <c r="AU96" s="2306"/>
      <c r="AV96" s="2306"/>
      <c r="AW96" s="2306"/>
      <c r="AX96" s="2306"/>
      <c r="AY96" s="2306"/>
      <c r="AZ96" s="2306"/>
      <c r="BA96" s="2306"/>
      <c r="BB96" s="2306"/>
      <c r="BC96" s="2306"/>
      <c r="BD96" s="2307"/>
      <c r="BE96" s="1195"/>
    </row>
    <row r="97" spans="1:57" ht="15.75" customHeight="1">
      <c r="A97" s="1189"/>
      <c r="B97" s="2311" t="s">
        <v>1754</v>
      </c>
      <c r="C97" s="2312"/>
      <c r="D97" s="2312"/>
      <c r="E97" s="2312"/>
      <c r="F97" s="2312"/>
      <c r="G97" s="2312"/>
      <c r="H97" s="2312"/>
      <c r="I97" s="2312"/>
      <c r="J97" s="2312"/>
      <c r="K97" s="2312"/>
      <c r="L97" s="2312"/>
      <c r="M97" s="2312"/>
      <c r="N97" s="2312"/>
      <c r="O97" s="2312"/>
      <c r="P97" s="2312"/>
      <c r="Q97" s="2312"/>
      <c r="R97" s="2312"/>
      <c r="S97" s="2312"/>
      <c r="T97" s="2312"/>
      <c r="U97" s="2313"/>
      <c r="V97" s="1189"/>
      <c r="W97" s="1189"/>
      <c r="X97" s="2308"/>
      <c r="Y97" s="2309"/>
      <c r="Z97" s="2309"/>
      <c r="AA97" s="2309"/>
      <c r="AB97" s="2309"/>
      <c r="AC97" s="2309"/>
      <c r="AD97" s="2309"/>
      <c r="AE97" s="2309"/>
      <c r="AF97" s="2309"/>
      <c r="AG97" s="2309"/>
      <c r="AH97" s="2309"/>
      <c r="AI97" s="2309"/>
      <c r="AJ97" s="2309"/>
      <c r="AK97" s="2309"/>
      <c r="AL97" s="2309"/>
      <c r="AM97" s="2309"/>
      <c r="AN97" s="2309"/>
      <c r="AO97" s="2309"/>
      <c r="AP97" s="2309"/>
      <c r="AQ97" s="2309"/>
      <c r="AR97" s="2309"/>
      <c r="AS97" s="2309"/>
      <c r="AT97" s="2309"/>
      <c r="AU97" s="2309"/>
      <c r="AV97" s="2309"/>
      <c r="AW97" s="2309"/>
      <c r="AX97" s="2309"/>
      <c r="AY97" s="2309"/>
      <c r="AZ97" s="2309"/>
      <c r="BA97" s="2309"/>
      <c r="BB97" s="2309"/>
      <c r="BC97" s="2309"/>
      <c r="BD97" s="2310"/>
      <c r="BE97" s="1195"/>
    </row>
    <row r="98" spans="1:57" ht="15.75" customHeight="1">
      <c r="A98" s="1189"/>
      <c r="B98" s="2254"/>
      <c r="C98" s="2255"/>
      <c r="D98" s="2255"/>
      <c r="E98" s="2255"/>
      <c r="F98" s="2255"/>
      <c r="G98" s="2255"/>
      <c r="H98" s="2255"/>
      <c r="I98" s="2314" t="s">
        <v>2249</v>
      </c>
      <c r="J98" s="2314"/>
      <c r="K98" s="2314"/>
      <c r="L98" s="2314"/>
      <c r="M98" s="2314"/>
      <c r="N98" s="2314"/>
      <c r="O98" s="2315" t="s">
        <v>2250</v>
      </c>
      <c r="P98" s="2315"/>
      <c r="Q98" s="2315"/>
      <c r="R98" s="2315"/>
      <c r="S98" s="2315"/>
      <c r="T98" s="2315"/>
      <c r="U98" s="2316"/>
      <c r="V98" s="1189"/>
      <c r="W98" s="1189"/>
      <c r="X98" s="2257" t="s">
        <v>2262</v>
      </c>
      <c r="Y98" s="2258"/>
      <c r="Z98" s="2258"/>
      <c r="AA98" s="2258"/>
      <c r="AB98" s="2258"/>
      <c r="AC98" s="2258"/>
      <c r="AD98" s="2258"/>
      <c r="AE98" s="2258"/>
      <c r="AF98" s="2258"/>
      <c r="AG98" s="2258"/>
      <c r="AH98" s="2258"/>
      <c r="AI98" s="2258"/>
      <c r="AJ98" s="2258"/>
      <c r="AK98" s="2258"/>
      <c r="AL98" s="2258"/>
      <c r="AM98" s="2258"/>
      <c r="AN98" s="2258"/>
      <c r="AO98" s="2258"/>
      <c r="AP98" s="2258"/>
      <c r="AQ98" s="2258"/>
      <c r="AR98" s="2258"/>
      <c r="AS98" s="2258"/>
      <c r="AT98" s="2258"/>
      <c r="AU98" s="2258"/>
      <c r="AV98" s="2258"/>
      <c r="AW98" s="2258"/>
      <c r="AX98" s="2258"/>
      <c r="AY98" s="2258"/>
      <c r="AZ98" s="2258"/>
      <c r="BA98" s="2258"/>
      <c r="BB98" s="2258"/>
      <c r="BC98" s="2258"/>
      <c r="BD98" s="2259"/>
      <c r="BE98" s="1195"/>
    </row>
    <row r="99" spans="1:57" ht="15.75" customHeight="1">
      <c r="A99" s="1189"/>
      <c r="B99" s="2282" t="s">
        <v>2251</v>
      </c>
      <c r="C99" s="2283"/>
      <c r="D99" s="2283"/>
      <c r="E99" s="2283"/>
      <c r="F99" s="2283"/>
      <c r="G99" s="2283"/>
      <c r="H99" s="2283"/>
      <c r="I99" s="2284">
        <v>0</v>
      </c>
      <c r="J99" s="2284"/>
      <c r="K99" s="2284"/>
      <c r="L99" s="2284"/>
      <c r="M99" s="2284"/>
      <c r="N99" s="2284"/>
      <c r="O99" s="2284">
        <v>0</v>
      </c>
      <c r="P99" s="2284"/>
      <c r="Q99" s="2284"/>
      <c r="R99" s="2284"/>
      <c r="S99" s="2284"/>
      <c r="T99" s="2284"/>
      <c r="U99" s="2285"/>
      <c r="V99" s="1189"/>
      <c r="W99" s="1189"/>
      <c r="X99" s="2257"/>
      <c r="Y99" s="2258"/>
      <c r="Z99" s="2258"/>
      <c r="AA99" s="2258"/>
      <c r="AB99" s="2258"/>
      <c r="AC99" s="2258"/>
      <c r="AD99" s="2258"/>
      <c r="AE99" s="2258"/>
      <c r="AF99" s="2258"/>
      <c r="AG99" s="2258"/>
      <c r="AH99" s="2258"/>
      <c r="AI99" s="2258"/>
      <c r="AJ99" s="2258"/>
      <c r="AK99" s="2258"/>
      <c r="AL99" s="2258"/>
      <c r="AM99" s="2258"/>
      <c r="AN99" s="2258"/>
      <c r="AO99" s="2258"/>
      <c r="AP99" s="2258"/>
      <c r="AQ99" s="2258"/>
      <c r="AR99" s="2258"/>
      <c r="AS99" s="2258"/>
      <c r="AT99" s="2258"/>
      <c r="AU99" s="2258"/>
      <c r="AV99" s="2258"/>
      <c r="AW99" s="2258"/>
      <c r="AX99" s="2258"/>
      <c r="AY99" s="2258"/>
      <c r="AZ99" s="2258"/>
      <c r="BA99" s="2258"/>
      <c r="BB99" s="2258"/>
      <c r="BC99" s="2258"/>
      <c r="BD99" s="2259"/>
      <c r="BE99" s="1195"/>
    </row>
    <row r="100" spans="1:57" ht="15.75" customHeight="1" thickBot="1">
      <c r="A100" s="1189"/>
      <c r="B100" s="2276" t="s">
        <v>2252</v>
      </c>
      <c r="C100" s="2277"/>
      <c r="D100" s="2277"/>
      <c r="E100" s="2277"/>
      <c r="F100" s="2277"/>
      <c r="G100" s="2277"/>
      <c r="H100" s="2277"/>
      <c r="I100" s="2278">
        <v>0</v>
      </c>
      <c r="J100" s="2278"/>
      <c r="K100" s="2278"/>
      <c r="L100" s="2278"/>
      <c r="M100" s="2278"/>
      <c r="N100" s="2278"/>
      <c r="O100" s="2300"/>
      <c r="P100" s="2300"/>
      <c r="Q100" s="2300"/>
      <c r="R100" s="2300"/>
      <c r="S100" s="2300"/>
      <c r="T100" s="2300"/>
      <c r="U100" s="2301"/>
      <c r="V100" s="1189"/>
      <c r="W100" s="1189"/>
      <c r="X100" s="2257"/>
      <c r="Y100" s="2258"/>
      <c r="Z100" s="2258"/>
      <c r="AA100" s="2258"/>
      <c r="AB100" s="2258"/>
      <c r="AC100" s="2258"/>
      <c r="AD100" s="2258"/>
      <c r="AE100" s="2258"/>
      <c r="AF100" s="2258"/>
      <c r="AG100" s="2258"/>
      <c r="AH100" s="2258"/>
      <c r="AI100" s="2258"/>
      <c r="AJ100" s="2258"/>
      <c r="AK100" s="2258"/>
      <c r="AL100" s="2258"/>
      <c r="AM100" s="2258"/>
      <c r="AN100" s="2258"/>
      <c r="AO100" s="2258"/>
      <c r="AP100" s="2258"/>
      <c r="AQ100" s="2258"/>
      <c r="AR100" s="2258"/>
      <c r="AS100" s="2258"/>
      <c r="AT100" s="2258"/>
      <c r="AU100" s="2258"/>
      <c r="AV100" s="2258"/>
      <c r="AW100" s="2258"/>
      <c r="AX100" s="2258"/>
      <c r="AY100" s="2258"/>
      <c r="AZ100" s="2258"/>
      <c r="BA100" s="2258"/>
      <c r="BB100" s="2258"/>
      <c r="BC100" s="2258"/>
      <c r="BD100" s="2259"/>
      <c r="BE100" s="1195"/>
    </row>
    <row r="101" spans="1:57" ht="15.75" customHeight="1">
      <c r="A101" s="1189"/>
      <c r="B101" s="1189"/>
      <c r="C101" s="1189"/>
      <c r="D101" s="1189"/>
      <c r="E101" s="1189"/>
      <c r="F101" s="1189"/>
      <c r="G101" s="1189"/>
      <c r="H101" s="1189"/>
      <c r="I101" s="1189"/>
      <c r="J101" s="1189"/>
      <c r="K101" s="1189"/>
      <c r="L101" s="1189"/>
      <c r="M101" s="1189"/>
      <c r="N101" s="1189"/>
      <c r="O101" s="1189"/>
      <c r="P101" s="1189"/>
      <c r="Q101" s="1189"/>
      <c r="R101" s="1189"/>
      <c r="S101" s="1189"/>
      <c r="T101" s="1189"/>
      <c r="U101" s="1189"/>
      <c r="V101" s="1189"/>
      <c r="W101" s="1189"/>
      <c r="X101" s="2257"/>
      <c r="Y101" s="2258"/>
      <c r="Z101" s="2258"/>
      <c r="AA101" s="2258"/>
      <c r="AB101" s="2258"/>
      <c r="AC101" s="2258"/>
      <c r="AD101" s="2258"/>
      <c r="AE101" s="2258"/>
      <c r="AF101" s="2258"/>
      <c r="AG101" s="2258"/>
      <c r="AH101" s="2258"/>
      <c r="AI101" s="2258"/>
      <c r="AJ101" s="2258"/>
      <c r="AK101" s="2258"/>
      <c r="AL101" s="2258"/>
      <c r="AM101" s="2258"/>
      <c r="AN101" s="2258"/>
      <c r="AO101" s="2258"/>
      <c r="AP101" s="2258"/>
      <c r="AQ101" s="2258"/>
      <c r="AR101" s="2258"/>
      <c r="AS101" s="2258"/>
      <c r="AT101" s="2258"/>
      <c r="AU101" s="2258"/>
      <c r="AV101" s="2258"/>
      <c r="AW101" s="2258"/>
      <c r="AX101" s="2258"/>
      <c r="AY101" s="2258"/>
      <c r="AZ101" s="2258"/>
      <c r="BA101" s="2258"/>
      <c r="BB101" s="2258"/>
      <c r="BC101" s="2258"/>
      <c r="BD101" s="2259"/>
      <c r="BE101" s="1195"/>
    </row>
    <row r="102" spans="1:57" ht="15.75" customHeight="1">
      <c r="A102" s="1189"/>
      <c r="B102" s="1203" t="s">
        <v>1904</v>
      </c>
      <c r="C102" s="1203"/>
      <c r="D102" s="1203"/>
      <c r="E102" s="1203"/>
      <c r="F102" s="1203"/>
      <c r="G102" s="1203"/>
      <c r="H102" s="1203"/>
      <c r="I102" s="1203"/>
      <c r="J102" s="1203"/>
      <c r="K102" s="1203"/>
      <c r="L102" s="1203"/>
      <c r="M102" s="1203"/>
      <c r="N102" s="1203"/>
      <c r="O102" s="1203"/>
      <c r="P102" s="1203"/>
      <c r="Q102" s="1196" t="s">
        <v>252</v>
      </c>
      <c r="R102" s="1196" t="s">
        <v>252</v>
      </c>
      <c r="S102" s="1189"/>
      <c r="T102" s="1189"/>
      <c r="U102" s="1189"/>
      <c r="V102" s="1189" t="s">
        <v>252</v>
      </c>
      <c r="W102" s="1189"/>
      <c r="X102" s="2257"/>
      <c r="Y102" s="2258"/>
      <c r="Z102" s="2258"/>
      <c r="AA102" s="2258"/>
      <c r="AB102" s="2258"/>
      <c r="AC102" s="2258"/>
      <c r="AD102" s="2258"/>
      <c r="AE102" s="2258"/>
      <c r="AF102" s="2258"/>
      <c r="AG102" s="2258"/>
      <c r="AH102" s="2258"/>
      <c r="AI102" s="2258"/>
      <c r="AJ102" s="2258"/>
      <c r="AK102" s="2258"/>
      <c r="AL102" s="2258"/>
      <c r="AM102" s="2258"/>
      <c r="AN102" s="2258"/>
      <c r="AO102" s="2258"/>
      <c r="AP102" s="2258"/>
      <c r="AQ102" s="2258"/>
      <c r="AR102" s="2258"/>
      <c r="AS102" s="2258"/>
      <c r="AT102" s="2258"/>
      <c r="AU102" s="2258"/>
      <c r="AV102" s="2258"/>
      <c r="AW102" s="2258"/>
      <c r="AX102" s="2258"/>
      <c r="AY102" s="2258"/>
      <c r="AZ102" s="2258"/>
      <c r="BA102" s="2258"/>
      <c r="BB102" s="2258"/>
      <c r="BC102" s="2258"/>
      <c r="BD102" s="2259"/>
      <c r="BE102" s="1195"/>
    </row>
    <row r="103" spans="1:57" ht="15.75" customHeight="1" thickBot="1">
      <c r="A103" s="1189"/>
      <c r="B103" s="1189"/>
      <c r="C103" s="1189"/>
      <c r="D103" s="1189"/>
      <c r="E103" s="1189"/>
      <c r="F103" s="1189"/>
      <c r="G103" s="1189"/>
      <c r="H103" s="1189"/>
      <c r="I103" s="1189"/>
      <c r="J103" s="1189"/>
      <c r="K103" s="1189"/>
      <c r="L103" s="1189"/>
      <c r="M103" s="1189"/>
      <c r="N103" s="1189"/>
      <c r="O103" s="1189"/>
      <c r="P103" s="1189"/>
      <c r="Q103" s="1189"/>
      <c r="R103" s="1189"/>
      <c r="S103" s="1189"/>
      <c r="T103" s="1189"/>
      <c r="U103" s="1189"/>
      <c r="V103" s="1189"/>
      <c r="W103" s="1189"/>
      <c r="X103" s="2257"/>
      <c r="Y103" s="2258"/>
      <c r="Z103" s="2258"/>
      <c r="AA103" s="2258"/>
      <c r="AB103" s="2258"/>
      <c r="AC103" s="2258"/>
      <c r="AD103" s="2258"/>
      <c r="AE103" s="2258"/>
      <c r="AF103" s="2258"/>
      <c r="AG103" s="2258"/>
      <c r="AH103" s="2258"/>
      <c r="AI103" s="2258"/>
      <c r="AJ103" s="2258"/>
      <c r="AK103" s="2258"/>
      <c r="AL103" s="2258"/>
      <c r="AM103" s="2258"/>
      <c r="AN103" s="2258"/>
      <c r="AO103" s="2258"/>
      <c r="AP103" s="2258"/>
      <c r="AQ103" s="2258"/>
      <c r="AR103" s="2258"/>
      <c r="AS103" s="2258"/>
      <c r="AT103" s="2258"/>
      <c r="AU103" s="2258"/>
      <c r="AV103" s="2258"/>
      <c r="AW103" s="2258"/>
      <c r="AX103" s="2258"/>
      <c r="AY103" s="2258"/>
      <c r="AZ103" s="2258"/>
      <c r="BA103" s="2258"/>
      <c r="BB103" s="2258"/>
      <c r="BC103" s="2258"/>
      <c r="BD103" s="2259"/>
      <c r="BE103" s="1195"/>
    </row>
    <row r="104" spans="1:57" ht="15.75" customHeight="1">
      <c r="A104" s="1189"/>
      <c r="B104" s="2302" t="s">
        <v>1905</v>
      </c>
      <c r="C104" s="2303"/>
      <c r="D104" s="2303"/>
      <c r="E104" s="2303"/>
      <c r="F104" s="2303"/>
      <c r="G104" s="2303"/>
      <c r="H104" s="2303"/>
      <c r="I104" s="2303"/>
      <c r="J104" s="2303"/>
      <c r="K104" s="2303"/>
      <c r="L104" s="2303"/>
      <c r="M104" s="2303"/>
      <c r="N104" s="2303"/>
      <c r="O104" s="2303"/>
      <c r="P104" s="2303"/>
      <c r="Q104" s="2303"/>
      <c r="R104" s="2303"/>
      <c r="S104" s="2303"/>
      <c r="T104" s="2303"/>
      <c r="U104" s="2304"/>
      <c r="V104" s="1189"/>
      <c r="W104" s="1189"/>
      <c r="X104" s="2257"/>
      <c r="Y104" s="2258"/>
      <c r="Z104" s="2258"/>
      <c r="AA104" s="2258"/>
      <c r="AB104" s="2258"/>
      <c r="AC104" s="2258"/>
      <c r="AD104" s="2258"/>
      <c r="AE104" s="2258"/>
      <c r="AF104" s="2258"/>
      <c r="AG104" s="2258"/>
      <c r="AH104" s="2258"/>
      <c r="AI104" s="2258"/>
      <c r="AJ104" s="2258"/>
      <c r="AK104" s="2258"/>
      <c r="AL104" s="2258"/>
      <c r="AM104" s="2258"/>
      <c r="AN104" s="2258"/>
      <c r="AO104" s="2258"/>
      <c r="AP104" s="2258"/>
      <c r="AQ104" s="2258"/>
      <c r="AR104" s="2258"/>
      <c r="AS104" s="2258"/>
      <c r="AT104" s="2258"/>
      <c r="AU104" s="2258"/>
      <c r="AV104" s="2258"/>
      <c r="AW104" s="2258"/>
      <c r="AX104" s="2258"/>
      <c r="AY104" s="2258"/>
      <c r="AZ104" s="2258"/>
      <c r="BA104" s="2258"/>
      <c r="BB104" s="2258"/>
      <c r="BC104" s="2258"/>
      <c r="BD104" s="2259"/>
      <c r="BE104" s="1195"/>
    </row>
    <row r="105" spans="1:57" ht="15.75" customHeight="1">
      <c r="A105" s="1189"/>
      <c r="B105" s="2254"/>
      <c r="C105" s="2255"/>
      <c r="D105" s="2255"/>
      <c r="E105" s="2255"/>
      <c r="F105" s="2255"/>
      <c r="G105" s="2255"/>
      <c r="H105" s="2255"/>
      <c r="I105" s="2286" t="s">
        <v>1898</v>
      </c>
      <c r="J105" s="2286"/>
      <c r="K105" s="2286"/>
      <c r="L105" s="2286"/>
      <c r="M105" s="2286"/>
      <c r="N105" s="2286"/>
      <c r="O105" s="2286"/>
      <c r="P105" s="2286" t="s">
        <v>2263</v>
      </c>
      <c r="Q105" s="2286"/>
      <c r="R105" s="2286"/>
      <c r="S105" s="2286"/>
      <c r="T105" s="2286"/>
      <c r="U105" s="2287"/>
      <c r="V105" s="1189"/>
      <c r="W105" s="1189"/>
      <c r="X105" s="2257"/>
      <c r="Y105" s="2258"/>
      <c r="Z105" s="2258"/>
      <c r="AA105" s="2258"/>
      <c r="AB105" s="2258"/>
      <c r="AC105" s="2258"/>
      <c r="AD105" s="2258"/>
      <c r="AE105" s="2258"/>
      <c r="AF105" s="2258"/>
      <c r="AG105" s="2258"/>
      <c r="AH105" s="2258"/>
      <c r="AI105" s="2258"/>
      <c r="AJ105" s="2258"/>
      <c r="AK105" s="2258"/>
      <c r="AL105" s="2258"/>
      <c r="AM105" s="2258"/>
      <c r="AN105" s="2258"/>
      <c r="AO105" s="2258"/>
      <c r="AP105" s="2258"/>
      <c r="AQ105" s="2258"/>
      <c r="AR105" s="2258"/>
      <c r="AS105" s="2258"/>
      <c r="AT105" s="2258"/>
      <c r="AU105" s="2258"/>
      <c r="AV105" s="2258"/>
      <c r="AW105" s="2258"/>
      <c r="AX105" s="2258"/>
      <c r="AY105" s="2258"/>
      <c r="AZ105" s="2258"/>
      <c r="BA105" s="2258"/>
      <c r="BB105" s="2258"/>
      <c r="BC105" s="2258"/>
      <c r="BD105" s="2259"/>
      <c r="BE105" s="1195"/>
    </row>
    <row r="106" spans="1:57" ht="15.75" customHeight="1">
      <c r="A106" s="1189"/>
      <c r="B106" s="2254"/>
      <c r="C106" s="2255"/>
      <c r="D106" s="2255"/>
      <c r="E106" s="2255"/>
      <c r="F106" s="2255"/>
      <c r="G106" s="2255"/>
      <c r="H106" s="2255"/>
      <c r="I106" s="2286"/>
      <c r="J106" s="2286"/>
      <c r="K106" s="2286"/>
      <c r="L106" s="2286"/>
      <c r="M106" s="2286"/>
      <c r="N106" s="2286"/>
      <c r="O106" s="2286"/>
      <c r="P106" s="2286"/>
      <c r="Q106" s="2286"/>
      <c r="R106" s="2286"/>
      <c r="S106" s="2286"/>
      <c r="T106" s="2286"/>
      <c r="U106" s="2287"/>
      <c r="V106" s="1189"/>
      <c r="W106" s="1189"/>
      <c r="X106" s="2257"/>
      <c r="Y106" s="2258"/>
      <c r="Z106" s="2258"/>
      <c r="AA106" s="2258"/>
      <c r="AB106" s="2258"/>
      <c r="AC106" s="2258"/>
      <c r="AD106" s="2258"/>
      <c r="AE106" s="2258"/>
      <c r="AF106" s="2258"/>
      <c r="AG106" s="2258"/>
      <c r="AH106" s="2258"/>
      <c r="AI106" s="2258"/>
      <c r="AJ106" s="2258"/>
      <c r="AK106" s="2258"/>
      <c r="AL106" s="2258"/>
      <c r="AM106" s="2258"/>
      <c r="AN106" s="2258"/>
      <c r="AO106" s="2258"/>
      <c r="AP106" s="2258"/>
      <c r="AQ106" s="2258"/>
      <c r="AR106" s="2258"/>
      <c r="AS106" s="2258"/>
      <c r="AT106" s="2258"/>
      <c r="AU106" s="2258"/>
      <c r="AV106" s="2258"/>
      <c r="AW106" s="2258"/>
      <c r="AX106" s="2258"/>
      <c r="AY106" s="2258"/>
      <c r="AZ106" s="2258"/>
      <c r="BA106" s="2258"/>
      <c r="BB106" s="2258"/>
      <c r="BC106" s="2258"/>
      <c r="BD106" s="2259"/>
      <c r="BE106" s="1195"/>
    </row>
    <row r="107" spans="1:57" ht="15.75" customHeight="1">
      <c r="A107" s="1189"/>
      <c r="B107" s="2282" t="s">
        <v>2251</v>
      </c>
      <c r="C107" s="2283"/>
      <c r="D107" s="2283"/>
      <c r="E107" s="2283"/>
      <c r="F107" s="2283"/>
      <c r="G107" s="2283"/>
      <c r="H107" s="2283"/>
      <c r="I107" s="2284">
        <v>0</v>
      </c>
      <c r="J107" s="2284"/>
      <c r="K107" s="2284"/>
      <c r="L107" s="2284"/>
      <c r="M107" s="2284"/>
      <c r="N107" s="2284"/>
      <c r="O107" s="2284"/>
      <c r="P107" s="2284">
        <v>0</v>
      </c>
      <c r="Q107" s="2284"/>
      <c r="R107" s="2284"/>
      <c r="S107" s="2284"/>
      <c r="T107" s="2284"/>
      <c r="U107" s="2285"/>
      <c r="V107" s="1189"/>
      <c r="W107" s="1189"/>
      <c r="X107" s="2257"/>
      <c r="Y107" s="2258"/>
      <c r="Z107" s="2258"/>
      <c r="AA107" s="2258"/>
      <c r="AB107" s="2258"/>
      <c r="AC107" s="2258"/>
      <c r="AD107" s="2258"/>
      <c r="AE107" s="2258"/>
      <c r="AF107" s="2258"/>
      <c r="AG107" s="2258"/>
      <c r="AH107" s="2258"/>
      <c r="AI107" s="2258"/>
      <c r="AJ107" s="2258"/>
      <c r="AK107" s="2258"/>
      <c r="AL107" s="2258"/>
      <c r="AM107" s="2258"/>
      <c r="AN107" s="2258"/>
      <c r="AO107" s="2258"/>
      <c r="AP107" s="2258"/>
      <c r="AQ107" s="2258"/>
      <c r="AR107" s="2258"/>
      <c r="AS107" s="2258"/>
      <c r="AT107" s="2258"/>
      <c r="AU107" s="2258"/>
      <c r="AV107" s="2258"/>
      <c r="AW107" s="2258"/>
      <c r="AX107" s="2258"/>
      <c r="AY107" s="2258"/>
      <c r="AZ107" s="2258"/>
      <c r="BA107" s="2258"/>
      <c r="BB107" s="2258"/>
      <c r="BC107" s="2258"/>
      <c r="BD107" s="2259"/>
      <c r="BE107" s="1195"/>
    </row>
    <row r="108" spans="1:57" ht="15.75" customHeight="1" thickBot="1">
      <c r="A108" s="1189"/>
      <c r="B108" s="2276" t="s">
        <v>2252</v>
      </c>
      <c r="C108" s="2277"/>
      <c r="D108" s="2277"/>
      <c r="E108" s="2277"/>
      <c r="F108" s="2277"/>
      <c r="G108" s="2277"/>
      <c r="H108" s="2277"/>
      <c r="I108" s="2278">
        <v>0</v>
      </c>
      <c r="J108" s="2278"/>
      <c r="K108" s="2278"/>
      <c r="L108" s="2278"/>
      <c r="M108" s="2278"/>
      <c r="N108" s="2278"/>
      <c r="O108" s="2278"/>
      <c r="P108" s="2278">
        <v>0</v>
      </c>
      <c r="Q108" s="2278"/>
      <c r="R108" s="2278"/>
      <c r="S108" s="2278"/>
      <c r="T108" s="2278"/>
      <c r="U108" s="2279"/>
      <c r="V108" s="1189"/>
      <c r="W108" s="1189"/>
      <c r="X108" s="2260"/>
      <c r="Y108" s="2261"/>
      <c r="Z108" s="2261"/>
      <c r="AA108" s="2261"/>
      <c r="AB108" s="2261"/>
      <c r="AC108" s="2261"/>
      <c r="AD108" s="2261"/>
      <c r="AE108" s="2261"/>
      <c r="AF108" s="2261"/>
      <c r="AG108" s="2261"/>
      <c r="AH108" s="2261"/>
      <c r="AI108" s="2261"/>
      <c r="AJ108" s="2261"/>
      <c r="AK108" s="2261"/>
      <c r="AL108" s="2261"/>
      <c r="AM108" s="2261"/>
      <c r="AN108" s="2261"/>
      <c r="AO108" s="2261"/>
      <c r="AP108" s="2261"/>
      <c r="AQ108" s="2261"/>
      <c r="AR108" s="2261"/>
      <c r="AS108" s="2261"/>
      <c r="AT108" s="2261"/>
      <c r="AU108" s="2261"/>
      <c r="AV108" s="2261"/>
      <c r="AW108" s="2261"/>
      <c r="AX108" s="2261"/>
      <c r="AY108" s="2261"/>
      <c r="AZ108" s="2261"/>
      <c r="BA108" s="2261"/>
      <c r="BB108" s="2261"/>
      <c r="BC108" s="2261"/>
      <c r="BD108" s="2262"/>
      <c r="BE108" s="1195"/>
    </row>
    <row r="109" spans="1:57" ht="15.75" customHeight="1" thickBot="1">
      <c r="A109" s="1189"/>
      <c r="B109" s="1189"/>
      <c r="C109" s="1189"/>
      <c r="D109" s="1189"/>
      <c r="E109" s="1189"/>
      <c r="F109" s="1189"/>
      <c r="G109" s="1189"/>
      <c r="H109" s="1189"/>
      <c r="I109" s="1189"/>
      <c r="J109" s="1189"/>
      <c r="K109" s="1189"/>
      <c r="L109" s="1189"/>
      <c r="M109" s="1189"/>
      <c r="N109" s="1189"/>
      <c r="O109" s="1189"/>
      <c r="P109" s="1189"/>
      <c r="Q109" s="1206"/>
      <c r="R109" s="1189"/>
      <c r="S109" s="1189"/>
      <c r="T109" s="1189"/>
      <c r="U109" s="1189"/>
      <c r="V109" s="1189"/>
      <c r="W109" s="1189"/>
      <c r="X109" s="1189"/>
      <c r="Y109" s="1189"/>
      <c r="Z109" s="1189"/>
      <c r="AA109" s="1189"/>
      <c r="AB109" s="1189"/>
      <c r="AC109" s="1189"/>
      <c r="AD109" s="1189"/>
      <c r="AE109" s="1189"/>
      <c r="AF109" s="1189"/>
      <c r="AG109" s="1189"/>
      <c r="AH109" s="1189"/>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5"/>
    </row>
    <row r="110" spans="1:57" ht="15.75" customHeight="1">
      <c r="A110" s="1189"/>
      <c r="B110" s="2251" t="s">
        <v>1906</v>
      </c>
      <c r="C110" s="2252"/>
      <c r="D110" s="2252"/>
      <c r="E110" s="2252"/>
      <c r="F110" s="2252"/>
      <c r="G110" s="2252"/>
      <c r="H110" s="2252"/>
      <c r="I110" s="2252"/>
      <c r="J110" s="2252"/>
      <c r="K110" s="2252"/>
      <c r="L110" s="2252"/>
      <c r="M110" s="2252"/>
      <c r="N110" s="2252"/>
      <c r="O110" s="2252"/>
      <c r="P110" s="2252"/>
      <c r="Q110" s="2252"/>
      <c r="R110" s="2252"/>
      <c r="S110" s="2252"/>
      <c r="T110" s="2252"/>
      <c r="U110" s="2252"/>
      <c r="V110" s="2252"/>
      <c r="W110" s="2252"/>
      <c r="X110" s="2252"/>
      <c r="Y110" s="2252"/>
      <c r="Z110" s="2252"/>
      <c r="AA110" s="2252"/>
      <c r="AB110" s="2252"/>
      <c r="AC110" s="2252"/>
      <c r="AD110" s="2252"/>
      <c r="AE110" s="2252"/>
      <c r="AF110" s="2252"/>
      <c r="AG110" s="2252"/>
      <c r="AH110" s="2288" t="s">
        <v>555</v>
      </c>
      <c r="AI110" s="2288"/>
      <c r="AJ110" s="2288"/>
      <c r="AK110" s="2288"/>
      <c r="AL110" s="2288"/>
      <c r="AM110" s="2288"/>
      <c r="AN110" s="2288"/>
      <c r="AO110" s="2288"/>
      <c r="AP110" s="2288"/>
      <c r="AQ110" s="2288"/>
      <c r="AR110" s="2288"/>
      <c r="AS110" s="2288"/>
      <c r="AT110" s="2288"/>
      <c r="AU110" s="2288"/>
      <c r="AV110" s="2288"/>
      <c r="AW110" s="2288"/>
      <c r="AX110" s="2289"/>
      <c r="AY110" s="1189"/>
      <c r="AZ110" s="1189"/>
      <c r="BA110" s="1189"/>
      <c r="BB110" s="1189"/>
      <c r="BC110" s="1189"/>
      <c r="BD110" s="1189"/>
      <c r="BE110" s="1195"/>
    </row>
    <row r="111" spans="1:57" ht="15.75" customHeight="1">
      <c r="A111" s="1189"/>
      <c r="B111" s="2290" t="s">
        <v>1907</v>
      </c>
      <c r="C111" s="2291"/>
      <c r="D111" s="2291"/>
      <c r="E111" s="2291"/>
      <c r="F111" s="2291"/>
      <c r="G111" s="2291"/>
      <c r="H111" s="2291"/>
      <c r="I111" s="2291"/>
      <c r="J111" s="2291"/>
      <c r="K111" s="2291"/>
      <c r="L111" s="2291"/>
      <c r="M111" s="2291"/>
      <c r="N111" s="2291"/>
      <c r="O111" s="2291"/>
      <c r="P111" s="2291"/>
      <c r="Q111" s="2291"/>
      <c r="R111" s="2292" t="s">
        <v>2265</v>
      </c>
      <c r="S111" s="2292"/>
      <c r="T111" s="2292"/>
      <c r="U111" s="2292"/>
      <c r="V111" s="2292"/>
      <c r="W111" s="2292"/>
      <c r="X111" s="2292"/>
      <c r="Y111" s="2292"/>
      <c r="Z111" s="2292"/>
      <c r="AA111" s="2292"/>
      <c r="AB111" s="2292"/>
      <c r="AC111" s="2292"/>
      <c r="AD111" s="2292"/>
      <c r="AE111" s="2292"/>
      <c r="AF111" s="2292"/>
      <c r="AG111" s="2292"/>
      <c r="AH111" s="2292"/>
      <c r="AI111" s="2292"/>
      <c r="AJ111" s="2292"/>
      <c r="AK111" s="2292"/>
      <c r="AL111" s="2292"/>
      <c r="AM111" s="2292"/>
      <c r="AN111" s="2292"/>
      <c r="AO111" s="2292"/>
      <c r="AP111" s="2292"/>
      <c r="AQ111" s="2292"/>
      <c r="AR111" s="2292"/>
      <c r="AS111" s="2292"/>
      <c r="AT111" s="2292"/>
      <c r="AU111" s="2292"/>
      <c r="AV111" s="2292"/>
      <c r="AW111" s="2292"/>
      <c r="AX111" s="2293"/>
      <c r="AY111" s="1189"/>
      <c r="AZ111" s="1189"/>
      <c r="BA111" s="1189"/>
      <c r="BB111" s="1189"/>
      <c r="BC111" s="1189" t="s">
        <v>252</v>
      </c>
      <c r="BD111" s="1189"/>
      <c r="BE111" s="1195"/>
    </row>
    <row r="112" spans="1:57" ht="15.75" customHeight="1">
      <c r="A112" s="1189"/>
      <c r="B112" s="2294" t="s">
        <v>2266</v>
      </c>
      <c r="C112" s="2295"/>
      <c r="D112" s="2295"/>
      <c r="E112" s="2295"/>
      <c r="F112" s="2295"/>
      <c r="G112" s="2295"/>
      <c r="H112" s="2295"/>
      <c r="I112" s="2295"/>
      <c r="J112" s="2295"/>
      <c r="K112" s="2295"/>
      <c r="L112" s="2295"/>
      <c r="M112" s="2295"/>
      <c r="N112" s="2295"/>
      <c r="O112" s="2295"/>
      <c r="P112" s="2295"/>
      <c r="Q112" s="2295"/>
      <c r="R112" s="2295"/>
      <c r="S112" s="2295"/>
      <c r="T112" s="2295"/>
      <c r="U112" s="2295"/>
      <c r="V112" s="2295"/>
      <c r="W112" s="2295"/>
      <c r="X112" s="2295"/>
      <c r="Y112" s="2295"/>
      <c r="Z112" s="2295"/>
      <c r="AA112" s="2295"/>
      <c r="AB112" s="2295"/>
      <c r="AC112" s="2295"/>
      <c r="AD112" s="2295"/>
      <c r="AE112" s="2295"/>
      <c r="AF112" s="2295"/>
      <c r="AG112" s="2295"/>
      <c r="AH112" s="2295"/>
      <c r="AI112" s="2295"/>
      <c r="AJ112" s="2295"/>
      <c r="AK112" s="2295"/>
      <c r="AL112" s="2295"/>
      <c r="AM112" s="2295"/>
      <c r="AN112" s="2295"/>
      <c r="AO112" s="2295"/>
      <c r="AP112" s="2295"/>
      <c r="AQ112" s="2295"/>
      <c r="AR112" s="2295"/>
      <c r="AS112" s="2295"/>
      <c r="AT112" s="2295"/>
      <c r="AU112" s="2295"/>
      <c r="AV112" s="2295"/>
      <c r="AW112" s="2295"/>
      <c r="AX112" s="2296"/>
      <c r="AY112" s="1189"/>
      <c r="AZ112" s="1189"/>
      <c r="BA112" s="1189"/>
      <c r="BB112" s="1189"/>
      <c r="BC112" s="1189"/>
      <c r="BD112" s="1189"/>
      <c r="BE112" s="1195"/>
    </row>
    <row r="113" spans="1:57" ht="15.75" customHeight="1">
      <c r="A113" s="1189"/>
      <c r="B113" s="2294"/>
      <c r="C113" s="2295"/>
      <c r="D113" s="2295"/>
      <c r="E113" s="2295"/>
      <c r="F113" s="2295"/>
      <c r="G113" s="2295"/>
      <c r="H113" s="2295"/>
      <c r="I113" s="2295"/>
      <c r="J113" s="2295"/>
      <c r="K113" s="2295"/>
      <c r="L113" s="2295"/>
      <c r="M113" s="2295"/>
      <c r="N113" s="2295"/>
      <c r="O113" s="2295"/>
      <c r="P113" s="2295"/>
      <c r="Q113" s="2295"/>
      <c r="R113" s="2295"/>
      <c r="S113" s="2295"/>
      <c r="T113" s="2295"/>
      <c r="U113" s="2295"/>
      <c r="V113" s="2295"/>
      <c r="W113" s="2295"/>
      <c r="X113" s="2295"/>
      <c r="Y113" s="2295"/>
      <c r="Z113" s="2295"/>
      <c r="AA113" s="2295"/>
      <c r="AB113" s="2295"/>
      <c r="AC113" s="2295"/>
      <c r="AD113" s="2295"/>
      <c r="AE113" s="2295"/>
      <c r="AF113" s="2295"/>
      <c r="AG113" s="2295"/>
      <c r="AH113" s="2295"/>
      <c r="AI113" s="2295"/>
      <c r="AJ113" s="2295"/>
      <c r="AK113" s="2295"/>
      <c r="AL113" s="2295"/>
      <c r="AM113" s="2295"/>
      <c r="AN113" s="2295"/>
      <c r="AO113" s="2295"/>
      <c r="AP113" s="2295"/>
      <c r="AQ113" s="2295"/>
      <c r="AR113" s="2295"/>
      <c r="AS113" s="2295"/>
      <c r="AT113" s="2295"/>
      <c r="AU113" s="2295"/>
      <c r="AV113" s="2295"/>
      <c r="AW113" s="2295"/>
      <c r="AX113" s="2296"/>
      <c r="AY113" s="1189"/>
      <c r="AZ113" s="1189"/>
      <c r="BA113" s="1189"/>
      <c r="BB113" s="1189"/>
      <c r="BC113" s="1189"/>
      <c r="BD113" s="1189"/>
      <c r="BE113" s="1195"/>
    </row>
    <row r="114" spans="1:57" ht="15.75" customHeight="1">
      <c r="A114" s="1189"/>
      <c r="B114" s="2294"/>
      <c r="C114" s="2295"/>
      <c r="D114" s="2295"/>
      <c r="E114" s="2295"/>
      <c r="F114" s="2295"/>
      <c r="G114" s="2295"/>
      <c r="H114" s="2295"/>
      <c r="I114" s="2295"/>
      <c r="J114" s="2295"/>
      <c r="K114" s="2295"/>
      <c r="L114" s="2295"/>
      <c r="M114" s="2295"/>
      <c r="N114" s="2295"/>
      <c r="O114" s="2295"/>
      <c r="P114" s="2295"/>
      <c r="Q114" s="2295"/>
      <c r="R114" s="2295"/>
      <c r="S114" s="2295"/>
      <c r="T114" s="2295"/>
      <c r="U114" s="2295"/>
      <c r="V114" s="2295"/>
      <c r="W114" s="2295"/>
      <c r="X114" s="2295"/>
      <c r="Y114" s="2295"/>
      <c r="Z114" s="2295"/>
      <c r="AA114" s="2295"/>
      <c r="AB114" s="2295"/>
      <c r="AC114" s="2295"/>
      <c r="AD114" s="2295"/>
      <c r="AE114" s="2295"/>
      <c r="AF114" s="2295"/>
      <c r="AG114" s="2295"/>
      <c r="AH114" s="2295"/>
      <c r="AI114" s="2295"/>
      <c r="AJ114" s="2295"/>
      <c r="AK114" s="2295"/>
      <c r="AL114" s="2295"/>
      <c r="AM114" s="2295"/>
      <c r="AN114" s="2295"/>
      <c r="AO114" s="2295"/>
      <c r="AP114" s="2295"/>
      <c r="AQ114" s="2295"/>
      <c r="AR114" s="2295"/>
      <c r="AS114" s="2295"/>
      <c r="AT114" s="2295"/>
      <c r="AU114" s="2295"/>
      <c r="AV114" s="2295"/>
      <c r="AW114" s="2295"/>
      <c r="AX114" s="2296"/>
      <c r="AY114" s="1189"/>
      <c r="AZ114" s="1189"/>
      <c r="BA114" s="1189"/>
      <c r="BB114" s="1189"/>
      <c r="BC114" s="1189"/>
      <c r="BD114" s="1189"/>
      <c r="BE114" s="1195"/>
    </row>
    <row r="115" spans="1:57" ht="15.75" customHeight="1">
      <c r="A115" s="1189"/>
      <c r="B115" s="2294"/>
      <c r="C115" s="2295"/>
      <c r="D115" s="2295"/>
      <c r="E115" s="2295"/>
      <c r="F115" s="2295"/>
      <c r="G115" s="2295"/>
      <c r="H115" s="2295"/>
      <c r="I115" s="2295"/>
      <c r="J115" s="2295"/>
      <c r="K115" s="2295"/>
      <c r="L115" s="2295"/>
      <c r="M115" s="2295"/>
      <c r="N115" s="2295"/>
      <c r="O115" s="2295"/>
      <c r="P115" s="2295"/>
      <c r="Q115" s="2295"/>
      <c r="R115" s="2295"/>
      <c r="S115" s="2295"/>
      <c r="T115" s="2295"/>
      <c r="U115" s="2295"/>
      <c r="V115" s="2295"/>
      <c r="W115" s="2295"/>
      <c r="X115" s="2295"/>
      <c r="Y115" s="2295"/>
      <c r="Z115" s="2295"/>
      <c r="AA115" s="2295"/>
      <c r="AB115" s="2295"/>
      <c r="AC115" s="2295"/>
      <c r="AD115" s="2295"/>
      <c r="AE115" s="2295"/>
      <c r="AF115" s="2295"/>
      <c r="AG115" s="2295"/>
      <c r="AH115" s="2295"/>
      <c r="AI115" s="2295"/>
      <c r="AJ115" s="2295"/>
      <c r="AK115" s="2295"/>
      <c r="AL115" s="2295"/>
      <c r="AM115" s="2295"/>
      <c r="AN115" s="2295"/>
      <c r="AO115" s="2295"/>
      <c r="AP115" s="2295"/>
      <c r="AQ115" s="2295"/>
      <c r="AR115" s="2295"/>
      <c r="AS115" s="2295"/>
      <c r="AT115" s="2295"/>
      <c r="AU115" s="2295"/>
      <c r="AV115" s="2295"/>
      <c r="AW115" s="2295"/>
      <c r="AX115" s="2296"/>
      <c r="AY115" s="1189"/>
      <c r="AZ115" s="1189"/>
      <c r="BA115" s="1189"/>
      <c r="BB115" s="1189"/>
      <c r="BC115" s="1189"/>
      <c r="BD115" s="1189"/>
      <c r="BE115" s="1195"/>
    </row>
    <row r="116" spans="1:57" ht="15.75" customHeight="1">
      <c r="A116" s="1189"/>
      <c r="B116" s="2294"/>
      <c r="C116" s="2295"/>
      <c r="D116" s="2295"/>
      <c r="E116" s="2295"/>
      <c r="F116" s="2295"/>
      <c r="G116" s="2295"/>
      <c r="H116" s="2295"/>
      <c r="I116" s="2295"/>
      <c r="J116" s="2295"/>
      <c r="K116" s="2295"/>
      <c r="L116" s="2295"/>
      <c r="M116" s="2295"/>
      <c r="N116" s="2295"/>
      <c r="O116" s="2295"/>
      <c r="P116" s="2295"/>
      <c r="Q116" s="2295"/>
      <c r="R116" s="2295"/>
      <c r="S116" s="2295"/>
      <c r="T116" s="2295"/>
      <c r="U116" s="2295"/>
      <c r="V116" s="2295"/>
      <c r="W116" s="2295"/>
      <c r="X116" s="2295"/>
      <c r="Y116" s="2295"/>
      <c r="Z116" s="2295"/>
      <c r="AA116" s="2295"/>
      <c r="AB116" s="2295"/>
      <c r="AC116" s="2295"/>
      <c r="AD116" s="2295"/>
      <c r="AE116" s="2295"/>
      <c r="AF116" s="2295"/>
      <c r="AG116" s="2295"/>
      <c r="AH116" s="2295"/>
      <c r="AI116" s="2295"/>
      <c r="AJ116" s="2295"/>
      <c r="AK116" s="2295"/>
      <c r="AL116" s="2295"/>
      <c r="AM116" s="2295"/>
      <c r="AN116" s="2295"/>
      <c r="AO116" s="2295"/>
      <c r="AP116" s="2295"/>
      <c r="AQ116" s="2295"/>
      <c r="AR116" s="2295"/>
      <c r="AS116" s="2295"/>
      <c r="AT116" s="2295"/>
      <c r="AU116" s="2295"/>
      <c r="AV116" s="2295"/>
      <c r="AW116" s="2295"/>
      <c r="AX116" s="2296"/>
      <c r="AY116" s="1189"/>
      <c r="AZ116" s="1189"/>
      <c r="BA116" s="1189"/>
      <c r="BB116" s="1189"/>
      <c r="BC116" s="1189"/>
      <c r="BD116" s="1189"/>
      <c r="BE116" s="1195"/>
    </row>
    <row r="117" spans="1:57" ht="15.75" customHeight="1">
      <c r="A117" s="1189"/>
      <c r="B117" s="2294"/>
      <c r="C117" s="2295"/>
      <c r="D117" s="2295"/>
      <c r="E117" s="2295"/>
      <c r="F117" s="2295"/>
      <c r="G117" s="2295"/>
      <c r="H117" s="2295"/>
      <c r="I117" s="2295"/>
      <c r="J117" s="2295"/>
      <c r="K117" s="2295"/>
      <c r="L117" s="2295"/>
      <c r="M117" s="2295"/>
      <c r="N117" s="2295"/>
      <c r="O117" s="2295"/>
      <c r="P117" s="2295"/>
      <c r="Q117" s="2295"/>
      <c r="R117" s="2295"/>
      <c r="S117" s="2295"/>
      <c r="T117" s="2295"/>
      <c r="U117" s="2295"/>
      <c r="V117" s="2295"/>
      <c r="W117" s="2295"/>
      <c r="X117" s="2295"/>
      <c r="Y117" s="2295"/>
      <c r="Z117" s="2295"/>
      <c r="AA117" s="2295"/>
      <c r="AB117" s="2295"/>
      <c r="AC117" s="2295"/>
      <c r="AD117" s="2295"/>
      <c r="AE117" s="2295"/>
      <c r="AF117" s="2295"/>
      <c r="AG117" s="2295"/>
      <c r="AH117" s="2295"/>
      <c r="AI117" s="2295"/>
      <c r="AJ117" s="2295"/>
      <c r="AK117" s="2295"/>
      <c r="AL117" s="2295"/>
      <c r="AM117" s="2295"/>
      <c r="AN117" s="2295"/>
      <c r="AO117" s="2295"/>
      <c r="AP117" s="2295"/>
      <c r="AQ117" s="2295"/>
      <c r="AR117" s="2295"/>
      <c r="AS117" s="2295"/>
      <c r="AT117" s="2295"/>
      <c r="AU117" s="2295"/>
      <c r="AV117" s="2295"/>
      <c r="AW117" s="2295"/>
      <c r="AX117" s="2296"/>
      <c r="AY117" s="1189"/>
      <c r="AZ117" s="1189"/>
      <c r="BA117" s="1189"/>
      <c r="BB117" s="1189"/>
      <c r="BC117" s="1189"/>
      <c r="BD117" s="1189"/>
      <c r="BE117" s="1195"/>
    </row>
    <row r="118" spans="1:57" ht="15.75" customHeight="1">
      <c r="A118" s="1189"/>
      <c r="B118" s="2294"/>
      <c r="C118" s="2295"/>
      <c r="D118" s="2295"/>
      <c r="E118" s="2295"/>
      <c r="F118" s="2295"/>
      <c r="G118" s="2295"/>
      <c r="H118" s="2295"/>
      <c r="I118" s="2295"/>
      <c r="J118" s="2295"/>
      <c r="K118" s="2295"/>
      <c r="L118" s="2295"/>
      <c r="M118" s="2295"/>
      <c r="N118" s="2295"/>
      <c r="O118" s="2295"/>
      <c r="P118" s="2295"/>
      <c r="Q118" s="2295"/>
      <c r="R118" s="2295"/>
      <c r="S118" s="2295"/>
      <c r="T118" s="2295"/>
      <c r="U118" s="2295"/>
      <c r="V118" s="2295"/>
      <c r="W118" s="2295"/>
      <c r="X118" s="2295"/>
      <c r="Y118" s="2295"/>
      <c r="Z118" s="2295"/>
      <c r="AA118" s="2295"/>
      <c r="AB118" s="2295"/>
      <c r="AC118" s="2295"/>
      <c r="AD118" s="2295"/>
      <c r="AE118" s="2295"/>
      <c r="AF118" s="2295"/>
      <c r="AG118" s="2295"/>
      <c r="AH118" s="2295"/>
      <c r="AI118" s="2295"/>
      <c r="AJ118" s="2295"/>
      <c r="AK118" s="2295"/>
      <c r="AL118" s="2295"/>
      <c r="AM118" s="2295"/>
      <c r="AN118" s="2295"/>
      <c r="AO118" s="2295"/>
      <c r="AP118" s="2295"/>
      <c r="AQ118" s="2295"/>
      <c r="AR118" s="2295"/>
      <c r="AS118" s="2295"/>
      <c r="AT118" s="2295"/>
      <c r="AU118" s="2295"/>
      <c r="AV118" s="2295"/>
      <c r="AW118" s="2295"/>
      <c r="AX118" s="2296"/>
      <c r="AY118" s="1189"/>
      <c r="AZ118" s="1189"/>
      <c r="BA118" s="1189"/>
      <c r="BB118" s="1189"/>
      <c r="BC118" s="1189"/>
      <c r="BD118" s="1189"/>
      <c r="BE118" s="1195"/>
    </row>
    <row r="119" spans="1:57" ht="15.75" customHeight="1">
      <c r="A119" s="1189"/>
      <c r="B119" s="2294"/>
      <c r="C119" s="2295"/>
      <c r="D119" s="2295"/>
      <c r="E119" s="2295"/>
      <c r="F119" s="2295"/>
      <c r="G119" s="2295"/>
      <c r="H119" s="2295"/>
      <c r="I119" s="2295"/>
      <c r="J119" s="2295"/>
      <c r="K119" s="2295"/>
      <c r="L119" s="2295"/>
      <c r="M119" s="2295"/>
      <c r="N119" s="2295"/>
      <c r="O119" s="2295"/>
      <c r="P119" s="2295"/>
      <c r="Q119" s="2295"/>
      <c r="R119" s="2295"/>
      <c r="S119" s="2295"/>
      <c r="T119" s="2295"/>
      <c r="U119" s="2295"/>
      <c r="V119" s="2295"/>
      <c r="W119" s="2295"/>
      <c r="X119" s="2295"/>
      <c r="Y119" s="2295"/>
      <c r="Z119" s="2295"/>
      <c r="AA119" s="2295"/>
      <c r="AB119" s="2295"/>
      <c r="AC119" s="2295"/>
      <c r="AD119" s="2295"/>
      <c r="AE119" s="2295"/>
      <c r="AF119" s="2295"/>
      <c r="AG119" s="2295"/>
      <c r="AH119" s="2295"/>
      <c r="AI119" s="2295"/>
      <c r="AJ119" s="2295"/>
      <c r="AK119" s="2295"/>
      <c r="AL119" s="2295"/>
      <c r="AM119" s="2295"/>
      <c r="AN119" s="2295"/>
      <c r="AO119" s="2295"/>
      <c r="AP119" s="2295"/>
      <c r="AQ119" s="2295"/>
      <c r="AR119" s="2295"/>
      <c r="AS119" s="2295"/>
      <c r="AT119" s="2295"/>
      <c r="AU119" s="2295"/>
      <c r="AV119" s="2295"/>
      <c r="AW119" s="2295"/>
      <c r="AX119" s="2296"/>
      <c r="AY119" s="1189"/>
      <c r="AZ119" s="1189"/>
      <c r="BA119" s="1189"/>
      <c r="BB119" s="1189"/>
      <c r="BC119" s="1189"/>
      <c r="BD119" s="1189"/>
      <c r="BE119" s="1195"/>
    </row>
    <row r="120" spans="1:57" ht="15.75" customHeight="1">
      <c r="A120" s="1189"/>
      <c r="B120" s="2294"/>
      <c r="C120" s="2295"/>
      <c r="D120" s="2295"/>
      <c r="E120" s="2295"/>
      <c r="F120" s="2295"/>
      <c r="G120" s="2295"/>
      <c r="H120" s="2295"/>
      <c r="I120" s="2295"/>
      <c r="J120" s="2295"/>
      <c r="K120" s="2295"/>
      <c r="L120" s="2295"/>
      <c r="M120" s="2295"/>
      <c r="N120" s="2295"/>
      <c r="O120" s="2295"/>
      <c r="P120" s="2295"/>
      <c r="Q120" s="2295"/>
      <c r="R120" s="2295"/>
      <c r="S120" s="2295"/>
      <c r="T120" s="2295"/>
      <c r="U120" s="2295"/>
      <c r="V120" s="2295"/>
      <c r="W120" s="2295"/>
      <c r="X120" s="2295"/>
      <c r="Y120" s="2295"/>
      <c r="Z120" s="2295"/>
      <c r="AA120" s="2295"/>
      <c r="AB120" s="2295"/>
      <c r="AC120" s="2295"/>
      <c r="AD120" s="2295"/>
      <c r="AE120" s="2295"/>
      <c r="AF120" s="2295"/>
      <c r="AG120" s="2295"/>
      <c r="AH120" s="2295"/>
      <c r="AI120" s="2295"/>
      <c r="AJ120" s="2295"/>
      <c r="AK120" s="2295"/>
      <c r="AL120" s="2295"/>
      <c r="AM120" s="2295"/>
      <c r="AN120" s="2295"/>
      <c r="AO120" s="2295"/>
      <c r="AP120" s="2295"/>
      <c r="AQ120" s="2295"/>
      <c r="AR120" s="2295"/>
      <c r="AS120" s="2295"/>
      <c r="AT120" s="2295"/>
      <c r="AU120" s="2295"/>
      <c r="AV120" s="2295"/>
      <c r="AW120" s="2295"/>
      <c r="AX120" s="2296"/>
      <c r="AY120" s="1189"/>
      <c r="AZ120" s="1189"/>
      <c r="BA120" s="1189"/>
      <c r="BB120" s="1189"/>
      <c r="BC120" s="1189"/>
      <c r="BD120" s="1189"/>
      <c r="BE120" s="1195"/>
    </row>
    <row r="121" spans="1:57" ht="15.75" customHeight="1" thickBot="1">
      <c r="A121" s="1189"/>
      <c r="B121" s="2297"/>
      <c r="C121" s="2298"/>
      <c r="D121" s="2298"/>
      <c r="E121" s="2298"/>
      <c r="F121" s="2298"/>
      <c r="G121" s="2298"/>
      <c r="H121" s="2298"/>
      <c r="I121" s="2298"/>
      <c r="J121" s="2298"/>
      <c r="K121" s="2298"/>
      <c r="L121" s="2298"/>
      <c r="M121" s="2298"/>
      <c r="N121" s="2298"/>
      <c r="O121" s="2298"/>
      <c r="P121" s="2298"/>
      <c r="Q121" s="2298"/>
      <c r="R121" s="2298"/>
      <c r="S121" s="2298"/>
      <c r="T121" s="2298"/>
      <c r="U121" s="2298"/>
      <c r="V121" s="2298"/>
      <c r="W121" s="2298"/>
      <c r="X121" s="2298"/>
      <c r="Y121" s="2298"/>
      <c r="Z121" s="2298"/>
      <c r="AA121" s="2298"/>
      <c r="AB121" s="2298"/>
      <c r="AC121" s="2298"/>
      <c r="AD121" s="2298"/>
      <c r="AE121" s="2298"/>
      <c r="AF121" s="2298"/>
      <c r="AG121" s="2298"/>
      <c r="AH121" s="2298"/>
      <c r="AI121" s="2298"/>
      <c r="AJ121" s="2298"/>
      <c r="AK121" s="2298"/>
      <c r="AL121" s="2298"/>
      <c r="AM121" s="2298"/>
      <c r="AN121" s="2298"/>
      <c r="AO121" s="2298"/>
      <c r="AP121" s="2298"/>
      <c r="AQ121" s="2298"/>
      <c r="AR121" s="2298"/>
      <c r="AS121" s="2298"/>
      <c r="AT121" s="2298"/>
      <c r="AU121" s="2298"/>
      <c r="AV121" s="2298"/>
      <c r="AW121" s="2298"/>
      <c r="AX121" s="2299"/>
      <c r="AY121" s="1189"/>
      <c r="AZ121" s="1189"/>
      <c r="BA121" s="1189"/>
      <c r="BB121" s="1189"/>
      <c r="BC121" s="1189"/>
      <c r="BD121" s="1189"/>
      <c r="BE121" s="1195"/>
    </row>
    <row r="122" spans="1:57" ht="15.75" customHeight="1">
      <c r="A122" s="1189"/>
      <c r="B122" s="1189"/>
      <c r="C122" s="1189"/>
      <c r="D122" s="1189"/>
      <c r="E122" s="1189"/>
      <c r="F122" s="1189"/>
      <c r="G122" s="1189"/>
      <c r="H122" s="1189"/>
      <c r="I122" s="1189"/>
      <c r="J122" s="1189"/>
      <c r="K122" s="1189"/>
      <c r="L122" s="1189"/>
      <c r="M122" s="1189"/>
      <c r="N122" s="1189"/>
      <c r="O122" s="1189"/>
      <c r="P122" s="1189"/>
      <c r="Q122" s="1189"/>
      <c r="R122" s="1189"/>
      <c r="S122" s="1189"/>
      <c r="T122" s="1189"/>
      <c r="U122" s="1189"/>
      <c r="V122" s="1189"/>
      <c r="W122" s="1189"/>
      <c r="X122" s="1189"/>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5"/>
    </row>
    <row r="123" spans="1:57" ht="15.75" customHeight="1">
      <c r="A123" s="1189"/>
      <c r="B123" s="1199" t="s">
        <v>1908</v>
      </c>
      <c r="C123" s="1199"/>
      <c r="D123" s="1199"/>
      <c r="E123" s="1199"/>
      <c r="F123" s="1199"/>
      <c r="G123" s="1199"/>
      <c r="H123" s="1199"/>
      <c r="I123" s="1199"/>
      <c r="J123" s="1199"/>
      <c r="K123" s="1199"/>
      <c r="L123" s="1199"/>
      <c r="M123" s="1199"/>
      <c r="N123" s="1196"/>
      <c r="O123" s="1196"/>
      <c r="P123" s="1189"/>
      <c r="Q123" s="1189"/>
      <c r="R123" s="1189"/>
      <c r="S123" s="1189"/>
      <c r="T123" s="1189"/>
      <c r="U123" s="1189" t="s">
        <v>252</v>
      </c>
      <c r="V123" s="1189"/>
      <c r="W123" s="1189"/>
      <c r="X123" s="1203" t="s">
        <v>2267</v>
      </c>
      <c r="Y123" s="1203"/>
      <c r="Z123" s="1203"/>
      <c r="AA123" s="1203"/>
      <c r="AB123" s="1203"/>
      <c r="AC123" s="1203"/>
      <c r="AD123" s="1203"/>
      <c r="AE123" s="1203"/>
      <c r="AF123" s="1203"/>
      <c r="AG123" s="1203"/>
      <c r="AH123" s="1203"/>
      <c r="AI123" s="1203"/>
      <c r="AJ123" s="1203"/>
      <c r="AK123" s="1204"/>
      <c r="AL123" s="1204"/>
      <c r="AM123" s="1204"/>
      <c r="AN123" s="1189"/>
      <c r="AO123" s="1189"/>
      <c r="AP123" s="1189"/>
      <c r="AQ123" s="1189"/>
      <c r="AR123" s="1189"/>
      <c r="AS123" s="1189"/>
      <c r="AT123" s="1189"/>
      <c r="AU123" s="1189"/>
      <c r="AV123" s="1189"/>
      <c r="AW123" s="1189"/>
      <c r="AX123" s="1189"/>
      <c r="AY123" s="1189"/>
      <c r="AZ123" s="1189"/>
      <c r="BA123" s="1189"/>
      <c r="BB123" s="1189"/>
      <c r="BC123" s="1189"/>
      <c r="BD123" s="1189"/>
      <c r="BE123" s="1195"/>
    </row>
    <row r="124" spans="1:57" ht="15.75" customHeight="1" thickBot="1">
      <c r="A124" s="1189"/>
      <c r="B124" s="1189"/>
      <c r="C124" s="1189"/>
      <c r="D124" s="1189"/>
      <c r="E124" s="1189"/>
      <c r="F124" s="1189"/>
      <c r="G124" s="1189"/>
      <c r="H124" s="1189"/>
      <c r="I124" s="1189"/>
      <c r="J124" s="1189"/>
      <c r="K124" s="1189"/>
      <c r="L124" s="1189"/>
      <c r="M124" s="1189"/>
      <c r="N124" s="1189"/>
      <c r="O124" s="1189"/>
      <c r="P124" s="1196"/>
      <c r="Q124" s="1189"/>
      <c r="R124" s="1189"/>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5"/>
    </row>
    <row r="125" spans="1:57" ht="15.75" customHeight="1">
      <c r="A125" s="1189"/>
      <c r="B125" s="2280" t="s">
        <v>1909</v>
      </c>
      <c r="C125" s="2246"/>
      <c r="D125" s="2246"/>
      <c r="E125" s="2246"/>
      <c r="F125" s="2246"/>
      <c r="G125" s="2246"/>
      <c r="H125" s="2246"/>
      <c r="I125" s="2246"/>
      <c r="J125" s="2246"/>
      <c r="K125" s="2246"/>
      <c r="L125" s="2246"/>
      <c r="M125" s="2246"/>
      <c r="N125" s="2246"/>
      <c r="O125" s="2246"/>
      <c r="P125" s="2246"/>
      <c r="Q125" s="2246"/>
      <c r="R125" s="2246"/>
      <c r="S125" s="2246"/>
      <c r="T125" s="2246"/>
      <c r="U125" s="2247"/>
      <c r="V125" s="1189"/>
      <c r="W125" s="1191"/>
      <c r="X125" s="2280" t="s">
        <v>2268</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7"/>
      <c r="AR125" s="1189"/>
      <c r="AS125" s="1189"/>
      <c r="AT125" s="1189"/>
      <c r="AU125" s="1189"/>
      <c r="AV125" s="1189"/>
      <c r="AW125" s="1189"/>
      <c r="AX125" s="1189"/>
      <c r="AY125" s="1189"/>
      <c r="AZ125" s="1189"/>
      <c r="BA125" s="1189"/>
      <c r="BB125" s="1189"/>
      <c r="BC125" s="1189"/>
      <c r="BD125" s="1189"/>
      <c r="BE125" s="1195"/>
    </row>
    <row r="126" spans="1:57" ht="15.75" customHeight="1">
      <c r="A126" s="1189"/>
      <c r="B126" s="2254"/>
      <c r="C126" s="2255"/>
      <c r="D126" s="2255"/>
      <c r="E126" s="2255"/>
      <c r="F126" s="2255"/>
      <c r="G126" s="2255"/>
      <c r="H126" s="2255"/>
      <c r="I126" s="2286" t="s">
        <v>1898</v>
      </c>
      <c r="J126" s="2286"/>
      <c r="K126" s="2286"/>
      <c r="L126" s="2286"/>
      <c r="M126" s="2286"/>
      <c r="N126" s="2286"/>
      <c r="O126" s="2286"/>
      <c r="P126" s="2286" t="s">
        <v>2269</v>
      </c>
      <c r="Q126" s="2286"/>
      <c r="R126" s="2286"/>
      <c r="S126" s="2286"/>
      <c r="T126" s="2286"/>
      <c r="U126" s="2287"/>
      <c r="V126" s="1189"/>
      <c r="W126" s="1189"/>
      <c r="X126" s="2254"/>
      <c r="Y126" s="2255"/>
      <c r="Z126" s="2255"/>
      <c r="AA126" s="2255"/>
      <c r="AB126" s="2255"/>
      <c r="AC126" s="2255"/>
      <c r="AD126" s="2255"/>
      <c r="AE126" s="2286" t="s">
        <v>1898</v>
      </c>
      <c r="AF126" s="2286"/>
      <c r="AG126" s="2286"/>
      <c r="AH126" s="2286"/>
      <c r="AI126" s="2286"/>
      <c r="AJ126" s="2286"/>
      <c r="AK126" s="2286"/>
      <c r="AL126" s="2286" t="s">
        <v>2263</v>
      </c>
      <c r="AM126" s="2286"/>
      <c r="AN126" s="2286"/>
      <c r="AO126" s="2286"/>
      <c r="AP126" s="2286"/>
      <c r="AQ126" s="2287"/>
      <c r="AR126" s="1189"/>
      <c r="AS126" s="1189"/>
      <c r="AT126" s="1189"/>
      <c r="AU126" s="1189"/>
      <c r="AV126" s="1189"/>
      <c r="AW126" s="1189"/>
      <c r="AX126" s="1189"/>
      <c r="AY126" s="1189"/>
      <c r="AZ126" s="1189"/>
      <c r="BA126" s="1189"/>
      <c r="BB126" s="1189"/>
      <c r="BC126" s="1189"/>
      <c r="BD126" s="1189"/>
      <c r="BE126" s="1195"/>
    </row>
    <row r="127" spans="1:57" ht="15.75" customHeight="1">
      <c r="A127" s="1189"/>
      <c r="B127" s="2254"/>
      <c r="C127" s="2255"/>
      <c r="D127" s="2255"/>
      <c r="E127" s="2255"/>
      <c r="F127" s="2255"/>
      <c r="G127" s="2255"/>
      <c r="H127" s="2255"/>
      <c r="I127" s="2286"/>
      <c r="J127" s="2286"/>
      <c r="K127" s="2286"/>
      <c r="L127" s="2286"/>
      <c r="M127" s="2286"/>
      <c r="N127" s="2286"/>
      <c r="O127" s="2286"/>
      <c r="P127" s="2286"/>
      <c r="Q127" s="2286"/>
      <c r="R127" s="2286"/>
      <c r="S127" s="2286"/>
      <c r="T127" s="2286"/>
      <c r="U127" s="2287"/>
      <c r="V127" s="1189"/>
      <c r="W127" s="1189"/>
      <c r="X127" s="2254"/>
      <c r="Y127" s="2255"/>
      <c r="Z127" s="2255"/>
      <c r="AA127" s="2255"/>
      <c r="AB127" s="2255"/>
      <c r="AC127" s="2255"/>
      <c r="AD127" s="2255"/>
      <c r="AE127" s="2286"/>
      <c r="AF127" s="2286"/>
      <c r="AG127" s="2286"/>
      <c r="AH127" s="2286"/>
      <c r="AI127" s="2286"/>
      <c r="AJ127" s="2286"/>
      <c r="AK127" s="2286"/>
      <c r="AL127" s="2286"/>
      <c r="AM127" s="2286"/>
      <c r="AN127" s="2286"/>
      <c r="AO127" s="2286"/>
      <c r="AP127" s="2286"/>
      <c r="AQ127" s="2287"/>
      <c r="AR127" s="1189"/>
      <c r="AS127" s="1189"/>
      <c r="AT127" s="1189"/>
      <c r="AU127" s="1189"/>
      <c r="AV127" s="1189"/>
      <c r="AW127" s="1189"/>
      <c r="AX127" s="1189"/>
      <c r="AY127" s="1189"/>
      <c r="AZ127" s="1189"/>
      <c r="BA127" s="1189"/>
      <c r="BB127" s="1189"/>
      <c r="BC127" s="1189"/>
      <c r="BD127" s="1189"/>
      <c r="BE127" s="1195"/>
    </row>
    <row r="128" spans="1:57" ht="15.75" customHeight="1" thickBot="1">
      <c r="A128" s="1189"/>
      <c r="B128" s="2282" t="s">
        <v>2251</v>
      </c>
      <c r="C128" s="2283"/>
      <c r="D128" s="2283"/>
      <c r="E128" s="2283"/>
      <c r="F128" s="2283"/>
      <c r="G128" s="2283"/>
      <c r="H128" s="2283"/>
      <c r="I128" s="2284">
        <v>0</v>
      </c>
      <c r="J128" s="2284"/>
      <c r="K128" s="2284"/>
      <c r="L128" s="2284"/>
      <c r="M128" s="2284"/>
      <c r="N128" s="2284"/>
      <c r="O128" s="2284"/>
      <c r="P128" s="2284">
        <v>0</v>
      </c>
      <c r="Q128" s="2284"/>
      <c r="R128" s="2284"/>
      <c r="S128" s="2284"/>
      <c r="T128" s="2284"/>
      <c r="U128" s="2285"/>
      <c r="V128" s="1189"/>
      <c r="W128" s="1189"/>
      <c r="X128" s="2276" t="s">
        <v>2251</v>
      </c>
      <c r="Y128" s="2277"/>
      <c r="Z128" s="2277"/>
      <c r="AA128" s="2277"/>
      <c r="AB128" s="2277"/>
      <c r="AC128" s="2277"/>
      <c r="AD128" s="2277"/>
      <c r="AE128" s="2278">
        <v>0</v>
      </c>
      <c r="AF128" s="2278"/>
      <c r="AG128" s="2278"/>
      <c r="AH128" s="2278"/>
      <c r="AI128" s="2278"/>
      <c r="AJ128" s="2278"/>
      <c r="AK128" s="2278"/>
      <c r="AL128" s="2278">
        <v>0</v>
      </c>
      <c r="AM128" s="2278"/>
      <c r="AN128" s="2278"/>
      <c r="AO128" s="2278"/>
      <c r="AP128" s="2278"/>
      <c r="AQ128" s="2279"/>
      <c r="AR128" s="1189"/>
      <c r="AS128" s="1189"/>
      <c r="AT128" s="1189"/>
      <c r="AU128" s="1189"/>
      <c r="AV128" s="1189"/>
      <c r="AW128" s="1189"/>
      <c r="AX128" s="1189"/>
      <c r="AY128" s="1189"/>
      <c r="AZ128" s="1189"/>
      <c r="BA128" s="1189"/>
      <c r="BB128" s="1189"/>
      <c r="BC128" s="1189"/>
      <c r="BD128" s="1189"/>
      <c r="BE128" s="1195"/>
    </row>
    <row r="129" spans="1:57" ht="15.75" customHeight="1" thickBot="1">
      <c r="A129" s="1189"/>
      <c r="B129" s="2276" t="s">
        <v>2252</v>
      </c>
      <c r="C129" s="2277"/>
      <c r="D129" s="2277"/>
      <c r="E129" s="2277"/>
      <c r="F129" s="2277"/>
      <c r="G129" s="2277"/>
      <c r="H129" s="2277"/>
      <c r="I129" s="2278">
        <v>0</v>
      </c>
      <c r="J129" s="2278"/>
      <c r="K129" s="2278"/>
      <c r="L129" s="2278"/>
      <c r="M129" s="2278"/>
      <c r="N129" s="2278"/>
      <c r="O129" s="2278"/>
      <c r="P129" s="2278">
        <v>0</v>
      </c>
      <c r="Q129" s="2278"/>
      <c r="R129" s="2278"/>
      <c r="S129" s="2278"/>
      <c r="T129" s="2278"/>
      <c r="U129" s="2279"/>
      <c r="V129" s="1189"/>
      <c r="W129" s="1189"/>
      <c r="X129" s="1189"/>
      <c r="Y129" s="1189"/>
      <c r="Z129" s="1189"/>
      <c r="AA129" s="1189"/>
      <c r="AB129" s="1189"/>
      <c r="AC129" s="1189"/>
      <c r="AD129" s="1189"/>
      <c r="AE129" s="1189"/>
      <c r="AF129" s="1189"/>
      <c r="AG129" s="1189"/>
      <c r="AH129" s="1189"/>
      <c r="AI129" s="1189"/>
      <c r="AJ129" s="1189"/>
      <c r="AK129" s="1189"/>
      <c r="AL129" s="1189"/>
      <c r="AM129" s="1189"/>
      <c r="AN129" s="1189"/>
      <c r="AO129" s="1189"/>
      <c r="AP129" s="1189"/>
      <c r="AQ129" s="1189"/>
      <c r="AR129" s="1189"/>
      <c r="AS129" s="1189"/>
      <c r="AT129" s="1189"/>
      <c r="AU129" s="1189"/>
      <c r="AV129" s="1189"/>
      <c r="AW129" s="1189"/>
      <c r="AX129" s="1189"/>
      <c r="AY129" s="1189"/>
      <c r="AZ129" s="1189"/>
      <c r="BA129" s="1189"/>
      <c r="BB129" s="1189"/>
      <c r="BC129" s="1189"/>
      <c r="BD129" s="1189"/>
      <c r="BE129" s="1195"/>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1189"/>
      <c r="Y130" s="1189"/>
      <c r="Z130" s="1189"/>
      <c r="AA130" s="1189"/>
      <c r="AB130" s="1189"/>
      <c r="AC130" s="1189"/>
      <c r="AD130" s="1189"/>
      <c r="AE130" s="1189"/>
      <c r="AF130" s="1189"/>
      <c r="AG130" s="1189"/>
      <c r="AH130" s="1189"/>
      <c r="AI130" s="1189"/>
      <c r="AJ130" s="1189"/>
      <c r="AK130" s="1189"/>
      <c r="AL130" s="1189"/>
      <c r="AM130" s="1189"/>
      <c r="AN130" s="1189"/>
      <c r="AO130" s="1189"/>
      <c r="AP130" s="1189"/>
      <c r="AQ130" s="1189"/>
      <c r="AR130" s="1189"/>
      <c r="AS130" s="1189"/>
      <c r="AT130" s="1189"/>
      <c r="AU130" s="1189"/>
      <c r="AV130" s="1189"/>
      <c r="AW130" s="1189"/>
      <c r="AX130" s="1189"/>
      <c r="AY130" s="1189"/>
      <c r="AZ130" s="1189"/>
      <c r="BA130" s="1189"/>
      <c r="BB130" s="1189"/>
      <c r="BC130" s="1189"/>
      <c r="BD130" s="1189"/>
      <c r="BE130" s="1195"/>
    </row>
    <row r="131" spans="1:57" ht="15.75" customHeight="1">
      <c r="A131" s="1189"/>
      <c r="B131" s="1189"/>
      <c r="C131" s="2280" t="s">
        <v>2253</v>
      </c>
      <c r="D131" s="2246"/>
      <c r="E131" s="2246"/>
      <c r="F131" s="2246"/>
      <c r="G131" s="2246"/>
      <c r="H131" s="2246"/>
      <c r="I131" s="2246"/>
      <c r="J131" s="2246"/>
      <c r="K131" s="2246"/>
      <c r="L131" s="2246"/>
      <c r="M131" s="2246"/>
      <c r="N131" s="2246"/>
      <c r="O131" s="2246"/>
      <c r="P131" s="2246"/>
      <c r="Q131" s="2246"/>
      <c r="R131" s="2246"/>
      <c r="S131" s="2246"/>
      <c r="T131" s="2246"/>
      <c r="U131" s="2246"/>
      <c r="V131" s="2246"/>
      <c r="W131" s="2246"/>
      <c r="X131" s="2246"/>
      <c r="Y131" s="2246"/>
      <c r="Z131" s="2246"/>
      <c r="AA131" s="2246"/>
      <c r="AB131" s="2246"/>
      <c r="AC131" s="2246"/>
      <c r="AD131" s="2246"/>
      <c r="AE131" s="2246"/>
      <c r="AF131" s="2246"/>
      <c r="AG131" s="2247"/>
      <c r="AH131" s="1189"/>
      <c r="AI131" s="1189"/>
      <c r="AJ131" s="1189"/>
      <c r="AK131" s="1189"/>
      <c r="AL131" s="1189"/>
      <c r="AM131" s="1189"/>
      <c r="AN131" s="1189"/>
      <c r="AO131" s="1189"/>
      <c r="AP131" s="1189"/>
      <c r="AQ131" s="1189"/>
      <c r="AR131" s="1189"/>
      <c r="AS131" s="1189"/>
      <c r="AT131" s="1189"/>
      <c r="AU131" s="1189"/>
      <c r="AV131" s="1189"/>
      <c r="AW131" s="1189"/>
      <c r="AX131" s="1189"/>
      <c r="AY131" s="1189"/>
      <c r="AZ131" s="1189"/>
      <c r="BA131" s="1189"/>
      <c r="BB131" s="1189"/>
      <c r="BC131" s="1189"/>
      <c r="BD131" s="1189"/>
      <c r="BE131" s="1195"/>
    </row>
    <row r="132" spans="1:57" ht="15.75" customHeight="1">
      <c r="A132" s="1189"/>
      <c r="B132" s="1189"/>
      <c r="C132" s="2254" t="s">
        <v>1910</v>
      </c>
      <c r="D132" s="2255"/>
      <c r="E132" s="2255"/>
      <c r="F132" s="2255"/>
      <c r="G132" s="2255"/>
      <c r="H132" s="2255"/>
      <c r="I132" s="2255"/>
      <c r="J132" s="2255"/>
      <c r="K132" s="2255"/>
      <c r="L132" s="2255"/>
      <c r="M132" s="2255"/>
      <c r="N132" s="2255"/>
      <c r="O132" s="2255"/>
      <c r="P132" s="2255"/>
      <c r="Q132" s="2255" t="s">
        <v>1911</v>
      </c>
      <c r="R132" s="2255"/>
      <c r="S132" s="2255"/>
      <c r="T132" s="2281" t="s">
        <v>2254</v>
      </c>
      <c r="U132" s="2281"/>
      <c r="V132" s="2281"/>
      <c r="W132" s="2281"/>
      <c r="X132" s="2281"/>
      <c r="Y132" s="2281"/>
      <c r="Z132" s="2281"/>
      <c r="AA132" s="2281"/>
      <c r="AB132" s="2255" t="s">
        <v>1912</v>
      </c>
      <c r="AC132" s="2255"/>
      <c r="AD132" s="2255"/>
      <c r="AE132" s="2255"/>
      <c r="AF132" s="2255"/>
      <c r="AG132" s="2256"/>
      <c r="AH132" s="1189"/>
      <c r="AI132" s="1189"/>
      <c r="AJ132" s="1189"/>
      <c r="AK132" s="1189"/>
      <c r="AL132" s="1189"/>
      <c r="AM132" s="1189"/>
      <c r="AN132" s="1189"/>
      <c r="AO132" s="1189"/>
      <c r="AP132" s="1189"/>
      <c r="AQ132" s="1189"/>
      <c r="AR132" s="1189"/>
      <c r="AS132" s="1189"/>
      <c r="AT132" s="1189"/>
      <c r="AU132" s="1189"/>
      <c r="AV132" s="1189"/>
      <c r="AW132" s="1189"/>
      <c r="AX132" s="1189"/>
      <c r="AY132" s="1189"/>
      <c r="AZ132" s="1189"/>
      <c r="BA132" s="1189"/>
      <c r="BB132" s="1189"/>
      <c r="BC132" s="1189"/>
      <c r="BD132" s="1189"/>
      <c r="BE132" s="1195"/>
    </row>
    <row r="133" spans="1:57" ht="15.75" customHeight="1">
      <c r="A133" s="1189"/>
      <c r="B133" s="1189"/>
      <c r="C133" s="2263" t="s">
        <v>1913</v>
      </c>
      <c r="D133" s="2264"/>
      <c r="E133" s="2264"/>
      <c r="F133" s="2264"/>
      <c r="G133" s="2264"/>
      <c r="H133" s="2264"/>
      <c r="I133" s="2264"/>
      <c r="J133" s="2264"/>
      <c r="K133" s="2264"/>
      <c r="L133" s="2264"/>
      <c r="M133" s="2264"/>
      <c r="N133" s="2264"/>
      <c r="O133" s="2264"/>
      <c r="P133" s="2264"/>
      <c r="Q133" s="2211">
        <v>55</v>
      </c>
      <c r="R133" s="2211"/>
      <c r="S133" s="2211"/>
      <c r="T133" s="2248"/>
      <c r="U133" s="2248"/>
      <c r="V133" s="2248"/>
      <c r="W133" s="2248"/>
      <c r="X133" s="2248"/>
      <c r="Y133" s="2248"/>
      <c r="Z133" s="2248"/>
      <c r="AA133" s="2248"/>
      <c r="AB133" s="1207"/>
      <c r="AC133" s="1207"/>
      <c r="AD133" s="1207"/>
      <c r="AE133" s="1207"/>
      <c r="AF133" s="1207"/>
      <c r="AG133" s="1208"/>
      <c r="AH133" s="1189"/>
      <c r="AI133" s="1189"/>
      <c r="AJ133" s="1189"/>
      <c r="AK133" s="1189"/>
      <c r="AL133" s="1189"/>
      <c r="AM133" s="1189"/>
      <c r="AN133" s="1189"/>
      <c r="AO133" s="1189"/>
      <c r="AP133" s="1189" t="s">
        <v>252</v>
      </c>
      <c r="AQ133" s="1189"/>
      <c r="AR133" s="1189"/>
      <c r="AS133" s="1189"/>
      <c r="AT133" s="1189"/>
      <c r="AU133" s="1189"/>
      <c r="AV133" s="1189"/>
      <c r="AW133" s="1189"/>
      <c r="AX133" s="1189"/>
      <c r="AY133" s="1189"/>
      <c r="AZ133" s="1189"/>
      <c r="BA133" s="1189"/>
      <c r="BB133" s="1189"/>
      <c r="BC133" s="1189"/>
      <c r="BD133" s="1189"/>
      <c r="BE133" s="1195"/>
    </row>
    <row r="134" spans="1:57" ht="15.75" customHeight="1">
      <c r="A134" s="1189"/>
      <c r="B134" s="1189"/>
      <c r="C134" s="2263" t="s">
        <v>1914</v>
      </c>
      <c r="D134" s="2264"/>
      <c r="E134" s="2264"/>
      <c r="F134" s="2264"/>
      <c r="G134" s="2264"/>
      <c r="H134" s="2264"/>
      <c r="I134" s="2264"/>
      <c r="J134" s="2264"/>
      <c r="K134" s="2264"/>
      <c r="L134" s="2264"/>
      <c r="M134" s="2264"/>
      <c r="N134" s="2264"/>
      <c r="O134" s="2264"/>
      <c r="P134" s="2264"/>
      <c r="Q134" s="2211">
        <v>55</v>
      </c>
      <c r="R134" s="2211"/>
      <c r="S134" s="2211"/>
      <c r="T134" s="2266"/>
      <c r="U134" s="2266"/>
      <c r="V134" s="2266"/>
      <c r="W134" s="2266"/>
      <c r="X134" s="2266"/>
      <c r="Y134" s="2266"/>
      <c r="Z134" s="2266"/>
      <c r="AA134" s="2266"/>
      <c r="AB134" s="1207"/>
      <c r="AC134" s="1207"/>
      <c r="AD134" s="1207"/>
      <c r="AE134" s="1207"/>
      <c r="AF134" s="1207"/>
      <c r="AG134" s="1208"/>
      <c r="AH134" s="1189"/>
      <c r="AI134" s="1189"/>
      <c r="AJ134" s="1189"/>
      <c r="AK134" s="1189"/>
      <c r="AL134" s="1189"/>
      <c r="AM134" s="1189"/>
      <c r="AN134" s="1189"/>
      <c r="AO134" s="1189"/>
      <c r="AP134" s="1189"/>
      <c r="AQ134" s="1189"/>
      <c r="AR134" s="1189"/>
      <c r="AS134" s="1189"/>
      <c r="AT134" s="1189"/>
      <c r="AU134" s="1189"/>
      <c r="AV134" s="1189"/>
      <c r="AW134" s="1189"/>
      <c r="AX134" s="1189"/>
      <c r="AY134" s="1189"/>
      <c r="AZ134" s="1189"/>
      <c r="BA134" s="1189"/>
      <c r="BB134" s="1189"/>
      <c r="BC134" s="1189"/>
      <c r="BD134" s="1189"/>
      <c r="BE134" s="1195"/>
    </row>
    <row r="135" spans="1:57" ht="15.75" customHeight="1">
      <c r="A135" s="1189"/>
      <c r="B135" s="1189"/>
      <c r="C135" s="2263" t="s">
        <v>1915</v>
      </c>
      <c r="D135" s="2264"/>
      <c r="E135" s="2264"/>
      <c r="F135" s="2264"/>
      <c r="G135" s="2264"/>
      <c r="H135" s="2264"/>
      <c r="I135" s="2264"/>
      <c r="J135" s="2264"/>
      <c r="K135" s="2264"/>
      <c r="L135" s="2264"/>
      <c r="M135" s="2264"/>
      <c r="N135" s="2264"/>
      <c r="O135" s="2264"/>
      <c r="P135" s="2264"/>
      <c r="Q135" s="2211">
        <v>55</v>
      </c>
      <c r="R135" s="2211"/>
      <c r="S135" s="2211"/>
      <c r="T135" s="2248"/>
      <c r="U135" s="2248"/>
      <c r="V135" s="2248"/>
      <c r="W135" s="2248"/>
      <c r="X135" s="2248"/>
      <c r="Y135" s="2248"/>
      <c r="Z135" s="2248"/>
      <c r="AA135" s="2248"/>
      <c r="AB135" s="1207"/>
      <c r="AC135" s="1207"/>
      <c r="AD135" s="1207"/>
      <c r="AE135" s="1207"/>
      <c r="AF135" s="1207"/>
      <c r="AG135" s="1208"/>
      <c r="AH135" s="1189"/>
      <c r="AI135" s="1189"/>
      <c r="AJ135" s="1189"/>
      <c r="AK135" s="1189"/>
      <c r="AL135" s="1189"/>
      <c r="AM135" s="1189"/>
      <c r="AN135" s="1189"/>
      <c r="AO135" s="1189"/>
      <c r="AP135" s="1189"/>
      <c r="AQ135" s="1189"/>
      <c r="AR135" s="1189"/>
      <c r="AS135" s="1189"/>
      <c r="AT135" s="1189"/>
      <c r="AU135" s="1189"/>
      <c r="AV135" s="1189"/>
      <c r="AW135" s="1189"/>
      <c r="AX135" s="1189"/>
      <c r="AY135" s="1189"/>
      <c r="AZ135" s="1189"/>
      <c r="BA135" s="1189"/>
      <c r="BB135" s="1189"/>
      <c r="BC135" s="1189"/>
      <c r="BD135" s="1189"/>
      <c r="BE135" s="1195"/>
    </row>
    <row r="136" spans="1:57" ht="15.75" customHeight="1">
      <c r="A136" s="1189"/>
      <c r="B136" s="1189"/>
      <c r="C136" s="2263" t="s">
        <v>1883</v>
      </c>
      <c r="D136" s="2264"/>
      <c r="E136" s="2264"/>
      <c r="F136" s="2264"/>
      <c r="G136" s="2264"/>
      <c r="H136" s="2264"/>
      <c r="I136" s="2264"/>
      <c r="J136" s="2264"/>
      <c r="K136" s="2264"/>
      <c r="L136" s="2264"/>
      <c r="M136" s="2264"/>
      <c r="N136" s="2264"/>
      <c r="O136" s="2264"/>
      <c r="P136" s="2264"/>
      <c r="Q136" s="2211">
        <v>55</v>
      </c>
      <c r="R136" s="2211"/>
      <c r="S136" s="2211"/>
      <c r="T136" s="2248"/>
      <c r="U136" s="2248"/>
      <c r="V136" s="2248"/>
      <c r="W136" s="2248"/>
      <c r="X136" s="2248"/>
      <c r="Y136" s="2248"/>
      <c r="Z136" s="2248"/>
      <c r="AA136" s="2248"/>
      <c r="AB136" s="2267">
        <v>0</v>
      </c>
      <c r="AC136" s="2267"/>
      <c r="AD136" s="2267"/>
      <c r="AE136" s="2267"/>
      <c r="AF136" s="2267"/>
      <c r="AG136" s="2268"/>
      <c r="AH136" s="1189"/>
      <c r="AI136" s="1189"/>
      <c r="AJ136" s="1189"/>
      <c r="AK136" s="1189"/>
      <c r="AL136" s="1189"/>
      <c r="AM136" s="1189"/>
      <c r="AN136" s="1189"/>
      <c r="AO136" s="1189"/>
      <c r="AP136" s="1189"/>
      <c r="AQ136" s="1189"/>
      <c r="AR136" s="1189"/>
      <c r="AS136" s="1189"/>
      <c r="AT136" s="1189"/>
      <c r="AU136" s="1189"/>
      <c r="AV136" s="1189"/>
      <c r="AW136" s="1189"/>
      <c r="AX136" s="1189"/>
      <c r="AY136" s="1189"/>
      <c r="AZ136" s="1189"/>
      <c r="BA136" s="1189"/>
      <c r="BB136" s="1189"/>
      <c r="BC136" s="1189"/>
      <c r="BD136" s="1189"/>
      <c r="BE136" s="1195"/>
    </row>
    <row r="137" spans="1:57" ht="15.75" customHeight="1">
      <c r="A137" s="1189"/>
      <c r="B137" s="1189"/>
      <c r="C137" s="2263" t="s">
        <v>171</v>
      </c>
      <c r="D137" s="2264"/>
      <c r="E137" s="2264"/>
      <c r="F137" s="2265" t="s">
        <v>1916</v>
      </c>
      <c r="G137" s="2265"/>
      <c r="H137" s="2265"/>
      <c r="I137" s="2265"/>
      <c r="J137" s="2265"/>
      <c r="K137" s="2265"/>
      <c r="L137" s="2265"/>
      <c r="M137" s="2265"/>
      <c r="N137" s="2265"/>
      <c r="O137" s="2265"/>
      <c r="P137" s="2265"/>
      <c r="Q137" s="2211">
        <v>55</v>
      </c>
      <c r="R137" s="2211"/>
      <c r="S137" s="2211"/>
      <c r="T137" s="2266"/>
      <c r="U137" s="2266"/>
      <c r="V137" s="2266"/>
      <c r="W137" s="2266"/>
      <c r="X137" s="2266"/>
      <c r="Y137" s="2266"/>
      <c r="Z137" s="2266"/>
      <c r="AA137" s="2266"/>
      <c r="AB137" s="2267">
        <v>0</v>
      </c>
      <c r="AC137" s="2267"/>
      <c r="AD137" s="2267"/>
      <c r="AE137" s="2267"/>
      <c r="AF137" s="2267"/>
      <c r="AG137" s="2268"/>
      <c r="AH137" s="1189"/>
      <c r="AI137" s="1189"/>
      <c r="AJ137" s="1189"/>
      <c r="AK137" s="1189"/>
      <c r="AL137" s="1189"/>
      <c r="AM137" s="1189"/>
      <c r="AN137" s="1189"/>
      <c r="AO137" s="1189"/>
      <c r="AP137" s="1189"/>
      <c r="AQ137" s="1189"/>
      <c r="AR137" s="1189"/>
      <c r="AS137" s="1189"/>
      <c r="AT137" s="1189"/>
      <c r="AU137" s="1189"/>
      <c r="AV137" s="1189"/>
      <c r="AW137" s="1189"/>
      <c r="AX137" s="1189"/>
      <c r="AY137" s="1189"/>
      <c r="AZ137" s="1189"/>
      <c r="BA137" s="1189"/>
      <c r="BB137" s="1189"/>
      <c r="BC137" s="1189"/>
      <c r="BD137" s="1189"/>
      <c r="BE137" s="1195"/>
    </row>
    <row r="138" spans="1:57" ht="15.75" customHeight="1">
      <c r="A138" s="1189"/>
      <c r="B138" s="1189"/>
      <c r="C138" s="2263" t="s">
        <v>171</v>
      </c>
      <c r="D138" s="2264"/>
      <c r="E138" s="2264"/>
      <c r="F138" s="2265" t="s">
        <v>1916</v>
      </c>
      <c r="G138" s="2265"/>
      <c r="H138" s="2265"/>
      <c r="I138" s="2265"/>
      <c r="J138" s="2265"/>
      <c r="K138" s="2265"/>
      <c r="L138" s="2265"/>
      <c r="M138" s="2265"/>
      <c r="N138" s="2265"/>
      <c r="O138" s="2265"/>
      <c r="P138" s="2265"/>
      <c r="Q138" s="2211">
        <v>55</v>
      </c>
      <c r="R138" s="2211"/>
      <c r="S138" s="2211"/>
      <c r="T138" s="2266"/>
      <c r="U138" s="2266"/>
      <c r="V138" s="2266"/>
      <c r="W138" s="2266"/>
      <c r="X138" s="2266"/>
      <c r="Y138" s="2266"/>
      <c r="Z138" s="2266"/>
      <c r="AA138" s="2266"/>
      <c r="AB138" s="2267">
        <v>0</v>
      </c>
      <c r="AC138" s="2267"/>
      <c r="AD138" s="2267"/>
      <c r="AE138" s="2267"/>
      <c r="AF138" s="2267"/>
      <c r="AG138" s="2268"/>
      <c r="AH138" s="1189"/>
      <c r="AI138" s="1189"/>
      <c r="AJ138" s="1189"/>
      <c r="AK138" s="1189" t="s">
        <v>252</v>
      </c>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5"/>
    </row>
    <row r="139" spans="1:57" ht="15.75" customHeight="1" thickBot="1">
      <c r="A139" s="1189"/>
      <c r="B139" s="1189"/>
      <c r="C139" s="2269" t="s">
        <v>171</v>
      </c>
      <c r="D139" s="2270"/>
      <c r="E139" s="2270"/>
      <c r="F139" s="2271" t="s">
        <v>1916</v>
      </c>
      <c r="G139" s="2271"/>
      <c r="H139" s="2271"/>
      <c r="I139" s="2271"/>
      <c r="J139" s="2271"/>
      <c r="K139" s="2271"/>
      <c r="L139" s="2271"/>
      <c r="M139" s="2271"/>
      <c r="N139" s="2271"/>
      <c r="O139" s="2271"/>
      <c r="P139" s="2271"/>
      <c r="Q139" s="2272">
        <v>55</v>
      </c>
      <c r="R139" s="2272"/>
      <c r="S139" s="2272"/>
      <c r="T139" s="2273"/>
      <c r="U139" s="2273"/>
      <c r="V139" s="2273"/>
      <c r="W139" s="2273"/>
      <c r="X139" s="2273"/>
      <c r="Y139" s="2273"/>
      <c r="Z139" s="2273"/>
      <c r="AA139" s="2273"/>
      <c r="AB139" s="2274">
        <v>0</v>
      </c>
      <c r="AC139" s="2274"/>
      <c r="AD139" s="2274"/>
      <c r="AE139" s="2274"/>
      <c r="AF139" s="2274"/>
      <c r="AG139" s="2275"/>
      <c r="AH139" s="1189"/>
      <c r="AI139" s="1189"/>
      <c r="AJ139" s="1189"/>
      <c r="AK139" s="1189"/>
      <c r="AL139" s="1189"/>
      <c r="AM139" s="1189"/>
      <c r="AN139" s="1189"/>
      <c r="AO139" s="1189"/>
      <c r="AP139" s="1189"/>
      <c r="AQ139" s="1189"/>
      <c r="AR139" s="1189"/>
      <c r="AS139" s="1189"/>
      <c r="AT139" s="1189"/>
      <c r="AU139" s="1189"/>
      <c r="AV139" s="1189"/>
      <c r="AW139" s="1189"/>
      <c r="AX139" s="1189"/>
      <c r="AY139" s="1189"/>
      <c r="AZ139" s="1189"/>
      <c r="BA139" s="1189"/>
      <c r="BB139" s="1189"/>
      <c r="BC139" s="1189"/>
      <c r="BD139" s="1189"/>
      <c r="BE139" s="1195"/>
    </row>
    <row r="140" spans="1:57" ht="15.75" customHeight="1" thickBot="1">
      <c r="A140" s="1189"/>
      <c r="B140" s="1189"/>
      <c r="C140" s="1189"/>
      <c r="D140" s="1189"/>
      <c r="E140" s="1189"/>
      <c r="F140" s="1189"/>
      <c r="G140" s="1189"/>
      <c r="H140" s="1189"/>
      <c r="I140" s="1189"/>
      <c r="J140" s="1189"/>
      <c r="K140" s="1189"/>
      <c r="L140" s="1189"/>
      <c r="M140" s="1189"/>
      <c r="N140" s="1189"/>
      <c r="O140" s="1189"/>
      <c r="P140" s="1189"/>
      <c r="Q140" s="1189"/>
      <c r="R140" s="1189"/>
      <c r="S140" s="1189"/>
      <c r="T140" s="1189"/>
      <c r="U140" s="1189"/>
      <c r="V140" s="1189"/>
      <c r="W140" s="1189"/>
      <c r="X140" s="1189"/>
      <c r="Y140" s="1189"/>
      <c r="Z140" s="1189"/>
      <c r="AA140" s="1189"/>
      <c r="AB140" s="1189"/>
      <c r="AC140" s="1189"/>
      <c r="AD140" s="1189"/>
      <c r="AE140" s="1189"/>
      <c r="AF140" s="1189"/>
      <c r="AG140" s="1189"/>
      <c r="AH140" s="1189"/>
      <c r="AI140" s="1189"/>
      <c r="AJ140" s="1189"/>
      <c r="AK140" s="1189"/>
      <c r="AL140" s="1189"/>
      <c r="AM140" s="1189"/>
      <c r="AN140" s="1189"/>
      <c r="AO140" s="1189"/>
      <c r="AP140" s="1189"/>
      <c r="AQ140" s="1189"/>
      <c r="AR140" s="1189"/>
      <c r="AS140" s="1189"/>
      <c r="AT140" s="1189"/>
      <c r="AU140" s="1189"/>
      <c r="AV140" s="1189"/>
      <c r="AW140" s="1189"/>
      <c r="AX140" s="1189"/>
      <c r="AY140" s="1189"/>
      <c r="AZ140" s="1189"/>
      <c r="BA140" s="1189"/>
      <c r="BB140" s="1189"/>
      <c r="BC140" s="1189"/>
      <c r="BD140" s="1189"/>
      <c r="BE140" s="1195"/>
    </row>
    <row r="141" spans="1:57" ht="15.75" customHeight="1">
      <c r="A141" s="1189"/>
      <c r="B141" s="1189"/>
      <c r="C141" s="2244" t="s">
        <v>1917</v>
      </c>
      <c r="D141" s="2245"/>
      <c r="E141" s="2245"/>
      <c r="F141" s="2245"/>
      <c r="G141" s="2245"/>
      <c r="H141" s="2245"/>
      <c r="I141" s="2245"/>
      <c r="J141" s="2245"/>
      <c r="K141" s="2245"/>
      <c r="L141" s="2245"/>
      <c r="M141" s="2245"/>
      <c r="N141" s="2250"/>
      <c r="O141" s="1189"/>
      <c r="P141" s="2251" t="s">
        <v>1918</v>
      </c>
      <c r="Q141" s="2252"/>
      <c r="R141" s="2252"/>
      <c r="S141" s="2252"/>
      <c r="T141" s="2252"/>
      <c r="U141" s="2252"/>
      <c r="V141" s="2252"/>
      <c r="W141" s="2252"/>
      <c r="X141" s="2252"/>
      <c r="Y141" s="2252"/>
      <c r="Z141" s="2252"/>
      <c r="AA141" s="2252"/>
      <c r="AB141" s="2252"/>
      <c r="AC141" s="2252"/>
      <c r="AD141" s="2252"/>
      <c r="AE141" s="2252"/>
      <c r="AF141" s="2252"/>
      <c r="AG141" s="2252"/>
      <c r="AH141" s="2252"/>
      <c r="AI141" s="2252"/>
      <c r="AJ141" s="2252"/>
      <c r="AK141" s="2252"/>
      <c r="AL141" s="2252"/>
      <c r="AM141" s="2252"/>
      <c r="AN141" s="2252"/>
      <c r="AO141" s="2253"/>
      <c r="AP141" s="1189"/>
      <c r="AQ141" s="1189"/>
      <c r="AR141" s="1189"/>
      <c r="AS141" s="1189"/>
      <c r="AT141" s="1189"/>
      <c r="AU141" s="1189"/>
      <c r="AV141" s="1189"/>
      <c r="AW141" s="1189"/>
      <c r="AX141" s="1189"/>
      <c r="AY141" s="1189"/>
      <c r="AZ141" s="1189"/>
      <c r="BA141" s="1189"/>
      <c r="BB141" s="1189"/>
      <c r="BC141" s="1189"/>
      <c r="BD141" s="1189"/>
      <c r="BE141" s="1195"/>
    </row>
    <row r="142" spans="1:57" ht="15.75" customHeight="1">
      <c r="A142" s="1189"/>
      <c r="B142" s="1189"/>
      <c r="C142" s="2254" t="s">
        <v>1919</v>
      </c>
      <c r="D142" s="2255"/>
      <c r="E142" s="2255"/>
      <c r="F142" s="2255"/>
      <c r="G142" s="2255"/>
      <c r="H142" s="2255"/>
      <c r="I142" s="2255" t="s">
        <v>1920</v>
      </c>
      <c r="J142" s="2255"/>
      <c r="K142" s="2255"/>
      <c r="L142" s="2255"/>
      <c r="M142" s="2255"/>
      <c r="N142" s="2256"/>
      <c r="O142" s="1189"/>
      <c r="P142" s="2257" t="s">
        <v>2262</v>
      </c>
      <c r="Q142" s="2258"/>
      <c r="R142" s="2258"/>
      <c r="S142" s="2258"/>
      <c r="T142" s="2258"/>
      <c r="U142" s="2258"/>
      <c r="V142" s="2258"/>
      <c r="W142" s="2258"/>
      <c r="X142" s="2258"/>
      <c r="Y142" s="2258"/>
      <c r="Z142" s="2258"/>
      <c r="AA142" s="2258"/>
      <c r="AB142" s="2258"/>
      <c r="AC142" s="2258"/>
      <c r="AD142" s="2258"/>
      <c r="AE142" s="2258"/>
      <c r="AF142" s="2258"/>
      <c r="AG142" s="2258"/>
      <c r="AH142" s="2258"/>
      <c r="AI142" s="2258"/>
      <c r="AJ142" s="2258"/>
      <c r="AK142" s="2258"/>
      <c r="AL142" s="2258"/>
      <c r="AM142" s="2258"/>
      <c r="AN142" s="2258"/>
      <c r="AO142" s="2259"/>
      <c r="AP142" s="1189"/>
      <c r="AQ142" s="1189"/>
      <c r="AR142" s="1189"/>
      <c r="AS142" s="1189"/>
      <c r="AT142" s="1189"/>
      <c r="AU142" s="1189"/>
      <c r="AV142" s="1189"/>
      <c r="AW142" s="1189"/>
      <c r="AX142" s="1189"/>
      <c r="AY142" s="1189"/>
      <c r="AZ142" s="1189"/>
      <c r="BA142" s="1189"/>
      <c r="BB142" s="1189"/>
      <c r="BC142" s="1189"/>
      <c r="BD142" s="1189"/>
      <c r="BE142" s="1195"/>
    </row>
    <row r="143" spans="1:57" ht="15.75" customHeight="1">
      <c r="A143" s="1189"/>
      <c r="B143" s="1189"/>
      <c r="C143" s="2204"/>
      <c r="D143" s="2205"/>
      <c r="E143" s="2205"/>
      <c r="F143" s="2205"/>
      <c r="G143" s="2205"/>
      <c r="H143" s="2205"/>
      <c r="I143" s="2248"/>
      <c r="J143" s="2248"/>
      <c r="K143" s="2248"/>
      <c r="L143" s="2248"/>
      <c r="M143" s="2248"/>
      <c r="N143" s="2249"/>
      <c r="O143" s="1189"/>
      <c r="P143" s="2257"/>
      <c r="Q143" s="2258"/>
      <c r="R143" s="2258"/>
      <c r="S143" s="2258"/>
      <c r="T143" s="2258"/>
      <c r="U143" s="2258"/>
      <c r="V143" s="2258"/>
      <c r="W143" s="2258"/>
      <c r="X143" s="2258"/>
      <c r="Y143" s="2258"/>
      <c r="Z143" s="2258"/>
      <c r="AA143" s="2258"/>
      <c r="AB143" s="2258"/>
      <c r="AC143" s="2258"/>
      <c r="AD143" s="2258"/>
      <c r="AE143" s="2258"/>
      <c r="AF143" s="2258"/>
      <c r="AG143" s="2258"/>
      <c r="AH143" s="2258"/>
      <c r="AI143" s="2258"/>
      <c r="AJ143" s="2258"/>
      <c r="AK143" s="2258"/>
      <c r="AL143" s="2258"/>
      <c r="AM143" s="2258"/>
      <c r="AN143" s="2258"/>
      <c r="AO143" s="2259"/>
      <c r="AP143" s="1189"/>
      <c r="AQ143" s="1189"/>
      <c r="AR143" s="1189"/>
      <c r="AS143" s="1189"/>
      <c r="AT143" s="1189"/>
      <c r="AU143" s="1189"/>
      <c r="AV143" s="1189"/>
      <c r="AW143" s="1189"/>
      <c r="AX143" s="1189"/>
      <c r="AY143" s="1189"/>
      <c r="AZ143" s="1189"/>
      <c r="BA143" s="1189"/>
      <c r="BB143" s="1189"/>
      <c r="BC143" s="1189"/>
      <c r="BD143" s="1189"/>
      <c r="BE143" s="1195"/>
    </row>
    <row r="144" spans="1:57" ht="15.75" customHeight="1">
      <c r="A144" s="1189"/>
      <c r="B144" s="1189"/>
      <c r="C144" s="2204"/>
      <c r="D144" s="2205"/>
      <c r="E144" s="2205"/>
      <c r="F144" s="2205"/>
      <c r="G144" s="2205"/>
      <c r="H144" s="2205"/>
      <c r="I144" s="2248"/>
      <c r="J144" s="2248"/>
      <c r="K144" s="2248"/>
      <c r="L144" s="2248"/>
      <c r="M144" s="2248"/>
      <c r="N144" s="2249"/>
      <c r="O144" s="1189"/>
      <c r="P144" s="2257"/>
      <c r="Q144" s="2258"/>
      <c r="R144" s="2258"/>
      <c r="S144" s="2258"/>
      <c r="T144" s="2258"/>
      <c r="U144" s="2258"/>
      <c r="V144" s="2258"/>
      <c r="W144" s="2258"/>
      <c r="X144" s="2258"/>
      <c r="Y144" s="2258"/>
      <c r="Z144" s="2258"/>
      <c r="AA144" s="2258"/>
      <c r="AB144" s="2258"/>
      <c r="AC144" s="2258"/>
      <c r="AD144" s="2258"/>
      <c r="AE144" s="2258"/>
      <c r="AF144" s="2258"/>
      <c r="AG144" s="2258"/>
      <c r="AH144" s="2258"/>
      <c r="AI144" s="2258"/>
      <c r="AJ144" s="2258"/>
      <c r="AK144" s="2258"/>
      <c r="AL144" s="2258"/>
      <c r="AM144" s="2258"/>
      <c r="AN144" s="2258"/>
      <c r="AO144" s="2259"/>
      <c r="AP144" s="1189"/>
      <c r="AQ144" s="1189"/>
      <c r="AR144" s="1189"/>
      <c r="AS144" s="1189"/>
      <c r="AT144" s="1189"/>
      <c r="AU144" s="1189"/>
      <c r="AV144" s="1189"/>
      <c r="AW144" s="1189"/>
      <c r="AX144" s="1189"/>
      <c r="AY144" s="1189"/>
      <c r="AZ144" s="1189"/>
      <c r="BA144" s="1189"/>
      <c r="BB144" s="1189"/>
      <c r="BC144" s="1189"/>
      <c r="BD144" s="1189"/>
      <c r="BE144" s="1195"/>
    </row>
    <row r="145" spans="1:57" ht="15.75" customHeight="1">
      <c r="A145" s="1189"/>
      <c r="B145" s="1189"/>
      <c r="C145" s="2204"/>
      <c r="D145" s="2205"/>
      <c r="E145" s="2205"/>
      <c r="F145" s="2205"/>
      <c r="G145" s="2205"/>
      <c r="H145" s="2205"/>
      <c r="I145" s="2248"/>
      <c r="J145" s="2248"/>
      <c r="K145" s="2248"/>
      <c r="L145" s="2248"/>
      <c r="M145" s="2248"/>
      <c r="N145" s="2249"/>
      <c r="O145" s="1189"/>
      <c r="P145" s="2257"/>
      <c r="Q145" s="2258"/>
      <c r="R145" s="2258"/>
      <c r="S145" s="2258"/>
      <c r="T145" s="2258"/>
      <c r="U145" s="2258"/>
      <c r="V145" s="2258"/>
      <c r="W145" s="2258"/>
      <c r="X145" s="2258"/>
      <c r="Y145" s="2258"/>
      <c r="Z145" s="2258"/>
      <c r="AA145" s="2258"/>
      <c r="AB145" s="2258"/>
      <c r="AC145" s="2258"/>
      <c r="AD145" s="2258"/>
      <c r="AE145" s="2258"/>
      <c r="AF145" s="2258"/>
      <c r="AG145" s="2258"/>
      <c r="AH145" s="2258"/>
      <c r="AI145" s="2258"/>
      <c r="AJ145" s="2258"/>
      <c r="AK145" s="2258"/>
      <c r="AL145" s="2258"/>
      <c r="AM145" s="2258"/>
      <c r="AN145" s="2258"/>
      <c r="AO145" s="2259"/>
      <c r="AP145" s="1189"/>
      <c r="AQ145" s="1189"/>
      <c r="AR145" s="1189"/>
      <c r="AS145" s="1189"/>
      <c r="AT145" s="1189"/>
      <c r="AU145" s="1189"/>
      <c r="AV145" s="1189"/>
      <c r="AW145" s="1189"/>
      <c r="AX145" s="1189"/>
      <c r="AY145" s="1189"/>
      <c r="AZ145" s="1189"/>
      <c r="BA145" s="1189"/>
      <c r="BB145" s="1189"/>
      <c r="BC145" s="1189"/>
      <c r="BD145" s="1189"/>
      <c r="BE145" s="1195"/>
    </row>
    <row r="146" spans="1:57" ht="15.75" customHeight="1">
      <c r="A146" s="1189"/>
      <c r="B146" s="1189"/>
      <c r="C146" s="2204"/>
      <c r="D146" s="2205"/>
      <c r="E146" s="2205"/>
      <c r="F146" s="2205"/>
      <c r="G146" s="2205"/>
      <c r="H146" s="2205"/>
      <c r="I146" s="2248"/>
      <c r="J146" s="2248"/>
      <c r="K146" s="2248"/>
      <c r="L146" s="2248"/>
      <c r="M146" s="2248"/>
      <c r="N146" s="2249"/>
      <c r="O146" s="1189"/>
      <c r="P146" s="2257"/>
      <c r="Q146" s="2258"/>
      <c r="R146" s="2258"/>
      <c r="S146" s="2258"/>
      <c r="T146" s="2258"/>
      <c r="U146" s="2258"/>
      <c r="V146" s="2258"/>
      <c r="W146" s="2258"/>
      <c r="X146" s="2258"/>
      <c r="Y146" s="2258"/>
      <c r="Z146" s="2258"/>
      <c r="AA146" s="2258"/>
      <c r="AB146" s="2258"/>
      <c r="AC146" s="2258"/>
      <c r="AD146" s="2258"/>
      <c r="AE146" s="2258"/>
      <c r="AF146" s="2258"/>
      <c r="AG146" s="2258"/>
      <c r="AH146" s="2258"/>
      <c r="AI146" s="2258"/>
      <c r="AJ146" s="2258"/>
      <c r="AK146" s="2258"/>
      <c r="AL146" s="2258"/>
      <c r="AM146" s="2258"/>
      <c r="AN146" s="2258"/>
      <c r="AO146" s="2259"/>
      <c r="AP146" s="1189"/>
      <c r="AQ146" s="1189"/>
      <c r="AR146" s="1189"/>
      <c r="AS146" s="1189"/>
      <c r="AT146" s="1189"/>
      <c r="AU146" s="1189"/>
      <c r="AV146" s="1189"/>
      <c r="AW146" s="1189"/>
      <c r="AX146" s="1189"/>
      <c r="AY146" s="1189"/>
      <c r="AZ146" s="1189"/>
      <c r="BA146" s="1189"/>
      <c r="BB146" s="1189"/>
      <c r="BC146" s="1189"/>
      <c r="BD146" s="1189"/>
      <c r="BE146" s="1195"/>
    </row>
    <row r="147" spans="1:57" ht="15.75" customHeight="1">
      <c r="A147" s="1189"/>
      <c r="B147" s="1189"/>
      <c r="C147" s="2204"/>
      <c r="D147" s="2205"/>
      <c r="E147" s="2205"/>
      <c r="F147" s="2205"/>
      <c r="G147" s="2205"/>
      <c r="H147" s="2205"/>
      <c r="I147" s="2248"/>
      <c r="J147" s="2248"/>
      <c r="K147" s="2248"/>
      <c r="L147" s="2248"/>
      <c r="M147" s="2248"/>
      <c r="N147" s="2249"/>
      <c r="O147" s="1189"/>
      <c r="P147" s="2257"/>
      <c r="Q147" s="2258"/>
      <c r="R147" s="2258"/>
      <c r="S147" s="2258"/>
      <c r="T147" s="2258"/>
      <c r="U147" s="2258"/>
      <c r="V147" s="2258"/>
      <c r="W147" s="2258"/>
      <c r="X147" s="2258"/>
      <c r="Y147" s="2258"/>
      <c r="Z147" s="2258"/>
      <c r="AA147" s="2258"/>
      <c r="AB147" s="2258"/>
      <c r="AC147" s="2258"/>
      <c r="AD147" s="2258"/>
      <c r="AE147" s="2258"/>
      <c r="AF147" s="2258"/>
      <c r="AG147" s="2258"/>
      <c r="AH147" s="2258"/>
      <c r="AI147" s="2258"/>
      <c r="AJ147" s="2258"/>
      <c r="AK147" s="2258"/>
      <c r="AL147" s="2258"/>
      <c r="AM147" s="2258"/>
      <c r="AN147" s="2258"/>
      <c r="AO147" s="2259"/>
      <c r="AP147" s="1189"/>
      <c r="AQ147" s="1189"/>
      <c r="AR147" s="1189"/>
      <c r="AS147" s="1189"/>
      <c r="AT147" s="1189"/>
      <c r="AU147" s="1189"/>
      <c r="AV147" s="1189"/>
      <c r="AW147" s="1189"/>
      <c r="AX147" s="1189"/>
      <c r="AY147" s="1189"/>
      <c r="AZ147" s="1189"/>
      <c r="BA147" s="1189"/>
      <c r="BB147" s="1189"/>
      <c r="BC147" s="1189"/>
      <c r="BD147" s="1189"/>
      <c r="BE147" s="1195"/>
    </row>
    <row r="148" spans="1:57" ht="15.75" customHeight="1">
      <c r="A148" s="1189"/>
      <c r="B148" s="1189"/>
      <c r="C148" s="2204"/>
      <c r="D148" s="2205"/>
      <c r="E148" s="2205"/>
      <c r="F148" s="2205"/>
      <c r="G148" s="2205"/>
      <c r="H148" s="2205"/>
      <c r="I148" s="2248"/>
      <c r="J148" s="2248"/>
      <c r="K148" s="2248"/>
      <c r="L148" s="2248"/>
      <c r="M148" s="2248"/>
      <c r="N148" s="2249"/>
      <c r="O148" s="1189"/>
      <c r="P148" s="2257"/>
      <c r="Q148" s="2258"/>
      <c r="R148" s="2258"/>
      <c r="S148" s="2258"/>
      <c r="T148" s="2258"/>
      <c r="U148" s="2258"/>
      <c r="V148" s="2258"/>
      <c r="W148" s="2258"/>
      <c r="X148" s="2258"/>
      <c r="Y148" s="2258"/>
      <c r="Z148" s="2258"/>
      <c r="AA148" s="2258"/>
      <c r="AB148" s="2258"/>
      <c r="AC148" s="2258"/>
      <c r="AD148" s="2258"/>
      <c r="AE148" s="2258"/>
      <c r="AF148" s="2258"/>
      <c r="AG148" s="2258"/>
      <c r="AH148" s="2258"/>
      <c r="AI148" s="2258"/>
      <c r="AJ148" s="2258"/>
      <c r="AK148" s="2258"/>
      <c r="AL148" s="2258"/>
      <c r="AM148" s="2258"/>
      <c r="AN148" s="2258"/>
      <c r="AO148" s="2259"/>
      <c r="AP148" s="1189"/>
      <c r="AQ148" s="1189"/>
      <c r="AR148" s="1189"/>
      <c r="AS148" s="1189"/>
      <c r="AT148" s="1189"/>
      <c r="AU148" s="1189"/>
      <c r="AV148" s="1189"/>
      <c r="AW148" s="1189"/>
      <c r="AX148" s="1189"/>
      <c r="AY148" s="1189"/>
      <c r="AZ148" s="1189"/>
      <c r="BA148" s="1189"/>
      <c r="BB148" s="1189"/>
      <c r="BC148" s="1189"/>
      <c r="BD148" s="1189"/>
      <c r="BE148" s="1195"/>
    </row>
    <row r="149" spans="1:57" ht="15.75" customHeight="1" thickBot="1">
      <c r="A149" s="1189"/>
      <c r="B149" s="1189"/>
      <c r="C149" s="2239"/>
      <c r="D149" s="2240"/>
      <c r="E149" s="2240"/>
      <c r="F149" s="2240"/>
      <c r="G149" s="2240"/>
      <c r="H149" s="2240"/>
      <c r="I149" s="2241"/>
      <c r="J149" s="2241"/>
      <c r="K149" s="2241"/>
      <c r="L149" s="2241"/>
      <c r="M149" s="2241"/>
      <c r="N149" s="2242"/>
      <c r="O149" s="1189"/>
      <c r="P149" s="2260"/>
      <c r="Q149" s="2261"/>
      <c r="R149" s="2261"/>
      <c r="S149" s="2261"/>
      <c r="T149" s="2261"/>
      <c r="U149" s="2261"/>
      <c r="V149" s="2261"/>
      <c r="W149" s="2261"/>
      <c r="X149" s="2261"/>
      <c r="Y149" s="2261"/>
      <c r="Z149" s="2261"/>
      <c r="AA149" s="2261"/>
      <c r="AB149" s="2261"/>
      <c r="AC149" s="2261"/>
      <c r="AD149" s="2261"/>
      <c r="AE149" s="2261"/>
      <c r="AF149" s="2261"/>
      <c r="AG149" s="2261"/>
      <c r="AH149" s="2261"/>
      <c r="AI149" s="2261"/>
      <c r="AJ149" s="2261"/>
      <c r="AK149" s="2261"/>
      <c r="AL149" s="2261"/>
      <c r="AM149" s="2261"/>
      <c r="AN149" s="2261"/>
      <c r="AO149" s="2262"/>
      <c r="AP149" s="1189"/>
      <c r="AQ149" s="1189"/>
      <c r="AR149" s="1189"/>
      <c r="AS149" s="1189"/>
      <c r="AT149" s="1189"/>
      <c r="AU149" s="1189"/>
      <c r="AV149" s="1189"/>
      <c r="AW149" s="1189"/>
      <c r="AX149" s="1189"/>
      <c r="AY149" s="1189"/>
      <c r="AZ149" s="1189"/>
      <c r="BA149" s="1189"/>
      <c r="BB149" s="1189"/>
      <c r="BC149" s="1189"/>
      <c r="BD149" s="1189"/>
      <c r="BE149" s="1195"/>
    </row>
    <row r="150" spans="1:57" ht="15.75" customHeight="1">
      <c r="A150" s="1189"/>
      <c r="B150" s="1189"/>
      <c r="C150" s="1189"/>
      <c r="D150" s="1189"/>
      <c r="E150" s="1189"/>
      <c r="F150" s="1189"/>
      <c r="G150" s="1189"/>
      <c r="H150" s="1189"/>
      <c r="I150" s="1189"/>
      <c r="J150" s="1189"/>
      <c r="K150" s="1189"/>
      <c r="L150" s="1189"/>
      <c r="M150" s="1189"/>
      <c r="N150" s="1189"/>
      <c r="O150" s="1189"/>
      <c r="P150" s="1189"/>
      <c r="Q150" s="1189"/>
      <c r="R150" s="1189"/>
      <c r="S150" s="1189"/>
      <c r="T150" s="1189"/>
      <c r="U150" s="1189"/>
      <c r="V150" s="1189"/>
      <c r="W150" s="1189"/>
      <c r="X150" s="1189"/>
      <c r="Y150" s="1189"/>
      <c r="Z150" s="1189"/>
      <c r="AA150" s="1189"/>
      <c r="AB150" s="1189"/>
      <c r="AC150" s="1189"/>
      <c r="AD150" s="1189"/>
      <c r="AE150" s="1189"/>
      <c r="AF150" s="1189"/>
      <c r="AG150" s="1189"/>
      <c r="AH150" s="1189"/>
      <c r="AI150" s="1189"/>
      <c r="AJ150" s="1189"/>
      <c r="AK150" s="1189"/>
      <c r="AL150" s="1189"/>
      <c r="AM150" s="1189"/>
      <c r="AN150" s="1189"/>
      <c r="AO150" s="1189"/>
      <c r="AP150" s="1189"/>
      <c r="AQ150" s="1189"/>
      <c r="AR150" s="1189"/>
      <c r="AS150" s="1189"/>
      <c r="AT150" s="1189"/>
      <c r="AU150" s="1189"/>
      <c r="AV150" s="1189"/>
      <c r="AW150" s="1189"/>
      <c r="AX150" s="1189"/>
      <c r="AY150" s="1189"/>
      <c r="AZ150" s="1189"/>
      <c r="BA150" s="1189"/>
      <c r="BB150" s="1189"/>
      <c r="BC150" s="1189"/>
      <c r="BD150" s="1189"/>
      <c r="BE150" s="1195"/>
    </row>
    <row r="151" spans="1:57" ht="15.75" customHeight="1" thickBot="1">
      <c r="A151" s="1189"/>
      <c r="B151" s="1189"/>
      <c r="C151" s="2243" t="s">
        <v>2599</v>
      </c>
      <c r="D151" s="2243"/>
      <c r="E151" s="2243"/>
      <c r="F151" s="2243"/>
      <c r="G151" s="2243"/>
      <c r="H151" s="2243"/>
      <c r="I151" s="2243"/>
      <c r="J151" s="2243"/>
      <c r="K151" s="2243"/>
      <c r="L151" s="2243"/>
      <c r="M151" s="2243"/>
      <c r="N151" s="2243"/>
      <c r="O151" s="2243"/>
      <c r="P151" s="2243"/>
      <c r="Q151" s="2243"/>
      <c r="R151" s="2243"/>
      <c r="S151" s="2243"/>
      <c r="T151" s="2243"/>
      <c r="U151" s="2243"/>
      <c r="V151" s="2243"/>
      <c r="W151" s="2243"/>
      <c r="X151" s="2243"/>
      <c r="Y151" s="2243"/>
      <c r="Z151" s="2243"/>
      <c r="AA151" s="2243"/>
      <c r="AB151" s="2243"/>
      <c r="AC151" s="2243"/>
      <c r="AD151" s="2243"/>
      <c r="AE151" s="2243"/>
      <c r="AF151" s="1189"/>
      <c r="AG151" s="1189"/>
      <c r="AH151" s="1189"/>
      <c r="AI151" s="1189" t="s">
        <v>252</v>
      </c>
      <c r="AJ151" s="1189"/>
      <c r="AK151" s="1189"/>
      <c r="AL151" s="1189"/>
      <c r="AM151" s="1189"/>
      <c r="AN151" s="1189"/>
      <c r="AO151" s="1189"/>
      <c r="AP151" s="1189"/>
      <c r="AQ151" s="1189"/>
      <c r="AR151" s="1189"/>
      <c r="AS151" s="1189"/>
      <c r="AT151" s="1189"/>
      <c r="AU151" s="1189"/>
      <c r="AV151" s="1189"/>
      <c r="AW151" s="1189"/>
      <c r="AX151" s="1189"/>
      <c r="AY151" s="1189"/>
      <c r="AZ151" s="1189"/>
      <c r="BA151" s="1189"/>
      <c r="BB151" s="1189"/>
      <c r="BC151" s="1189"/>
      <c r="BD151" s="1189"/>
      <c r="BE151" s="1195"/>
    </row>
    <row r="152" spans="1:57" ht="15.75" customHeight="1" thickBot="1">
      <c r="A152" s="1189"/>
      <c r="B152" s="1189"/>
      <c r="C152" s="2243"/>
      <c r="D152" s="2243"/>
      <c r="E152" s="2243"/>
      <c r="F152" s="2243"/>
      <c r="G152" s="2243"/>
      <c r="H152" s="2243"/>
      <c r="I152" s="2243"/>
      <c r="J152" s="2243"/>
      <c r="K152" s="2243"/>
      <c r="L152" s="2243"/>
      <c r="M152" s="2243"/>
      <c r="N152" s="2243"/>
      <c r="O152" s="2243"/>
      <c r="P152" s="2243"/>
      <c r="Q152" s="2243"/>
      <c r="R152" s="2243"/>
      <c r="S152" s="2243"/>
      <c r="T152" s="2243"/>
      <c r="U152" s="2243"/>
      <c r="V152" s="2243"/>
      <c r="W152" s="2243"/>
      <c r="X152" s="2243"/>
      <c r="Y152" s="2243"/>
      <c r="Z152" s="2243"/>
      <c r="AA152" s="2243"/>
      <c r="AB152" s="2243"/>
      <c r="AC152" s="2243"/>
      <c r="AD152" s="2243"/>
      <c r="AE152" s="2243"/>
      <c r="AF152" s="1189"/>
      <c r="AG152" s="1189"/>
      <c r="AH152" s="1209" t="s">
        <v>1922</v>
      </c>
      <c r="AI152" s="1210"/>
      <c r="AJ152" s="1210"/>
      <c r="AK152" s="1210"/>
      <c r="AL152" s="1210"/>
      <c r="AM152" s="1210"/>
      <c r="AN152" s="1210"/>
      <c r="AO152" s="1210"/>
      <c r="AP152" s="1210"/>
      <c r="AQ152" s="1210"/>
      <c r="AR152" s="1211"/>
      <c r="AS152" s="1212">
        <v>0</v>
      </c>
      <c r="AT152" s="1213"/>
      <c r="AU152" s="1213"/>
      <c r="AV152" s="1213"/>
      <c r="AW152" s="1214"/>
      <c r="AX152" s="1189"/>
      <c r="AY152" s="1189"/>
      <c r="AZ152" s="1189"/>
      <c r="BA152" s="1189"/>
      <c r="BB152" s="1189"/>
      <c r="BC152" s="1189"/>
      <c r="BD152" s="1189"/>
      <c r="BE152" s="1195"/>
    </row>
    <row r="153" spans="1:57" ht="15.75" customHeight="1">
      <c r="A153" s="1189"/>
      <c r="B153" s="1189"/>
      <c r="C153" s="2244" t="s">
        <v>1910</v>
      </c>
      <c r="D153" s="2245"/>
      <c r="E153" s="2245"/>
      <c r="F153" s="2245"/>
      <c r="G153" s="2245"/>
      <c r="H153" s="2245"/>
      <c r="I153" s="2245"/>
      <c r="J153" s="2245"/>
      <c r="K153" s="2245"/>
      <c r="L153" s="2245"/>
      <c r="M153" s="2245"/>
      <c r="N153" s="2245" t="s">
        <v>1921</v>
      </c>
      <c r="O153" s="2245"/>
      <c r="P153" s="2245"/>
      <c r="Q153" s="2245"/>
      <c r="R153" s="2245"/>
      <c r="S153" s="2245"/>
      <c r="T153" s="2245"/>
      <c r="U153" s="2246" t="s">
        <v>1910</v>
      </c>
      <c r="V153" s="2246"/>
      <c r="W153" s="2246"/>
      <c r="X153" s="2246"/>
      <c r="Y153" s="2246"/>
      <c r="Z153" s="2246"/>
      <c r="AA153" s="2246"/>
      <c r="AB153" s="2246"/>
      <c r="AC153" s="2246"/>
      <c r="AD153" s="2246"/>
      <c r="AE153" s="2247"/>
      <c r="AF153" s="1189"/>
      <c r="AG153" s="1189"/>
      <c r="AH153" s="1215" t="s">
        <v>1923</v>
      </c>
      <c r="AI153" s="1216"/>
      <c r="AJ153" s="1216"/>
      <c r="AK153" s="1216"/>
      <c r="AL153" s="1216"/>
      <c r="AM153" s="1216"/>
      <c r="AN153" s="1216"/>
      <c r="AO153" s="1216"/>
      <c r="AP153" s="1216"/>
      <c r="AQ153" s="1216"/>
      <c r="AR153" s="1217"/>
      <c r="AS153" s="1218">
        <v>0</v>
      </c>
      <c r="AT153" s="1219"/>
      <c r="AU153" s="1219"/>
      <c r="AV153" s="1219"/>
      <c r="AW153" s="1220"/>
      <c r="AX153" s="1189"/>
      <c r="AY153" s="1189"/>
      <c r="AZ153" s="1189"/>
      <c r="BA153" s="1189"/>
      <c r="BB153" s="1189"/>
      <c r="BC153" s="1189"/>
      <c r="BD153" s="1189"/>
      <c r="BE153" s="1195"/>
    </row>
    <row r="154" spans="1:57" ht="15.75" customHeight="1">
      <c r="A154" s="1189"/>
      <c r="B154" s="1189"/>
      <c r="C154" s="2216" t="s">
        <v>2600</v>
      </c>
      <c r="D154" s="2217"/>
      <c r="E154" s="2217"/>
      <c r="F154" s="2217"/>
      <c r="G154" s="2217"/>
      <c r="H154" s="2217"/>
      <c r="I154" s="2217"/>
      <c r="J154" s="2217"/>
      <c r="K154" s="2217"/>
      <c r="L154" s="2217"/>
      <c r="M154" s="2217"/>
      <c r="N154" s="2233">
        <f>'Sources and Uses Budget'!B105</f>
        <v>140549066</v>
      </c>
      <c r="O154" s="2233"/>
      <c r="P154" s="2233"/>
      <c r="Q154" s="2233"/>
      <c r="R154" s="2233"/>
      <c r="S154" s="2233"/>
      <c r="T154" s="2233"/>
      <c r="U154" s="2234"/>
      <c r="V154" s="2234"/>
      <c r="W154" s="2234"/>
      <c r="X154" s="2234"/>
      <c r="Y154" s="2234"/>
      <c r="Z154" s="2234"/>
      <c r="AA154" s="2234"/>
      <c r="AB154" s="2234"/>
      <c r="AC154" s="2234"/>
      <c r="AD154" s="2234"/>
      <c r="AE154" s="2235"/>
      <c r="AF154" s="1189"/>
      <c r="AG154" s="1189"/>
      <c r="AH154" s="1215" t="s">
        <v>2601</v>
      </c>
      <c r="AI154" s="1216"/>
      <c r="AJ154" s="1216"/>
      <c r="AK154" s="1216"/>
      <c r="AL154" s="1216"/>
      <c r="AM154" s="1216"/>
      <c r="AN154" s="1216"/>
      <c r="AO154" s="1216"/>
      <c r="AP154" s="1216"/>
      <c r="AQ154" s="1216"/>
      <c r="AR154" s="1217"/>
      <c r="AS154" s="1218">
        <v>0</v>
      </c>
      <c r="AT154" s="1219"/>
      <c r="AU154" s="1219"/>
      <c r="AV154" s="1219"/>
      <c r="AW154" s="1220"/>
      <c r="AX154" s="1189"/>
      <c r="AY154" s="1189"/>
      <c r="AZ154" s="1189"/>
      <c r="BA154" s="1189"/>
      <c r="BB154" s="1189"/>
      <c r="BC154" s="1189"/>
      <c r="BD154" s="1189"/>
      <c r="BE154" s="1195"/>
    </row>
    <row r="155" spans="1:57" ht="15.75" customHeight="1">
      <c r="A155" s="1189"/>
      <c r="B155" s="1189"/>
      <c r="C155" s="2216" t="s">
        <v>2602</v>
      </c>
      <c r="D155" s="2217"/>
      <c r="E155" s="2217"/>
      <c r="F155" s="2217"/>
      <c r="G155" s="2217"/>
      <c r="H155" s="2217"/>
      <c r="I155" s="2217"/>
      <c r="J155" s="2217"/>
      <c r="K155" s="2217"/>
      <c r="L155" s="2217"/>
      <c r="M155" s="2217"/>
      <c r="N155" s="2233">
        <f>N154/J29</f>
        <v>1033449.0147058824</v>
      </c>
      <c r="O155" s="2233"/>
      <c r="P155" s="2233"/>
      <c r="Q155" s="2233"/>
      <c r="R155" s="2233"/>
      <c r="S155" s="2233"/>
      <c r="T155" s="2233"/>
      <c r="U155" s="1221"/>
      <c r="V155" s="1221"/>
      <c r="W155" s="1221"/>
      <c r="X155" s="1221"/>
      <c r="Y155" s="1221"/>
      <c r="Z155" s="1221"/>
      <c r="AA155" s="1221"/>
      <c r="AB155" s="1221"/>
      <c r="AC155" s="1221"/>
      <c r="AD155" s="1221"/>
      <c r="AE155" s="1222"/>
      <c r="AF155" s="1189"/>
      <c r="AG155" s="1189"/>
      <c r="AH155" s="1223"/>
      <c r="AI155" s="1224"/>
      <c r="AJ155" s="1224"/>
      <c r="AK155" s="1224"/>
      <c r="AL155" s="1224"/>
      <c r="AM155" s="1224"/>
      <c r="AN155" s="1224"/>
      <c r="AO155" s="1224"/>
      <c r="AP155" s="1224"/>
      <c r="AQ155" s="1224"/>
      <c r="AR155" s="1225"/>
      <c r="AS155" s="1226"/>
      <c r="AT155" s="1227"/>
      <c r="AU155" s="1227"/>
      <c r="AV155" s="1227"/>
      <c r="AW155" s="1228"/>
      <c r="AX155" s="1189"/>
      <c r="AY155" s="1189"/>
      <c r="AZ155" s="1189"/>
      <c r="BA155" s="1189"/>
      <c r="BB155" s="1189"/>
      <c r="BC155" s="1189"/>
      <c r="BD155" s="1189"/>
      <c r="BE155" s="1195"/>
    </row>
    <row r="156" spans="1:57" ht="15.75" customHeight="1" thickBot="1">
      <c r="A156" s="1189"/>
      <c r="B156" s="1189"/>
      <c r="C156" s="2236" t="s">
        <v>2603</v>
      </c>
      <c r="D156" s="2237"/>
      <c r="E156" s="2237"/>
      <c r="F156" s="2237"/>
      <c r="G156" s="2237"/>
      <c r="H156" s="2237"/>
      <c r="I156" s="2237"/>
      <c r="J156" s="2237"/>
      <c r="K156" s="2237"/>
      <c r="L156" s="2237"/>
      <c r="M156" s="2237"/>
      <c r="N156" s="2238">
        <v>0</v>
      </c>
      <c r="O156" s="2238"/>
      <c r="P156" s="2238"/>
      <c r="Q156" s="2238"/>
      <c r="R156" s="2238"/>
      <c r="S156" s="2238"/>
      <c r="T156" s="2238"/>
      <c r="U156" s="2208"/>
      <c r="V156" s="2208"/>
      <c r="W156" s="2208"/>
      <c r="X156" s="2208"/>
      <c r="Y156" s="2208"/>
      <c r="Z156" s="2208"/>
      <c r="AA156" s="2208"/>
      <c r="AB156" s="2208"/>
      <c r="AC156" s="2208"/>
      <c r="AD156" s="2208"/>
      <c r="AE156" s="2209"/>
      <c r="AF156" s="1189"/>
      <c r="AG156" s="1189"/>
      <c r="AH156" s="2218" t="s">
        <v>2270</v>
      </c>
      <c r="AI156" s="2219"/>
      <c r="AJ156" s="2219"/>
      <c r="AK156" s="2219"/>
      <c r="AL156" s="2219"/>
      <c r="AM156" s="2219"/>
      <c r="AN156" s="2219"/>
      <c r="AO156" s="2219"/>
      <c r="AP156" s="2219"/>
      <c r="AQ156" s="2219"/>
      <c r="AR156" s="2219"/>
      <c r="AS156" s="2220">
        <f>SUM(AS152:AW154)</f>
        <v>0</v>
      </c>
      <c r="AT156" s="2220"/>
      <c r="AU156" s="2220"/>
      <c r="AV156" s="2220"/>
      <c r="AW156" s="2221"/>
      <c r="AX156" s="1189"/>
      <c r="AY156" s="1189"/>
      <c r="AZ156" s="1189"/>
      <c r="BA156" s="1189"/>
      <c r="BB156" s="1189"/>
      <c r="BC156" s="1189"/>
      <c r="BD156" s="1189"/>
      <c r="BE156" s="1195"/>
    </row>
    <row r="157" spans="1:57" ht="15.75" customHeight="1" thickBot="1">
      <c r="A157" s="1189"/>
      <c r="B157" s="1189"/>
      <c r="C157" s="2216" t="s">
        <v>2604</v>
      </c>
      <c r="D157" s="2217"/>
      <c r="E157" s="2217"/>
      <c r="F157" s="2217"/>
      <c r="G157" s="2217"/>
      <c r="H157" s="2217"/>
      <c r="I157" s="2217"/>
      <c r="J157" s="2217"/>
      <c r="K157" s="2217"/>
      <c r="L157" s="2217"/>
      <c r="M157" s="2217"/>
      <c r="N157" s="2222">
        <f>SUM('Sources and Uses Budget'!B85:B86)</f>
        <v>6102698</v>
      </c>
      <c r="O157" s="2222"/>
      <c r="P157" s="2222"/>
      <c r="Q157" s="2222"/>
      <c r="R157" s="2222"/>
      <c r="S157" s="2222"/>
      <c r="T157" s="2222"/>
      <c r="U157" s="2208"/>
      <c r="V157" s="2208"/>
      <c r="W157" s="2208"/>
      <c r="X157" s="2208"/>
      <c r="Y157" s="2208"/>
      <c r="Z157" s="2208"/>
      <c r="AA157" s="2208"/>
      <c r="AB157" s="2208"/>
      <c r="AC157" s="2208"/>
      <c r="AD157" s="2208"/>
      <c r="AE157" s="2209"/>
      <c r="AF157" s="1189"/>
      <c r="AG157" s="1189"/>
      <c r="AH157" s="1229" t="s">
        <v>2605</v>
      </c>
      <c r="AI157" s="1189"/>
      <c r="AJ157" s="1189"/>
      <c r="AK157" s="1189"/>
      <c r="AL157" s="1189"/>
      <c r="AM157" s="1189"/>
      <c r="AN157" s="1189"/>
      <c r="AO157" s="1189"/>
      <c r="AP157" s="1189"/>
      <c r="AQ157" s="1189"/>
      <c r="AR157" s="1189"/>
      <c r="AS157" s="1189"/>
      <c r="AT157" s="1189"/>
      <c r="AU157" s="1189"/>
      <c r="AV157" s="1189"/>
      <c r="AW157" s="1189"/>
      <c r="AX157" s="1189"/>
      <c r="AY157" s="1189"/>
      <c r="AZ157" s="1189"/>
      <c r="BA157" s="1189"/>
      <c r="BB157" s="1189"/>
      <c r="BC157" s="1189"/>
      <c r="BD157" s="1189"/>
      <c r="BE157" s="1195"/>
    </row>
    <row r="158" spans="1:57" ht="15.75" customHeight="1">
      <c r="A158" s="1189"/>
      <c r="B158" s="1189"/>
      <c r="C158" s="2216" t="s">
        <v>2606</v>
      </c>
      <c r="D158" s="2217"/>
      <c r="E158" s="2217"/>
      <c r="F158" s="2217"/>
      <c r="G158" s="2217"/>
      <c r="H158" s="2217"/>
      <c r="I158" s="2217"/>
      <c r="J158" s="2217"/>
      <c r="K158" s="2217"/>
      <c r="L158" s="2217"/>
      <c r="M158" s="2217"/>
      <c r="N158" s="2222">
        <f>'Sources and Uses Budget'!B8</f>
        <v>60099</v>
      </c>
      <c r="O158" s="2222"/>
      <c r="P158" s="2222"/>
      <c r="Q158" s="2222"/>
      <c r="R158" s="2222"/>
      <c r="S158" s="2222"/>
      <c r="T158" s="2222"/>
      <c r="U158" s="2208"/>
      <c r="V158" s="2208"/>
      <c r="W158" s="2208"/>
      <c r="X158" s="2208"/>
      <c r="Y158" s="2208"/>
      <c r="Z158" s="2208"/>
      <c r="AA158" s="2208"/>
      <c r="AB158" s="2208"/>
      <c r="AC158" s="2208"/>
      <c r="AD158" s="2208"/>
      <c r="AE158" s="2209"/>
      <c r="AF158" s="1189"/>
      <c r="AG158" s="1189"/>
      <c r="AH158" s="2223" t="s">
        <v>2607</v>
      </c>
      <c r="AI158" s="2224"/>
      <c r="AJ158" s="2224"/>
      <c r="AK158" s="2224"/>
      <c r="AL158" s="2224"/>
      <c r="AM158" s="2224"/>
      <c r="AN158" s="2224"/>
      <c r="AO158" s="2224"/>
      <c r="AP158" s="2224"/>
      <c r="AQ158" s="2224"/>
      <c r="AR158" s="2225"/>
      <c r="AS158" s="2229" t="s">
        <v>2608</v>
      </c>
      <c r="AT158" s="2212"/>
      <c r="AU158" s="2212"/>
      <c r="AV158" s="2212"/>
      <c r="AW158" s="2212"/>
      <c r="AX158" s="2230"/>
      <c r="AY158" s="2212" t="s">
        <v>2609</v>
      </c>
      <c r="AZ158" s="2212"/>
      <c r="BA158" s="2212"/>
      <c r="BB158" s="2212"/>
      <c r="BC158" s="2212"/>
      <c r="BD158" s="2213"/>
      <c r="BE158" s="1195"/>
    </row>
    <row r="159" spans="1:57" ht="15.75" customHeight="1">
      <c r="A159" s="1189"/>
      <c r="B159" s="1189"/>
      <c r="C159" s="2216" t="s">
        <v>2610</v>
      </c>
      <c r="D159" s="2217"/>
      <c r="E159" s="2217"/>
      <c r="F159" s="2217"/>
      <c r="G159" s="2217"/>
      <c r="H159" s="2217"/>
      <c r="I159" s="2217"/>
      <c r="J159" s="2217"/>
      <c r="K159" s="2217"/>
      <c r="L159" s="2217"/>
      <c r="M159" s="2217"/>
      <c r="N159" s="2207">
        <v>0</v>
      </c>
      <c r="O159" s="2207"/>
      <c r="P159" s="2207"/>
      <c r="Q159" s="2207"/>
      <c r="R159" s="2207"/>
      <c r="S159" s="2207"/>
      <c r="T159" s="2207"/>
      <c r="U159" s="2208"/>
      <c r="V159" s="2208"/>
      <c r="W159" s="2208"/>
      <c r="X159" s="2208"/>
      <c r="Y159" s="2208"/>
      <c r="Z159" s="2208"/>
      <c r="AA159" s="2208"/>
      <c r="AB159" s="2208"/>
      <c r="AC159" s="2208"/>
      <c r="AD159" s="2208"/>
      <c r="AE159" s="2209"/>
      <c r="AF159" s="1189"/>
      <c r="AG159" s="1189"/>
      <c r="AH159" s="2226"/>
      <c r="AI159" s="2227"/>
      <c r="AJ159" s="2227"/>
      <c r="AK159" s="2227"/>
      <c r="AL159" s="2227"/>
      <c r="AM159" s="2227"/>
      <c r="AN159" s="2227"/>
      <c r="AO159" s="2227"/>
      <c r="AP159" s="2227"/>
      <c r="AQ159" s="2227"/>
      <c r="AR159" s="2228"/>
      <c r="AS159" s="2231"/>
      <c r="AT159" s="2214"/>
      <c r="AU159" s="2214"/>
      <c r="AV159" s="2214"/>
      <c r="AW159" s="2214"/>
      <c r="AX159" s="2232"/>
      <c r="AY159" s="2214"/>
      <c r="AZ159" s="2214"/>
      <c r="BA159" s="2214"/>
      <c r="BB159" s="2214"/>
      <c r="BC159" s="2214"/>
      <c r="BD159" s="2215"/>
      <c r="BE159" s="1195"/>
    </row>
    <row r="160" spans="1:57" ht="15.75" customHeight="1">
      <c r="A160" s="1189"/>
      <c r="B160" s="1189"/>
      <c r="C160" s="2216" t="s">
        <v>2611</v>
      </c>
      <c r="D160" s="2217"/>
      <c r="E160" s="2217"/>
      <c r="F160" s="2217"/>
      <c r="G160" s="2217"/>
      <c r="H160" s="2217"/>
      <c r="I160" s="2217"/>
      <c r="J160" s="2217"/>
      <c r="K160" s="2217"/>
      <c r="L160" s="2217"/>
      <c r="M160" s="2217"/>
      <c r="N160" s="2207">
        <v>0</v>
      </c>
      <c r="O160" s="2207"/>
      <c r="P160" s="2207"/>
      <c r="Q160" s="2207"/>
      <c r="R160" s="2207"/>
      <c r="S160" s="2207"/>
      <c r="T160" s="2207"/>
      <c r="U160" s="2208"/>
      <c r="V160" s="2208"/>
      <c r="W160" s="2208"/>
      <c r="X160" s="2208"/>
      <c r="Y160" s="2208"/>
      <c r="Z160" s="2208"/>
      <c r="AA160" s="2208"/>
      <c r="AB160" s="2208"/>
      <c r="AC160" s="2208"/>
      <c r="AD160" s="2208"/>
      <c r="AE160" s="2209"/>
      <c r="AF160" s="1189"/>
      <c r="AG160" s="1189"/>
      <c r="AH160" s="2183" t="s">
        <v>2271</v>
      </c>
      <c r="AI160" s="2184"/>
      <c r="AJ160" s="2184"/>
      <c r="AK160" s="2184"/>
      <c r="AL160" s="2184"/>
      <c r="AM160" s="2184"/>
      <c r="AN160" s="2184"/>
      <c r="AO160" s="2184"/>
      <c r="AP160" s="2184"/>
      <c r="AQ160" s="2184"/>
      <c r="AR160" s="2184"/>
      <c r="AS160" s="2185">
        <v>0</v>
      </c>
      <c r="AT160" s="2185"/>
      <c r="AU160" s="2185"/>
      <c r="AV160" s="2185"/>
      <c r="AW160" s="2185"/>
      <c r="AX160" s="2185"/>
      <c r="AY160" s="2185">
        <v>0</v>
      </c>
      <c r="AZ160" s="2185"/>
      <c r="BA160" s="2185"/>
      <c r="BB160" s="2185"/>
      <c r="BC160" s="2185"/>
      <c r="BD160" s="2186"/>
      <c r="BE160" s="1195"/>
    </row>
    <row r="161" spans="1:57" ht="15.75" customHeight="1">
      <c r="A161" s="1189"/>
      <c r="B161" s="1189"/>
      <c r="C161" s="2210" t="s">
        <v>302</v>
      </c>
      <c r="D161" s="2211"/>
      <c r="E161" s="2206" t="s">
        <v>1916</v>
      </c>
      <c r="F161" s="2206"/>
      <c r="G161" s="2206"/>
      <c r="H161" s="2206"/>
      <c r="I161" s="2206"/>
      <c r="J161" s="2206"/>
      <c r="K161" s="2206"/>
      <c r="L161" s="2206"/>
      <c r="M161" s="2206"/>
      <c r="N161" s="2207">
        <v>0</v>
      </c>
      <c r="O161" s="2207"/>
      <c r="P161" s="2207"/>
      <c r="Q161" s="2207"/>
      <c r="R161" s="2207"/>
      <c r="S161" s="2207"/>
      <c r="T161" s="2207"/>
      <c r="U161" s="2208"/>
      <c r="V161" s="2208"/>
      <c r="W161" s="2208"/>
      <c r="X161" s="2208"/>
      <c r="Y161" s="2208"/>
      <c r="Z161" s="2208"/>
      <c r="AA161" s="2208"/>
      <c r="AB161" s="2208"/>
      <c r="AC161" s="2208"/>
      <c r="AD161" s="2208"/>
      <c r="AE161" s="2209"/>
      <c r="AF161" s="1189"/>
      <c r="AG161" s="1189"/>
      <c r="AH161" s="2183" t="s">
        <v>2272</v>
      </c>
      <c r="AI161" s="2184"/>
      <c r="AJ161" s="2184"/>
      <c r="AK161" s="2184"/>
      <c r="AL161" s="2184"/>
      <c r="AM161" s="2184"/>
      <c r="AN161" s="2184"/>
      <c r="AO161" s="2184"/>
      <c r="AP161" s="2184"/>
      <c r="AQ161" s="2184"/>
      <c r="AR161" s="2184"/>
      <c r="AS161" s="2185">
        <v>0</v>
      </c>
      <c r="AT161" s="2185"/>
      <c r="AU161" s="2185"/>
      <c r="AV161" s="2185"/>
      <c r="AW161" s="2185"/>
      <c r="AX161" s="2185"/>
      <c r="AY161" s="2185">
        <v>0</v>
      </c>
      <c r="AZ161" s="2185"/>
      <c r="BA161" s="2185"/>
      <c r="BB161" s="2185"/>
      <c r="BC161" s="2185"/>
      <c r="BD161" s="2186"/>
      <c r="BE161" s="1195"/>
    </row>
    <row r="162" spans="1:57" ht="15.75" customHeight="1">
      <c r="A162" s="1189"/>
      <c r="B162" s="1189"/>
      <c r="C162" s="2204" t="s">
        <v>302</v>
      </c>
      <c r="D162" s="2205"/>
      <c r="E162" s="2206" t="s">
        <v>1916</v>
      </c>
      <c r="F162" s="2206"/>
      <c r="G162" s="2206"/>
      <c r="H162" s="2206"/>
      <c r="I162" s="2206"/>
      <c r="J162" s="2206"/>
      <c r="K162" s="2206"/>
      <c r="L162" s="2206"/>
      <c r="M162" s="2206"/>
      <c r="N162" s="2207">
        <v>0</v>
      </c>
      <c r="O162" s="2207"/>
      <c r="P162" s="2207"/>
      <c r="Q162" s="2207"/>
      <c r="R162" s="2207"/>
      <c r="S162" s="2207"/>
      <c r="T162" s="2207"/>
      <c r="U162" s="2208"/>
      <c r="V162" s="2208"/>
      <c r="W162" s="2208"/>
      <c r="X162" s="2208"/>
      <c r="Y162" s="2208"/>
      <c r="Z162" s="2208"/>
      <c r="AA162" s="2208"/>
      <c r="AB162" s="2208"/>
      <c r="AC162" s="2208"/>
      <c r="AD162" s="2208"/>
      <c r="AE162" s="2209"/>
      <c r="AF162" s="1189"/>
      <c r="AG162" s="1189"/>
      <c r="AH162" s="2183" t="s">
        <v>2273</v>
      </c>
      <c r="AI162" s="2184"/>
      <c r="AJ162" s="2184"/>
      <c r="AK162" s="2184"/>
      <c r="AL162" s="2184"/>
      <c r="AM162" s="2184"/>
      <c r="AN162" s="2184"/>
      <c r="AO162" s="2184"/>
      <c r="AP162" s="2184"/>
      <c r="AQ162" s="2184"/>
      <c r="AR162" s="2184"/>
      <c r="AS162" s="2185">
        <v>0</v>
      </c>
      <c r="AT162" s="2185"/>
      <c r="AU162" s="2185"/>
      <c r="AV162" s="2185"/>
      <c r="AW162" s="2185"/>
      <c r="AX162" s="2185"/>
      <c r="AY162" s="2185">
        <v>0</v>
      </c>
      <c r="AZ162" s="2185"/>
      <c r="BA162" s="2185"/>
      <c r="BB162" s="2185"/>
      <c r="BC162" s="2185"/>
      <c r="BD162" s="2186"/>
      <c r="BE162" s="1195"/>
    </row>
    <row r="163" spans="1:57" ht="15.75" customHeight="1" thickBot="1">
      <c r="A163" s="1189"/>
      <c r="B163" s="1189"/>
      <c r="C163" s="2195" t="s">
        <v>302</v>
      </c>
      <c r="D163" s="2196"/>
      <c r="E163" s="2197" t="s">
        <v>1916</v>
      </c>
      <c r="F163" s="2197"/>
      <c r="G163" s="2197"/>
      <c r="H163" s="2197"/>
      <c r="I163" s="2197"/>
      <c r="J163" s="2197"/>
      <c r="K163" s="2197"/>
      <c r="L163" s="2197"/>
      <c r="M163" s="2198"/>
      <c r="N163" s="2199">
        <v>0</v>
      </c>
      <c r="O163" s="2199"/>
      <c r="P163" s="2199"/>
      <c r="Q163" s="2199"/>
      <c r="R163" s="2199"/>
      <c r="S163" s="2199"/>
      <c r="T163" s="2200"/>
      <c r="U163" s="2201"/>
      <c r="V163" s="2202"/>
      <c r="W163" s="2202"/>
      <c r="X163" s="2202"/>
      <c r="Y163" s="2202"/>
      <c r="Z163" s="2202"/>
      <c r="AA163" s="2202"/>
      <c r="AB163" s="2202"/>
      <c r="AC163" s="2202"/>
      <c r="AD163" s="2202"/>
      <c r="AE163" s="2203"/>
      <c r="AF163" s="1189"/>
      <c r="AG163" s="1189"/>
      <c r="AH163" s="2183" t="s">
        <v>2274</v>
      </c>
      <c r="AI163" s="2184"/>
      <c r="AJ163" s="2184"/>
      <c r="AK163" s="2184"/>
      <c r="AL163" s="2184"/>
      <c r="AM163" s="2184"/>
      <c r="AN163" s="2184"/>
      <c r="AO163" s="2184"/>
      <c r="AP163" s="2184"/>
      <c r="AQ163" s="2184"/>
      <c r="AR163" s="2184"/>
      <c r="AS163" s="2185">
        <v>0</v>
      </c>
      <c r="AT163" s="2185"/>
      <c r="AU163" s="2185"/>
      <c r="AV163" s="2185"/>
      <c r="AW163" s="2185"/>
      <c r="AX163" s="2185"/>
      <c r="AY163" s="2185">
        <v>0</v>
      </c>
      <c r="AZ163" s="2185"/>
      <c r="BA163" s="2185"/>
      <c r="BB163" s="2185"/>
      <c r="BC163" s="2185"/>
      <c r="BD163" s="2186"/>
      <c r="BE163" s="1195"/>
    </row>
    <row r="164" spans="1:57" ht="15.75" customHeight="1">
      <c r="A164" s="1189"/>
      <c r="B164" s="1189"/>
      <c r="C164" s="2191" t="s">
        <v>1924</v>
      </c>
      <c r="D164" s="2192"/>
      <c r="E164" s="2192"/>
      <c r="F164" s="2192"/>
      <c r="G164" s="2192"/>
      <c r="H164" s="2192"/>
      <c r="I164" s="2192"/>
      <c r="J164" s="2192"/>
      <c r="K164" s="2192"/>
      <c r="L164" s="2192"/>
      <c r="M164" s="2192"/>
      <c r="N164" s="2193">
        <f>SUM(N156:T163)</f>
        <v>6162797</v>
      </c>
      <c r="O164" s="2193"/>
      <c r="P164" s="2193"/>
      <c r="Q164" s="2193"/>
      <c r="R164" s="2193"/>
      <c r="S164" s="2193"/>
      <c r="T164" s="2194"/>
      <c r="U164" s="1189"/>
      <c r="V164" s="1189"/>
      <c r="W164" s="1189"/>
      <c r="X164" s="1189"/>
      <c r="Y164" s="1189"/>
      <c r="Z164" s="1189"/>
      <c r="AA164" s="1189"/>
      <c r="AB164" s="1189"/>
      <c r="AC164" s="1189"/>
      <c r="AD164" s="1189"/>
      <c r="AE164" s="1189"/>
      <c r="AF164" s="1189"/>
      <c r="AG164" s="1189"/>
      <c r="AH164" s="2183" t="s">
        <v>2275</v>
      </c>
      <c r="AI164" s="2184"/>
      <c r="AJ164" s="2184"/>
      <c r="AK164" s="2184"/>
      <c r="AL164" s="2184"/>
      <c r="AM164" s="2184"/>
      <c r="AN164" s="2184"/>
      <c r="AO164" s="2184"/>
      <c r="AP164" s="2184"/>
      <c r="AQ164" s="2184"/>
      <c r="AR164" s="2184"/>
      <c r="AS164" s="2185">
        <v>0</v>
      </c>
      <c r="AT164" s="2185"/>
      <c r="AU164" s="2185"/>
      <c r="AV164" s="2185"/>
      <c r="AW164" s="2185"/>
      <c r="AX164" s="2185"/>
      <c r="AY164" s="2185">
        <v>0</v>
      </c>
      <c r="AZ164" s="2185"/>
      <c r="BA164" s="2185"/>
      <c r="BB164" s="2185"/>
      <c r="BC164" s="2185"/>
      <c r="BD164" s="2186"/>
      <c r="BE164" s="1195"/>
    </row>
    <row r="165" spans="1:57" ht="15.75" customHeight="1" thickBot="1">
      <c r="A165" s="1189"/>
      <c r="B165" s="1189"/>
      <c r="C165" s="2178" t="s">
        <v>2612</v>
      </c>
      <c r="D165" s="2179"/>
      <c r="E165" s="2179"/>
      <c r="F165" s="2179"/>
      <c r="G165" s="2179"/>
      <c r="H165" s="2179"/>
      <c r="I165" s="2179"/>
      <c r="J165" s="2179"/>
      <c r="K165" s="2179"/>
      <c r="L165" s="2179"/>
      <c r="M165" s="2179"/>
      <c r="N165" s="2180">
        <f>(N154-N164)/J29</f>
        <v>988134.33088235289</v>
      </c>
      <c r="O165" s="2181"/>
      <c r="P165" s="2181"/>
      <c r="Q165" s="2181"/>
      <c r="R165" s="2181"/>
      <c r="S165" s="2181"/>
      <c r="T165" s="2182"/>
      <c r="U165" s="1196"/>
      <c r="V165" s="1189"/>
      <c r="W165" s="1189"/>
      <c r="X165" s="1189"/>
      <c r="Y165" s="1189"/>
      <c r="Z165" s="1189"/>
      <c r="AA165" s="1189"/>
      <c r="AB165" s="1189"/>
      <c r="AC165" s="1189"/>
      <c r="AD165" s="1189"/>
      <c r="AE165" s="1189"/>
      <c r="AF165" s="1189"/>
      <c r="AG165" s="1189"/>
      <c r="AH165" s="2183" t="s">
        <v>2276</v>
      </c>
      <c r="AI165" s="2184"/>
      <c r="AJ165" s="2184"/>
      <c r="AK165" s="2184"/>
      <c r="AL165" s="2184"/>
      <c r="AM165" s="2184"/>
      <c r="AN165" s="2184"/>
      <c r="AO165" s="2184"/>
      <c r="AP165" s="2184"/>
      <c r="AQ165" s="2184"/>
      <c r="AR165" s="2184"/>
      <c r="AS165" s="2185">
        <v>0</v>
      </c>
      <c r="AT165" s="2185"/>
      <c r="AU165" s="2185"/>
      <c r="AV165" s="2185"/>
      <c r="AW165" s="2185"/>
      <c r="AX165" s="2185"/>
      <c r="AY165" s="2185">
        <v>0</v>
      </c>
      <c r="AZ165" s="2185"/>
      <c r="BA165" s="2185"/>
      <c r="BB165" s="2185"/>
      <c r="BC165" s="2185"/>
      <c r="BD165" s="2186"/>
      <c r="BE165" s="1195"/>
    </row>
    <row r="166" spans="1:57" ht="15.75" customHeight="1" thickBot="1">
      <c r="A166" s="1189"/>
      <c r="B166" s="1189"/>
      <c r="C166" s="1189"/>
      <c r="D166" s="1189"/>
      <c r="E166" s="1189"/>
      <c r="F166" s="1189"/>
      <c r="G166" s="1189"/>
      <c r="H166" s="1189"/>
      <c r="I166" s="1189"/>
      <c r="J166" s="1189"/>
      <c r="K166" s="1189"/>
      <c r="L166" s="1189"/>
      <c r="M166" s="1189"/>
      <c r="N166" s="1189"/>
      <c r="O166" s="1189"/>
      <c r="P166" s="1189"/>
      <c r="Q166" s="1189"/>
      <c r="R166" s="1189"/>
      <c r="S166" s="1189"/>
      <c r="T166" s="1189"/>
      <c r="U166" s="1189"/>
      <c r="V166" s="1189"/>
      <c r="W166" s="1189"/>
      <c r="X166" s="1189"/>
      <c r="Y166" s="1189"/>
      <c r="Z166" s="1189"/>
      <c r="AA166" s="1189"/>
      <c r="AB166" s="1189"/>
      <c r="AC166" s="1189"/>
      <c r="AD166" s="1189"/>
      <c r="AE166" s="1189"/>
      <c r="AF166" s="1189"/>
      <c r="AG166" s="1189"/>
      <c r="AH166" s="2187" t="s">
        <v>125</v>
      </c>
      <c r="AI166" s="2188"/>
      <c r="AJ166" s="2188"/>
      <c r="AK166" s="2188"/>
      <c r="AL166" s="2188"/>
      <c r="AM166" s="2188"/>
      <c r="AN166" s="2188"/>
      <c r="AO166" s="2188"/>
      <c r="AP166" s="2188"/>
      <c r="AQ166" s="2188"/>
      <c r="AR166" s="2188"/>
      <c r="AS166" s="2189">
        <f>SUM(AS160:AX165)</f>
        <v>0</v>
      </c>
      <c r="AT166" s="2189"/>
      <c r="AU166" s="2189"/>
      <c r="AV166" s="2189"/>
      <c r="AW166" s="2189"/>
      <c r="AX166" s="2189"/>
      <c r="AY166" s="2189">
        <f>SUM(AY160:BD165)</f>
        <v>0</v>
      </c>
      <c r="AZ166" s="2189"/>
      <c r="BA166" s="2189"/>
      <c r="BB166" s="2189"/>
      <c r="BC166" s="2189"/>
      <c r="BD166" s="2190"/>
      <c r="BE166" s="1195"/>
    </row>
    <row r="167" spans="1:57" ht="15.75" customHeight="1" thickBot="1">
      <c r="A167" s="1189"/>
      <c r="B167" s="1189"/>
      <c r="C167" s="1189"/>
      <c r="D167" s="1189"/>
      <c r="E167" s="1189"/>
      <c r="F167" s="1189"/>
      <c r="G167" s="1189"/>
      <c r="H167" s="1189"/>
      <c r="I167" s="1189"/>
      <c r="J167" s="1189"/>
      <c r="K167" s="1189"/>
      <c r="L167" s="1189"/>
      <c r="M167" s="1189"/>
      <c r="N167" s="1189"/>
      <c r="O167" s="1189"/>
      <c r="P167" s="1189"/>
      <c r="Q167" s="1189"/>
      <c r="R167" s="1189"/>
      <c r="S167" s="1189"/>
      <c r="T167" s="1189"/>
      <c r="U167" s="1189"/>
      <c r="V167" s="1189"/>
      <c r="W167" s="1189"/>
      <c r="X167" s="1189"/>
      <c r="Y167" s="1189"/>
      <c r="Z167" s="1189"/>
      <c r="AA167" s="1189"/>
      <c r="AB167" s="1189"/>
      <c r="AC167" s="1189"/>
      <c r="AD167" s="1189"/>
      <c r="AE167" s="1189"/>
      <c r="AF167" s="1189"/>
      <c r="AG167" s="1189"/>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5"/>
    </row>
    <row r="168" spans="1:57" ht="15.75" customHeight="1">
      <c r="A168" s="1189"/>
      <c r="B168" s="2165" t="s">
        <v>1925</v>
      </c>
      <c r="C168" s="2166"/>
      <c r="D168" s="2166"/>
      <c r="E168" s="2166"/>
      <c r="F168" s="2166"/>
      <c r="G168" s="2166"/>
      <c r="H168" s="2166"/>
      <c r="I168" s="2166"/>
      <c r="J168" s="2166"/>
      <c r="K168" s="2166"/>
      <c r="L168" s="2166"/>
      <c r="M168" s="2166"/>
      <c r="N168" s="2166"/>
      <c r="O168" s="2166"/>
      <c r="P168" s="2166"/>
      <c r="Q168" s="2166"/>
      <c r="R168" s="2166"/>
      <c r="S168" s="2166"/>
      <c r="T168" s="2166"/>
      <c r="U168" s="2166"/>
      <c r="V168" s="2166"/>
      <c r="W168" s="2166"/>
      <c r="X168" s="2166"/>
      <c r="Y168" s="2166"/>
      <c r="Z168" s="2166"/>
      <c r="AA168" s="2166"/>
      <c r="AB168" s="2166"/>
      <c r="AC168" s="2166"/>
      <c r="AD168" s="2166"/>
      <c r="AE168" s="2166"/>
      <c r="AF168" s="2166"/>
      <c r="AG168" s="2166"/>
      <c r="AH168" s="2166"/>
      <c r="AI168" s="2166"/>
      <c r="AJ168" s="2166"/>
      <c r="AK168" s="2166"/>
      <c r="AL168" s="2166"/>
      <c r="AM168" s="2166"/>
      <c r="AN168" s="2166"/>
      <c r="AO168" s="2166"/>
      <c r="AP168" s="2166"/>
      <c r="AQ168" s="2166"/>
      <c r="AR168" s="2166"/>
      <c r="AS168" s="2166"/>
      <c r="AT168" s="2166"/>
      <c r="AU168" s="2166"/>
      <c r="AV168" s="2166"/>
      <c r="AW168" s="2166"/>
      <c r="AX168" s="2166"/>
      <c r="AY168" s="2166"/>
      <c r="AZ168" s="2166"/>
      <c r="BA168" s="2166"/>
      <c r="BB168" s="2166"/>
      <c r="BC168" s="2166"/>
      <c r="BD168" s="2167"/>
      <c r="BE168" s="1195"/>
    </row>
    <row r="169" spans="1:57" ht="15.75" customHeight="1">
      <c r="A169" s="1189"/>
      <c r="B169" s="2168"/>
      <c r="C169" s="2169"/>
      <c r="D169" s="2169"/>
      <c r="E169" s="2169"/>
      <c r="F169" s="2169"/>
      <c r="G169" s="2169"/>
      <c r="H169" s="2169"/>
      <c r="I169" s="2169"/>
      <c r="J169" s="2169"/>
      <c r="K169" s="2169"/>
      <c r="L169" s="2169"/>
      <c r="M169" s="2169"/>
      <c r="N169" s="2169"/>
      <c r="O169" s="2169"/>
      <c r="P169" s="2169"/>
      <c r="Q169" s="2169"/>
      <c r="R169" s="2169"/>
      <c r="S169" s="2169"/>
      <c r="T169" s="2169"/>
      <c r="U169" s="2169"/>
      <c r="V169" s="2169"/>
      <c r="W169" s="2169"/>
      <c r="X169" s="2169"/>
      <c r="Y169" s="2169"/>
      <c r="Z169" s="2169"/>
      <c r="AA169" s="2169"/>
      <c r="AB169" s="2169"/>
      <c r="AC169" s="2169"/>
      <c r="AD169" s="2169"/>
      <c r="AE169" s="2169"/>
      <c r="AF169" s="2169"/>
      <c r="AG169" s="2169"/>
      <c r="AH169" s="2169"/>
      <c r="AI169" s="2169"/>
      <c r="AJ169" s="2169"/>
      <c r="AK169" s="2169"/>
      <c r="AL169" s="2169"/>
      <c r="AM169" s="2169"/>
      <c r="AN169" s="2169"/>
      <c r="AO169" s="2169"/>
      <c r="AP169" s="2169"/>
      <c r="AQ169" s="2169"/>
      <c r="AR169" s="2169"/>
      <c r="AS169" s="2169"/>
      <c r="AT169" s="2169"/>
      <c r="AU169" s="2169"/>
      <c r="AV169" s="2169"/>
      <c r="AW169" s="2169"/>
      <c r="AX169" s="2169"/>
      <c r="AY169" s="2169"/>
      <c r="AZ169" s="2169"/>
      <c r="BA169" s="2169"/>
      <c r="BB169" s="2169"/>
      <c r="BC169" s="2169"/>
      <c r="BD169" s="2170"/>
      <c r="BE169" s="1195"/>
    </row>
    <row r="170" spans="1:57" ht="15.75" customHeight="1">
      <c r="A170" s="1189"/>
      <c r="B170" s="2171" t="s">
        <v>1926</v>
      </c>
      <c r="C170" s="2172"/>
      <c r="D170" s="2172"/>
      <c r="E170" s="2172"/>
      <c r="F170" s="2172"/>
      <c r="G170" s="2172"/>
      <c r="H170" s="2172"/>
      <c r="I170" s="2172"/>
      <c r="J170" s="2172"/>
      <c r="K170" s="2172"/>
      <c r="L170" s="2172"/>
      <c r="M170" s="2172"/>
      <c r="N170" s="2172"/>
      <c r="O170" s="2172"/>
      <c r="P170" s="2172"/>
      <c r="Q170" s="2172"/>
      <c r="R170" s="2172"/>
      <c r="S170" s="2172"/>
      <c r="T170" s="2172"/>
      <c r="U170" s="2172"/>
      <c r="V170" s="2172"/>
      <c r="W170" s="2172"/>
      <c r="X170" s="2172"/>
      <c r="Y170" s="2172"/>
      <c r="Z170" s="2172"/>
      <c r="AA170" s="2172"/>
      <c r="AB170" s="2172"/>
      <c r="AC170" s="2172"/>
      <c r="AD170" s="2172"/>
      <c r="AE170" s="2172"/>
      <c r="AF170" s="2172"/>
      <c r="AG170" s="2172"/>
      <c r="AH170" s="2172"/>
      <c r="AI170" s="2172"/>
      <c r="AJ170" s="2172"/>
      <c r="AK170" s="2172"/>
      <c r="AL170" s="2172"/>
      <c r="AM170" s="2172"/>
      <c r="AN170" s="2172"/>
      <c r="AO170" s="2172"/>
      <c r="AP170" s="2172"/>
      <c r="AQ170" s="2172"/>
      <c r="AR170" s="2172"/>
      <c r="AS170" s="2172"/>
      <c r="AT170" s="2172"/>
      <c r="AU170" s="2172"/>
      <c r="AV170" s="2172"/>
      <c r="AW170" s="2172"/>
      <c r="AX170" s="2172"/>
      <c r="AY170" s="2172"/>
      <c r="AZ170" s="2172"/>
      <c r="BA170" s="2172"/>
      <c r="BB170" s="2172"/>
      <c r="BC170" s="2172"/>
      <c r="BD170" s="2173"/>
      <c r="BE170" s="1195"/>
    </row>
    <row r="171" spans="1:57" ht="15.75" customHeight="1">
      <c r="A171" s="1189"/>
      <c r="B171" s="2171" t="s">
        <v>1927</v>
      </c>
      <c r="C171" s="2172"/>
      <c r="D171" s="2172"/>
      <c r="E171" s="2172"/>
      <c r="F171" s="2172"/>
      <c r="G171" s="2172"/>
      <c r="H171" s="2172"/>
      <c r="I171" s="2172"/>
      <c r="J171" s="2172"/>
      <c r="K171" s="2172"/>
      <c r="L171" s="2172"/>
      <c r="M171" s="2172"/>
      <c r="N171" s="2172"/>
      <c r="O171" s="2172"/>
      <c r="P171" s="2172"/>
      <c r="Q171" s="2172"/>
      <c r="R171" s="2172"/>
      <c r="S171" s="2172"/>
      <c r="T171" s="2172"/>
      <c r="U171" s="2172"/>
      <c r="V171" s="2172"/>
      <c r="W171" s="2172"/>
      <c r="X171" s="2172"/>
      <c r="Y171" s="2172"/>
      <c r="Z171" s="2172"/>
      <c r="AA171" s="2172"/>
      <c r="AB171" s="2172"/>
      <c r="AC171" s="2172"/>
      <c r="AD171" s="2172"/>
      <c r="AE171" s="2172"/>
      <c r="AF171" s="2172"/>
      <c r="AG171" s="2172"/>
      <c r="AH171" s="2172"/>
      <c r="AI171" s="2172"/>
      <c r="AJ171" s="2172"/>
      <c r="AK171" s="2172"/>
      <c r="AL171" s="2172"/>
      <c r="AM171" s="2172"/>
      <c r="AN171" s="2172"/>
      <c r="AO171" s="2172"/>
      <c r="AP171" s="2172"/>
      <c r="AQ171" s="2172"/>
      <c r="AR171" s="2172"/>
      <c r="AS171" s="2172"/>
      <c r="AT171" s="2172"/>
      <c r="AU171" s="2172"/>
      <c r="AV171" s="2172"/>
      <c r="AW171" s="2172"/>
      <c r="AX171" s="2172"/>
      <c r="AY171" s="2172"/>
      <c r="AZ171" s="2172"/>
      <c r="BA171" s="2172"/>
      <c r="BB171" s="2172"/>
      <c r="BC171" s="2172"/>
      <c r="BD171" s="2173"/>
      <c r="BE171" s="1195"/>
    </row>
    <row r="172" spans="1:57" ht="15.75" customHeight="1">
      <c r="A172" s="1189"/>
      <c r="B172" s="1188"/>
      <c r="C172" s="1189"/>
      <c r="D172" s="1189"/>
      <c r="E172" s="1189"/>
      <c r="F172" s="1189"/>
      <c r="G172" s="1189"/>
      <c r="H172" s="1189"/>
      <c r="I172" s="1189"/>
      <c r="J172" s="1189"/>
      <c r="K172" s="1189"/>
      <c r="L172" s="1189"/>
      <c r="M172" s="1189"/>
      <c r="N172" s="1189"/>
      <c r="O172" s="1189"/>
      <c r="P172" s="1189"/>
      <c r="Q172" s="1189"/>
      <c r="R172" s="1189"/>
      <c r="S172" s="1189"/>
      <c r="T172" s="1189"/>
      <c r="U172" s="1189"/>
      <c r="V172" s="1189"/>
      <c r="W172" s="1189"/>
      <c r="X172" s="1189"/>
      <c r="Y172" s="1189"/>
      <c r="Z172" s="1189"/>
      <c r="AA172" s="1189"/>
      <c r="AB172" s="1189"/>
      <c r="AC172" s="1189"/>
      <c r="AD172" s="1189"/>
      <c r="AE172" s="1189"/>
      <c r="AF172" s="1189"/>
      <c r="AG172" s="1189"/>
      <c r="AH172" s="1189"/>
      <c r="AI172" s="1189"/>
      <c r="AJ172" s="1189"/>
      <c r="AK172" s="1189"/>
      <c r="AL172" s="1189"/>
      <c r="AM172" s="1189"/>
      <c r="AN172" s="1189"/>
      <c r="AO172" s="1189"/>
      <c r="AP172" s="1189"/>
      <c r="AQ172" s="1189"/>
      <c r="AR172" s="1189"/>
      <c r="AS172" s="1189"/>
      <c r="AT172" s="1189"/>
      <c r="AU172" s="1189"/>
      <c r="AV172" s="1189"/>
      <c r="AW172" s="1189"/>
      <c r="AX172" s="1189"/>
      <c r="AY172" s="1189"/>
      <c r="AZ172" s="1189"/>
      <c r="BA172" s="1189"/>
      <c r="BB172" s="1189"/>
      <c r="BC172" s="1189"/>
      <c r="BD172" s="1195"/>
      <c r="BE172" s="1195"/>
    </row>
    <row r="173" spans="1:57" ht="15.75" customHeight="1">
      <c r="A173" s="1189"/>
      <c r="B173" s="2174" t="s">
        <v>1928</v>
      </c>
      <c r="C173" s="2175"/>
      <c r="D173" s="2175"/>
      <c r="E173" s="2175"/>
      <c r="F173" s="2175"/>
      <c r="G173" s="2175"/>
      <c r="H173" s="2175"/>
      <c r="I173" s="2175"/>
      <c r="J173" s="2175"/>
      <c r="K173" s="2175"/>
      <c r="L173" s="2175"/>
      <c r="M173" s="2175"/>
      <c r="N173" s="2175"/>
      <c r="O173" s="2175"/>
      <c r="P173" s="2175"/>
      <c r="Q173" s="2175"/>
      <c r="R173" s="2175"/>
      <c r="S173" s="2175"/>
      <c r="T173" s="2175"/>
      <c r="U173" s="2175"/>
      <c r="V173" s="2175"/>
      <c r="W173" s="2175"/>
      <c r="X173" s="2175"/>
      <c r="Y173" s="2175"/>
      <c r="Z173" s="2175"/>
      <c r="AA173" s="2175"/>
      <c r="AB173" s="2175"/>
      <c r="AC173" s="2175"/>
      <c r="AD173" s="2175"/>
      <c r="AE173" s="2175"/>
      <c r="AF173" s="2175"/>
      <c r="AG173" s="2175"/>
      <c r="AH173" s="2175"/>
      <c r="AI173" s="2175"/>
      <c r="AJ173" s="2175"/>
      <c r="AK173" s="2175"/>
      <c r="AL173" s="2175"/>
      <c r="AM173" s="2175"/>
      <c r="AN173" s="2175"/>
      <c r="AO173" s="2175"/>
      <c r="AP173" s="2175"/>
      <c r="AQ173" s="2175"/>
      <c r="AR173" s="2175"/>
      <c r="AS173" s="2175"/>
      <c r="AT173" s="2175"/>
      <c r="AU173" s="2175"/>
      <c r="AV173" s="2175"/>
      <c r="AW173" s="2175"/>
      <c r="AX173" s="2175"/>
      <c r="AY173" s="2175"/>
      <c r="AZ173" s="2175"/>
      <c r="BA173" s="2175"/>
      <c r="BB173" s="2175"/>
      <c r="BC173" s="2175"/>
      <c r="BD173" s="2176"/>
      <c r="BE173" s="1195"/>
    </row>
    <row r="174" spans="1:57" ht="15.75" customHeight="1">
      <c r="A174" s="1189"/>
      <c r="B174" s="1230"/>
      <c r="C174" s="1189"/>
      <c r="D174" s="1189"/>
      <c r="E174" s="1189"/>
      <c r="F174" s="1189"/>
      <c r="G174" s="1189"/>
      <c r="H174" s="1189"/>
      <c r="I174" s="1189"/>
      <c r="J174" s="1189"/>
      <c r="K174" s="1189"/>
      <c r="L174" s="1189"/>
      <c r="M174" s="1189"/>
      <c r="N174" s="1189"/>
      <c r="O174" s="1189"/>
      <c r="P174" s="1189"/>
      <c r="Q174" s="1189"/>
      <c r="R174" s="1189"/>
      <c r="S174" s="1189"/>
      <c r="T174" s="1189"/>
      <c r="U174" s="1189"/>
      <c r="V174" s="1189"/>
      <c r="W174" s="1189"/>
      <c r="X174" s="1189"/>
      <c r="Y174" s="1189"/>
      <c r="Z174" s="1189"/>
      <c r="AA174" s="1189"/>
      <c r="AB174" s="1189"/>
      <c r="AC174" s="1189"/>
      <c r="AD174" s="1189"/>
      <c r="AE174" s="1189"/>
      <c r="AF174" s="1189"/>
      <c r="AG174" s="1189"/>
      <c r="AH174" s="1189"/>
      <c r="AI174" s="1189"/>
      <c r="AJ174" s="1189"/>
      <c r="AK174" s="1189"/>
      <c r="AL174" s="1189"/>
      <c r="AM174" s="1189"/>
      <c r="AN174" s="1189"/>
      <c r="AO174" s="1189"/>
      <c r="AP174" s="1189"/>
      <c r="AQ174" s="1189"/>
      <c r="AR174" s="1189"/>
      <c r="AS174" s="1189"/>
      <c r="AT174" s="1189"/>
      <c r="AU174" s="1189"/>
      <c r="AV174" s="1189"/>
      <c r="AW174" s="1189"/>
      <c r="AX174" s="1189"/>
      <c r="AY174" s="1189"/>
      <c r="AZ174" s="1189"/>
      <c r="BA174" s="1189"/>
      <c r="BB174" s="1189"/>
      <c r="BC174" s="1189"/>
      <c r="BD174" s="1195"/>
      <c r="BE174" s="1195"/>
    </row>
    <row r="175" spans="1:57" ht="15.75" customHeight="1">
      <c r="A175" s="1189"/>
      <c r="B175" s="1231"/>
      <c r="C175" s="1189"/>
      <c r="D175" s="1189"/>
      <c r="E175" s="1189"/>
      <c r="F175" s="1189"/>
      <c r="G175" s="1189"/>
      <c r="H175" s="1191" t="s">
        <v>1929</v>
      </c>
      <c r="I175" s="1189"/>
      <c r="J175" s="1189"/>
      <c r="K175" s="1189"/>
      <c r="L175" s="1189"/>
      <c r="M175" s="1189"/>
      <c r="N175" s="1189"/>
      <c r="O175" s="1189"/>
      <c r="P175" s="1189"/>
      <c r="Q175" s="1189"/>
      <c r="R175" s="1189"/>
      <c r="S175" s="1189"/>
      <c r="T175" s="1189"/>
      <c r="U175" s="1189"/>
      <c r="V175" s="1189"/>
      <c r="W175" s="1189"/>
      <c r="X175" s="1189"/>
      <c r="Y175" s="1189"/>
      <c r="Z175" s="1189"/>
      <c r="AA175" s="1189"/>
      <c r="AB175" s="1189"/>
      <c r="AC175" s="1189"/>
      <c r="AD175" s="1189"/>
      <c r="AE175" s="1189"/>
      <c r="AF175" s="1189"/>
      <c r="AG175" s="1189"/>
      <c r="AH175" s="1189"/>
      <c r="AI175" s="1189"/>
      <c r="AJ175" s="1189"/>
      <c r="AK175" s="1189"/>
      <c r="AL175" s="1189"/>
      <c r="AM175" s="1189"/>
      <c r="AN175" s="1189"/>
      <c r="AO175" s="1189"/>
      <c r="AP175" s="1189"/>
      <c r="AQ175" s="1189"/>
      <c r="AR175" s="1189"/>
      <c r="AS175" s="1189"/>
      <c r="AT175" s="1189"/>
      <c r="AU175" s="1189"/>
      <c r="AV175" s="1189"/>
      <c r="AW175" s="1189"/>
      <c r="AX175" s="1189"/>
      <c r="AY175" s="1189"/>
      <c r="AZ175" s="1189"/>
      <c r="BA175" s="1189"/>
      <c r="BB175" s="1189"/>
      <c r="BC175" s="1189"/>
      <c r="BD175" s="1195"/>
      <c r="BE175" s="1195"/>
    </row>
    <row r="176" spans="1:57" ht="15.75" customHeight="1">
      <c r="A176" s="1189"/>
      <c r="B176" s="1231"/>
      <c r="C176" s="1189"/>
      <c r="D176" s="1189"/>
      <c r="E176" s="1189"/>
      <c r="F176" s="1189"/>
      <c r="G176" s="1189"/>
      <c r="H176" s="1189"/>
      <c r="I176" s="1189"/>
      <c r="J176" s="1189"/>
      <c r="K176" s="1189"/>
      <c r="L176" s="1189"/>
      <c r="M176" s="1189"/>
      <c r="N176" s="1189"/>
      <c r="O176" s="1189"/>
      <c r="P176" s="1189"/>
      <c r="Q176" s="1189"/>
      <c r="R176" s="1189"/>
      <c r="S176" s="1189"/>
      <c r="T176" s="1189"/>
      <c r="U176" s="1189"/>
      <c r="V176" s="1189"/>
      <c r="W176" s="1189"/>
      <c r="X176" s="1189"/>
      <c r="Y176" s="1189"/>
      <c r="Z176" s="1189"/>
      <c r="AA176" s="1189"/>
      <c r="AB176" s="1189"/>
      <c r="AC176" s="1189"/>
      <c r="AD176" s="1189"/>
      <c r="AE176" s="1189"/>
      <c r="AF176" s="1189"/>
      <c r="AG176" s="1189"/>
      <c r="AH176" s="1189"/>
      <c r="AI176" s="1189"/>
      <c r="AJ176" s="1189"/>
      <c r="AK176" s="1189"/>
      <c r="AL176" s="1189"/>
      <c r="AM176" s="1189"/>
      <c r="AN176" s="1189"/>
      <c r="AO176" s="1189"/>
      <c r="AP176" s="1189"/>
      <c r="AQ176" s="1189"/>
      <c r="AR176" s="1189"/>
      <c r="AS176" s="1189"/>
      <c r="AT176" s="1189"/>
      <c r="AU176" s="1189"/>
      <c r="AV176" s="1189"/>
      <c r="AW176" s="1189"/>
      <c r="AX176" s="1189"/>
      <c r="AY176" s="1189"/>
      <c r="AZ176" s="1189"/>
      <c r="BA176" s="1189"/>
      <c r="BB176" s="1189"/>
      <c r="BC176" s="1189"/>
      <c r="BD176" s="1195"/>
      <c r="BE176" s="1195"/>
    </row>
    <row r="177" spans="1:57" ht="15.75" customHeight="1">
      <c r="A177" s="1189"/>
      <c r="B177" s="1231"/>
      <c r="C177" s="1189"/>
      <c r="D177" s="1189"/>
      <c r="E177" s="1189"/>
      <c r="F177" s="1189"/>
      <c r="G177" s="1189"/>
      <c r="H177" s="2177" t="s">
        <v>1930</v>
      </c>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7"/>
      <c r="AF177" s="2177"/>
      <c r="AG177" s="2177"/>
      <c r="AH177" s="2177"/>
      <c r="AI177" s="2177"/>
      <c r="AJ177" s="2177"/>
      <c r="AK177" s="2177"/>
      <c r="AL177" s="2177"/>
      <c r="AM177" s="2177"/>
      <c r="AN177" s="2177"/>
      <c r="AO177" s="2177"/>
      <c r="AP177" s="2177"/>
      <c r="AQ177" s="2177"/>
      <c r="AR177" s="2177"/>
      <c r="AS177" s="2177"/>
      <c r="AT177" s="2177"/>
      <c r="AU177" s="2177"/>
      <c r="AV177" s="2177"/>
      <c r="AW177" s="2177"/>
      <c r="AX177" s="2177"/>
      <c r="AY177" s="2177"/>
      <c r="AZ177" s="1189"/>
      <c r="BA177" s="1189"/>
      <c r="BB177" s="1189"/>
      <c r="BC177" s="1189"/>
      <c r="BD177" s="1195"/>
      <c r="BE177" s="1195"/>
    </row>
    <row r="178" spans="1:57" ht="15.75" customHeight="1">
      <c r="A178" s="1189"/>
      <c r="B178" s="1231"/>
      <c r="C178" s="1189"/>
      <c r="D178" s="1189"/>
      <c r="E178" s="1189"/>
      <c r="F178" s="1189"/>
      <c r="G178" s="1189"/>
      <c r="H178" s="1189"/>
      <c r="I178" s="1189"/>
      <c r="J178" s="1189"/>
      <c r="K178" s="1189"/>
      <c r="L178" s="1189"/>
      <c r="M178" s="1189"/>
      <c r="N178" s="1189"/>
      <c r="O178" s="1189"/>
      <c r="P178" s="1189"/>
      <c r="Q178" s="1189"/>
      <c r="R178" s="1189"/>
      <c r="S178" s="1189"/>
      <c r="T178" s="1189"/>
      <c r="U178" s="1189"/>
      <c r="V178" s="1189"/>
      <c r="W178" s="1189"/>
      <c r="X178" s="1189"/>
      <c r="Y178" s="1189"/>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9"/>
      <c r="BA178" s="1189"/>
      <c r="BB178" s="1189"/>
      <c r="BC178" s="1189"/>
      <c r="BD178" s="1195"/>
      <c r="BE178" s="1195"/>
    </row>
    <row r="179" spans="1:57" ht="15.75" customHeight="1">
      <c r="A179" s="1189"/>
      <c r="B179" s="1231"/>
      <c r="C179" s="1189"/>
      <c r="D179" s="1189"/>
      <c r="E179" s="1189"/>
      <c r="F179" s="1189"/>
      <c r="G179" s="1189"/>
      <c r="H179" s="2162" t="s">
        <v>2613</v>
      </c>
      <c r="I179" s="2162"/>
      <c r="J179" s="2162"/>
      <c r="K179" s="2162"/>
      <c r="L179" s="2162"/>
      <c r="M179" s="2162"/>
      <c r="N179" s="2162"/>
      <c r="O179" s="2162"/>
      <c r="P179" s="2162"/>
      <c r="Q179" s="2162"/>
      <c r="R179" s="2162"/>
      <c r="S179" s="2162"/>
      <c r="T179" s="2162"/>
      <c r="U179" s="2162"/>
      <c r="V179" s="2162"/>
      <c r="W179" s="2162"/>
      <c r="X179" s="2162"/>
      <c r="Y179" s="2162"/>
      <c r="Z179" s="2162"/>
      <c r="AA179" s="2162"/>
      <c r="AB179" s="2162"/>
      <c r="AC179" s="2162"/>
      <c r="AD179" s="2162"/>
      <c r="AE179" s="2162"/>
      <c r="AF179" s="2162"/>
      <c r="AG179" s="2162"/>
      <c r="AH179" s="2162"/>
      <c r="AI179" s="2162"/>
      <c r="AJ179" s="2162"/>
      <c r="AK179" s="2162"/>
      <c r="AL179" s="2162"/>
      <c r="AM179" s="2162"/>
      <c r="AN179" s="2162"/>
      <c r="AO179" s="2162"/>
      <c r="AP179" s="2162"/>
      <c r="AQ179" s="2162"/>
      <c r="AR179" s="2162"/>
      <c r="AS179" s="2162"/>
      <c r="AT179" s="2162"/>
      <c r="AU179" s="2162"/>
      <c r="AV179" s="2162"/>
      <c r="AW179" s="2162"/>
      <c r="AX179" s="2162"/>
      <c r="AY179" s="2162"/>
      <c r="AZ179" s="2162"/>
      <c r="BA179" s="1189"/>
      <c r="BB179" s="1189"/>
      <c r="BC179" s="1189"/>
      <c r="BD179" s="1195"/>
      <c r="BE179" s="1195"/>
    </row>
    <row r="180" spans="1:57" ht="15.75" customHeight="1">
      <c r="A180" s="1189"/>
      <c r="B180" s="1188"/>
      <c r="C180" s="1189"/>
      <c r="D180" s="1189"/>
      <c r="E180" s="1189"/>
      <c r="F180" s="1189"/>
      <c r="G180" s="1189"/>
      <c r="H180" s="2162"/>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62"/>
      <c r="AD180" s="2162"/>
      <c r="AE180" s="2162"/>
      <c r="AF180" s="2162"/>
      <c r="AG180" s="2162"/>
      <c r="AH180" s="2162"/>
      <c r="AI180" s="2162"/>
      <c r="AJ180" s="2162"/>
      <c r="AK180" s="2162"/>
      <c r="AL180" s="2162"/>
      <c r="AM180" s="2162"/>
      <c r="AN180" s="2162"/>
      <c r="AO180" s="2162"/>
      <c r="AP180" s="2162"/>
      <c r="AQ180" s="2162"/>
      <c r="AR180" s="2162"/>
      <c r="AS180" s="2162"/>
      <c r="AT180" s="2162"/>
      <c r="AU180" s="2162"/>
      <c r="AV180" s="2162"/>
      <c r="AW180" s="2162"/>
      <c r="AX180" s="2162"/>
      <c r="AY180" s="2162"/>
      <c r="AZ180" s="2162"/>
      <c r="BA180" s="1189"/>
      <c r="BB180" s="1189"/>
      <c r="BC180" s="1189"/>
      <c r="BD180" s="1195"/>
      <c r="BE180" s="1195"/>
    </row>
    <row r="181" spans="1:57" ht="15.75" customHeight="1">
      <c r="A181" s="1189"/>
      <c r="B181" s="1188"/>
      <c r="C181" s="1189"/>
      <c r="D181" s="1189"/>
      <c r="E181" s="1189"/>
      <c r="F181" s="1189"/>
      <c r="G181" s="1189"/>
      <c r="H181" s="2162"/>
      <c r="I181" s="2162"/>
      <c r="J181" s="2162"/>
      <c r="K181" s="2162"/>
      <c r="L181" s="2162"/>
      <c r="M181" s="2162"/>
      <c r="N181" s="2162"/>
      <c r="O181" s="2162"/>
      <c r="P181" s="2162"/>
      <c r="Q181" s="2162"/>
      <c r="R181" s="2162"/>
      <c r="S181" s="2162"/>
      <c r="T181" s="2162"/>
      <c r="U181" s="2162"/>
      <c r="V181" s="2162"/>
      <c r="W181" s="2162"/>
      <c r="X181" s="2162"/>
      <c r="Y181" s="2162"/>
      <c r="Z181" s="2162"/>
      <c r="AA181" s="2162"/>
      <c r="AB181" s="2162"/>
      <c r="AC181" s="2162"/>
      <c r="AD181" s="2162"/>
      <c r="AE181" s="2162"/>
      <c r="AF181" s="2162"/>
      <c r="AG181" s="2162"/>
      <c r="AH181" s="2162"/>
      <c r="AI181" s="2162"/>
      <c r="AJ181" s="2162"/>
      <c r="AK181" s="2162"/>
      <c r="AL181" s="2162"/>
      <c r="AM181" s="2162"/>
      <c r="AN181" s="2162"/>
      <c r="AO181" s="2162"/>
      <c r="AP181" s="2162"/>
      <c r="AQ181" s="2162"/>
      <c r="AR181" s="2162"/>
      <c r="AS181" s="2162"/>
      <c r="AT181" s="2162"/>
      <c r="AU181" s="2162"/>
      <c r="AV181" s="2162"/>
      <c r="AW181" s="2162"/>
      <c r="AX181" s="2162"/>
      <c r="AY181" s="2162"/>
      <c r="AZ181" s="2162"/>
      <c r="BA181" s="1189"/>
      <c r="BB181" s="1189"/>
      <c r="BC181" s="1189"/>
      <c r="BD181" s="1195"/>
      <c r="BE181" s="1195"/>
    </row>
    <row r="182" spans="1:57" ht="15.75" customHeight="1">
      <c r="A182" s="1189"/>
      <c r="B182" s="1188"/>
      <c r="C182" s="1189"/>
      <c r="D182" s="1189"/>
      <c r="E182" s="1189"/>
      <c r="F182" s="1189"/>
      <c r="G182" s="1189"/>
      <c r="H182" s="2162"/>
      <c r="I182" s="2162"/>
      <c r="J182" s="2162"/>
      <c r="K182" s="2162"/>
      <c r="L182" s="2162"/>
      <c r="M182" s="2162"/>
      <c r="N182" s="2162"/>
      <c r="O182" s="2162"/>
      <c r="P182" s="2162"/>
      <c r="Q182" s="2162"/>
      <c r="R182" s="2162"/>
      <c r="S182" s="2162"/>
      <c r="T182" s="2162"/>
      <c r="U182" s="2162"/>
      <c r="V182" s="2162"/>
      <c r="W182" s="2162"/>
      <c r="X182" s="2162"/>
      <c r="Y182" s="2162"/>
      <c r="Z182" s="2162"/>
      <c r="AA182" s="2162"/>
      <c r="AB182" s="2162"/>
      <c r="AC182" s="2162"/>
      <c r="AD182" s="2162"/>
      <c r="AE182" s="2162"/>
      <c r="AF182" s="2162"/>
      <c r="AG182" s="2162"/>
      <c r="AH182" s="2162"/>
      <c r="AI182" s="2162"/>
      <c r="AJ182" s="2162"/>
      <c r="AK182" s="2162"/>
      <c r="AL182" s="2162"/>
      <c r="AM182" s="2162"/>
      <c r="AN182" s="2162"/>
      <c r="AO182" s="2162"/>
      <c r="AP182" s="2162"/>
      <c r="AQ182" s="2162"/>
      <c r="AR182" s="2162"/>
      <c r="AS182" s="2162"/>
      <c r="AT182" s="2162"/>
      <c r="AU182" s="2162"/>
      <c r="AV182" s="2162"/>
      <c r="AW182" s="2162"/>
      <c r="AX182" s="2162"/>
      <c r="AY182" s="2162"/>
      <c r="AZ182" s="2162"/>
      <c r="BA182" s="1189"/>
      <c r="BB182" s="1189"/>
      <c r="BC182" s="1189"/>
      <c r="BD182" s="1195"/>
      <c r="BE182" s="1195"/>
    </row>
    <row r="183" spans="1:57" ht="15.75" customHeight="1">
      <c r="A183" s="1189"/>
      <c r="B183" s="1188"/>
      <c r="C183" s="1189"/>
      <c r="D183" s="1189"/>
      <c r="E183" s="1189"/>
      <c r="F183" s="1189"/>
      <c r="G183" s="1189"/>
      <c r="H183" s="1189"/>
      <c r="I183" s="1189"/>
      <c r="J183" s="1189"/>
      <c r="K183" s="1189"/>
      <c r="L183" s="1189"/>
      <c r="M183" s="1189"/>
      <c r="N183" s="1189"/>
      <c r="O183" s="1189"/>
      <c r="P183" s="1189"/>
      <c r="Q183" s="1189"/>
      <c r="R183" s="1189"/>
      <c r="S183" s="1189"/>
      <c r="T183" s="1189"/>
      <c r="U183" s="1189"/>
      <c r="V183" s="1189"/>
      <c r="W183" s="1189"/>
      <c r="X183" s="1189"/>
      <c r="Y183" s="1189"/>
      <c r="Z183" s="1189"/>
      <c r="AA183" s="1189"/>
      <c r="AB183" s="1189"/>
      <c r="AC183" s="1189"/>
      <c r="AD183" s="1189"/>
      <c r="AE183" s="1189"/>
      <c r="AF183" s="1189"/>
      <c r="AG183" s="1189"/>
      <c r="AH183" s="1189"/>
      <c r="AI183" s="1189"/>
      <c r="AJ183" s="1189"/>
      <c r="AK183" s="1189"/>
      <c r="AL183" s="1189"/>
      <c r="AM183" s="1189"/>
      <c r="AN183" s="1189"/>
      <c r="AO183" s="1189"/>
      <c r="AP183" s="1189"/>
      <c r="AQ183" s="1189"/>
      <c r="AR183" s="1189"/>
      <c r="AS183" s="1189"/>
      <c r="AT183" s="1189"/>
      <c r="AU183" s="1189"/>
      <c r="AV183" s="1189"/>
      <c r="AW183" s="1189"/>
      <c r="AX183" s="1189"/>
      <c r="AY183" s="1189"/>
      <c r="AZ183" s="1189"/>
      <c r="BA183" s="1189"/>
      <c r="BB183" s="1189"/>
      <c r="BC183" s="1189"/>
      <c r="BD183" s="1195"/>
      <c r="BE183" s="1195"/>
    </row>
    <row r="184" spans="1:57" ht="15.75" customHeight="1" thickBot="1">
      <c r="A184" s="1189"/>
      <c r="B184" s="1232"/>
      <c r="C184" s="1233"/>
      <c r="D184" s="1233"/>
      <c r="E184" s="1233"/>
      <c r="F184" s="1233"/>
      <c r="G184" s="1233"/>
      <c r="H184" s="2163" t="s">
        <v>1931</v>
      </c>
      <c r="I184" s="2163"/>
      <c r="J184" s="2163"/>
      <c r="K184" s="2163"/>
      <c r="L184" s="2163"/>
      <c r="M184" s="2163"/>
      <c r="N184" s="2163"/>
      <c r="O184" s="2163"/>
      <c r="P184" s="2163"/>
      <c r="Q184" s="2163"/>
      <c r="R184" s="2163"/>
      <c r="S184" s="2163"/>
      <c r="T184" s="2163"/>
      <c r="U184" s="2163"/>
      <c r="V184" s="2163"/>
      <c r="W184" s="2163"/>
      <c r="X184" s="2163"/>
      <c r="Y184" s="2163"/>
      <c r="Z184" s="2163"/>
      <c r="AA184" s="2163"/>
      <c r="AB184" s="2163"/>
      <c r="AC184" s="2163"/>
      <c r="AD184" s="2163"/>
      <c r="AE184" s="2163"/>
      <c r="AF184" s="2163"/>
      <c r="AG184" s="2163"/>
      <c r="AH184" s="2163"/>
      <c r="AI184" s="2163"/>
      <c r="AJ184" s="2163"/>
      <c r="AK184" s="2163"/>
      <c r="AL184" s="2163"/>
      <c r="AM184" s="2163"/>
      <c r="AN184" s="2163"/>
      <c r="AO184" s="2163"/>
      <c r="AP184" s="2163"/>
      <c r="AQ184" s="2163"/>
      <c r="AR184" s="2163"/>
      <c r="AS184" s="2163"/>
      <c r="AT184" s="2163"/>
      <c r="AU184" s="2163"/>
      <c r="AV184" s="2163"/>
      <c r="AW184" s="1233"/>
      <c r="AX184" s="1233"/>
      <c r="AY184" s="1233"/>
      <c r="AZ184" s="1233"/>
      <c r="BA184" s="1233"/>
      <c r="BB184" s="1233"/>
      <c r="BC184" s="1233"/>
      <c r="BD184" s="1234"/>
      <c r="BE184" s="1195"/>
    </row>
    <row r="185" spans="1:57" ht="15.75" customHeight="1" thickBot="1">
      <c r="A185" s="1189"/>
      <c r="B185" s="1235"/>
      <c r="C185" s="1204"/>
      <c r="D185" s="1204"/>
      <c r="E185" s="1204"/>
      <c r="F185" s="1204"/>
      <c r="G185" s="1204"/>
      <c r="H185" s="1204"/>
      <c r="I185" s="1204"/>
      <c r="J185" s="1204"/>
      <c r="K185" s="1204"/>
      <c r="L185" s="1204"/>
      <c r="M185" s="1204"/>
      <c r="N185" s="1204"/>
      <c r="O185" s="1204"/>
      <c r="P185" s="1204"/>
      <c r="Q185" s="1204"/>
      <c r="R185" s="1204"/>
      <c r="S185" s="1204"/>
      <c r="T185" s="1204"/>
      <c r="U185" s="1204"/>
      <c r="V185" s="1204"/>
      <c r="W185" s="1204"/>
      <c r="X185" s="1204"/>
      <c r="Y185" s="1204"/>
      <c r="Z185" s="1204"/>
      <c r="AA185" s="1204"/>
      <c r="AB185" s="1204"/>
      <c r="AC185" s="1204"/>
      <c r="AD185" s="1204"/>
      <c r="AE185" s="1204"/>
      <c r="AF185" s="1204"/>
      <c r="AG185" s="1204"/>
      <c r="AH185" s="1204"/>
      <c r="AI185" s="1204"/>
      <c r="AJ185" s="1204"/>
      <c r="AK185" s="1204"/>
      <c r="AL185" s="1204"/>
      <c r="AM185" s="1204"/>
      <c r="AN185" s="1204"/>
      <c r="AO185" s="1204"/>
      <c r="AP185" s="1204"/>
      <c r="AQ185" s="1204"/>
      <c r="AR185" s="1204"/>
      <c r="AS185" s="1204"/>
      <c r="AT185" s="1204"/>
      <c r="AU185" s="1204"/>
      <c r="AV185" s="1204"/>
      <c r="AW185" s="1204"/>
      <c r="AX185" s="1204"/>
      <c r="AY185" s="1204"/>
      <c r="AZ185" s="1204"/>
      <c r="BA185" s="1204"/>
      <c r="BB185" s="1204"/>
      <c r="BC185" s="1204"/>
      <c r="BD185" s="1236"/>
      <c r="BE185" s="1195"/>
    </row>
    <row r="186" spans="1:57" ht="30" customHeight="1" thickBot="1">
      <c r="A186" s="1189"/>
      <c r="B186" s="1235"/>
      <c r="C186" s="1204"/>
      <c r="D186" s="1204"/>
      <c r="E186" s="1204"/>
      <c r="F186" s="1204"/>
      <c r="G186" s="1204"/>
      <c r="H186" s="2153" t="s">
        <v>1932</v>
      </c>
      <c r="I186" s="2153"/>
      <c r="J186" s="2153"/>
      <c r="K186" s="2153"/>
      <c r="L186" s="1204"/>
      <c r="M186" s="1204"/>
      <c r="N186" s="1204"/>
      <c r="O186" s="1204"/>
      <c r="P186" s="1204"/>
      <c r="Q186" s="1204"/>
      <c r="R186" s="1204"/>
      <c r="S186" s="2164"/>
      <c r="T186" s="2160"/>
      <c r="U186" s="2160"/>
      <c r="V186" s="2160"/>
      <c r="W186" s="2160"/>
      <c r="X186" s="2160"/>
      <c r="Y186" s="2160"/>
      <c r="Z186" s="2160"/>
      <c r="AA186" s="2160"/>
      <c r="AB186" s="2160"/>
      <c r="AC186" s="2160"/>
      <c r="AD186" s="2160"/>
      <c r="AE186" s="2160"/>
      <c r="AF186" s="2160"/>
      <c r="AG186" s="2160"/>
      <c r="AH186" s="2160"/>
      <c r="AI186" s="2160"/>
      <c r="AJ186" s="2161"/>
      <c r="AK186" s="1204"/>
      <c r="AL186" s="1204"/>
      <c r="AM186" s="1204"/>
      <c r="AN186" s="1204"/>
      <c r="AO186" s="1204"/>
      <c r="AP186" s="1204"/>
      <c r="AQ186" s="1204"/>
      <c r="AR186" s="1204"/>
      <c r="AS186" s="1204"/>
      <c r="AT186" s="1204"/>
      <c r="AU186" s="1204"/>
      <c r="AV186" s="1204"/>
      <c r="AW186" s="1204"/>
      <c r="AX186" s="1204"/>
      <c r="AY186" s="1204"/>
      <c r="AZ186" s="1204"/>
      <c r="BA186" s="1204"/>
      <c r="BB186" s="1204"/>
      <c r="BC186" s="1204"/>
      <c r="BD186" s="1236"/>
      <c r="BE186" s="1195"/>
    </row>
    <row r="187" spans="1:57" ht="15.75" customHeight="1" thickBot="1">
      <c r="A187" s="1189"/>
      <c r="B187" s="1235"/>
      <c r="C187" s="1204"/>
      <c r="D187" s="1204"/>
      <c r="E187" s="1204"/>
      <c r="F187" s="1204"/>
      <c r="G187" s="1204"/>
      <c r="H187" s="1237"/>
      <c r="I187" s="1237"/>
      <c r="J187" s="1237"/>
      <c r="K187" s="1237"/>
      <c r="L187" s="1204"/>
      <c r="M187" s="1204"/>
      <c r="N187" s="1204"/>
      <c r="O187" s="1204"/>
      <c r="P187" s="1204"/>
      <c r="Q187" s="1204"/>
      <c r="R187" s="1204"/>
      <c r="S187" s="1204"/>
      <c r="T187" s="1204"/>
      <c r="U187" s="1204"/>
      <c r="V187" s="1204"/>
      <c r="W187" s="1204"/>
      <c r="X187" s="1204"/>
      <c r="Y187" s="1204"/>
      <c r="Z187" s="1204"/>
      <c r="AA187" s="1204"/>
      <c r="AB187" s="1204"/>
      <c r="AC187" s="1204"/>
      <c r="AD187" s="1204"/>
      <c r="AE187" s="1204"/>
      <c r="AF187" s="1204"/>
      <c r="AG187" s="1204"/>
      <c r="AH187" s="1204"/>
      <c r="AI187" s="1204"/>
      <c r="AJ187" s="1204"/>
      <c r="AK187" s="1204"/>
      <c r="AL187" s="1204"/>
      <c r="AM187" s="1204"/>
      <c r="AN187" s="1204"/>
      <c r="AO187" s="1204"/>
      <c r="AP187" s="1204"/>
      <c r="AQ187" s="1204"/>
      <c r="AR187" s="1204"/>
      <c r="AS187" s="1204"/>
      <c r="AT187" s="1204"/>
      <c r="AU187" s="1204"/>
      <c r="AV187" s="1204"/>
      <c r="AW187" s="1204"/>
      <c r="AX187" s="1204"/>
      <c r="AY187" s="1204"/>
      <c r="AZ187" s="1204"/>
      <c r="BA187" s="1204"/>
      <c r="BB187" s="1204"/>
      <c r="BC187" s="1204"/>
      <c r="BD187" s="1236"/>
      <c r="BE187" s="1195"/>
    </row>
    <row r="188" spans="1:57" ht="15.75" customHeight="1" thickBot="1">
      <c r="A188" s="1189"/>
      <c r="B188" s="1235"/>
      <c r="C188" s="1204"/>
      <c r="D188" s="1204"/>
      <c r="E188" s="1204"/>
      <c r="F188" s="1204"/>
      <c r="G188" s="1204"/>
      <c r="H188" s="2153" t="s">
        <v>1933</v>
      </c>
      <c r="I188" s="2153"/>
      <c r="J188" s="2153"/>
      <c r="K188" s="1237"/>
      <c r="L188" s="1204"/>
      <c r="M188" s="1204"/>
      <c r="N188" s="1204"/>
      <c r="O188" s="1204"/>
      <c r="P188" s="1204"/>
      <c r="Q188" s="1204"/>
      <c r="R188" s="1204"/>
      <c r="S188" s="2154"/>
      <c r="T188" s="2155"/>
      <c r="U188" s="2155"/>
      <c r="V188" s="2155"/>
      <c r="W188" s="2155"/>
      <c r="X188" s="2155"/>
      <c r="Y188" s="2155"/>
      <c r="Z188" s="2155"/>
      <c r="AA188" s="2155"/>
      <c r="AB188" s="2155"/>
      <c r="AC188" s="2155"/>
      <c r="AD188" s="2155"/>
      <c r="AE188" s="2155"/>
      <c r="AF188" s="2155"/>
      <c r="AG188" s="2155"/>
      <c r="AH188" s="2155"/>
      <c r="AI188" s="2155"/>
      <c r="AJ188" s="2156"/>
      <c r="AK188" s="1204"/>
      <c r="AL188" s="1204"/>
      <c r="AM188" s="1204"/>
      <c r="AN188" s="1204"/>
      <c r="AO188" s="1204"/>
      <c r="AP188" s="1204"/>
      <c r="AQ188" s="1204"/>
      <c r="AR188" s="1204"/>
      <c r="AS188" s="1204"/>
      <c r="AT188" s="1204"/>
      <c r="AU188" s="1204"/>
      <c r="AV188" s="1204"/>
      <c r="AW188" s="1204"/>
      <c r="AX188" s="1204"/>
      <c r="AY188" s="1204"/>
      <c r="AZ188" s="1204"/>
      <c r="BA188" s="1204"/>
      <c r="BB188" s="1204"/>
      <c r="BC188" s="1204"/>
      <c r="BD188" s="1236"/>
      <c r="BE188" s="1195"/>
    </row>
    <row r="189" spans="1:57" ht="15.75" customHeight="1" thickBot="1">
      <c r="A189" s="1189"/>
      <c r="B189" s="1235"/>
      <c r="C189" s="1204"/>
      <c r="D189" s="1204"/>
      <c r="E189" s="1204"/>
      <c r="F189" s="1204"/>
      <c r="G189" s="1204"/>
      <c r="H189" s="1237"/>
      <c r="I189" s="1237"/>
      <c r="J189" s="1237"/>
      <c r="K189" s="1237"/>
      <c r="L189" s="1204"/>
      <c r="M189" s="1204"/>
      <c r="N189" s="1204"/>
      <c r="O189" s="1204"/>
      <c r="P189" s="1204"/>
      <c r="Q189" s="1204"/>
      <c r="R189" s="1204"/>
      <c r="S189" s="1204"/>
      <c r="T189" s="1204"/>
      <c r="U189" s="1204"/>
      <c r="V189" s="1204"/>
      <c r="W189" s="1204"/>
      <c r="X189" s="1204"/>
      <c r="Y189" s="1204"/>
      <c r="Z189" s="1204"/>
      <c r="AA189" s="1204"/>
      <c r="AB189" s="1204"/>
      <c r="AC189" s="1204"/>
      <c r="AD189" s="1204"/>
      <c r="AE189" s="1204"/>
      <c r="AF189" s="1204"/>
      <c r="AG189" s="1204"/>
      <c r="AH189" s="1204"/>
      <c r="AI189" s="1204"/>
      <c r="AJ189" s="1204"/>
      <c r="AK189" s="1204"/>
      <c r="AL189" s="1204"/>
      <c r="AM189" s="1204"/>
      <c r="AN189" s="1204"/>
      <c r="AO189" s="1204"/>
      <c r="AP189" s="1204"/>
      <c r="AQ189" s="1204"/>
      <c r="AR189" s="1204"/>
      <c r="AS189" s="1204"/>
      <c r="AT189" s="1204"/>
      <c r="AU189" s="1204"/>
      <c r="AV189" s="1204"/>
      <c r="AW189" s="1204"/>
      <c r="AX189" s="1204"/>
      <c r="AY189" s="1204"/>
      <c r="AZ189" s="1204"/>
      <c r="BA189" s="1204"/>
      <c r="BB189" s="1204"/>
      <c r="BC189" s="1204"/>
      <c r="BD189" s="1236"/>
      <c r="BE189" s="1195"/>
    </row>
    <row r="190" spans="1:57" ht="15.75" customHeight="1" thickBot="1">
      <c r="A190" s="1189"/>
      <c r="B190" s="1235"/>
      <c r="C190" s="1204"/>
      <c r="D190" s="1204"/>
      <c r="E190" s="1204"/>
      <c r="F190" s="1204"/>
      <c r="G190" s="1204"/>
      <c r="H190" s="2153" t="s">
        <v>445</v>
      </c>
      <c r="I190" s="2153"/>
      <c r="J190" s="1237"/>
      <c r="K190" s="1237"/>
      <c r="L190" s="1204"/>
      <c r="M190" s="1204"/>
      <c r="N190" s="1204"/>
      <c r="O190" s="1204"/>
      <c r="P190" s="1204"/>
      <c r="Q190" s="1204"/>
      <c r="R190" s="1204"/>
      <c r="S190" s="2154"/>
      <c r="T190" s="2155"/>
      <c r="U190" s="2155"/>
      <c r="V190" s="2155"/>
      <c r="W190" s="2155"/>
      <c r="X190" s="2155"/>
      <c r="Y190" s="2155"/>
      <c r="Z190" s="2155"/>
      <c r="AA190" s="2155"/>
      <c r="AB190" s="2155"/>
      <c r="AC190" s="2155"/>
      <c r="AD190" s="2155"/>
      <c r="AE190" s="2155"/>
      <c r="AF190" s="2155"/>
      <c r="AG190" s="2155"/>
      <c r="AH190" s="2155"/>
      <c r="AI190" s="2155"/>
      <c r="AJ190" s="2156"/>
      <c r="AK190" s="1204"/>
      <c r="AL190" s="1204"/>
      <c r="AM190" s="1204"/>
      <c r="AN190" s="1204"/>
      <c r="AO190" s="1204"/>
      <c r="AP190" s="1204"/>
      <c r="AQ190" s="1204"/>
      <c r="AR190" s="1204"/>
      <c r="AS190" s="1204"/>
      <c r="AT190" s="1204"/>
      <c r="AU190" s="1204"/>
      <c r="AV190" s="1204"/>
      <c r="AW190" s="1204"/>
      <c r="AX190" s="1204"/>
      <c r="AY190" s="1204"/>
      <c r="AZ190" s="1204"/>
      <c r="BA190" s="1204"/>
      <c r="BB190" s="1204"/>
      <c r="BC190" s="1204"/>
      <c r="BD190" s="1236"/>
      <c r="BE190" s="1195"/>
    </row>
    <row r="191" spans="1:57" ht="15.75" customHeight="1" thickBot="1">
      <c r="A191" s="1189"/>
      <c r="B191" s="1235"/>
      <c r="C191" s="1204"/>
      <c r="D191" s="1204"/>
      <c r="E191" s="1204"/>
      <c r="F191" s="1204"/>
      <c r="G191" s="1204"/>
      <c r="H191" s="1204"/>
      <c r="I191" s="1204"/>
      <c r="J191" s="1204"/>
      <c r="K191" s="1204"/>
      <c r="L191" s="1204"/>
      <c r="M191" s="1204"/>
      <c r="N191" s="1204"/>
      <c r="O191" s="1204"/>
      <c r="P191" s="1204"/>
      <c r="Q191" s="1204"/>
      <c r="R191" s="1204"/>
      <c r="S191" s="1204"/>
      <c r="T191" s="1204"/>
      <c r="U191" s="1204"/>
      <c r="V191" s="1204"/>
      <c r="W191" s="1204"/>
      <c r="X191" s="1204"/>
      <c r="Y191" s="1204"/>
      <c r="Z191" s="1204"/>
      <c r="AA191" s="1204"/>
      <c r="AB191" s="1204"/>
      <c r="AC191" s="1204"/>
      <c r="AD191" s="1204"/>
      <c r="AE191" s="1204"/>
      <c r="AF191" s="1204"/>
      <c r="AG191" s="1204"/>
      <c r="AH191" s="1204"/>
      <c r="AI191" s="1204"/>
      <c r="AJ191" s="1204"/>
      <c r="AK191" s="1204"/>
      <c r="AL191" s="1204"/>
      <c r="AM191" s="1204"/>
      <c r="AN191" s="1204"/>
      <c r="AO191" s="1204"/>
      <c r="AP191" s="1204"/>
      <c r="AQ191" s="1204"/>
      <c r="AR191" s="1204"/>
      <c r="AS191" s="1204"/>
      <c r="AT191" s="1204"/>
      <c r="AU191" s="1204"/>
      <c r="AV191" s="1204"/>
      <c r="AW191" s="1204"/>
      <c r="AX191" s="1204"/>
      <c r="AY191" s="1204"/>
      <c r="AZ191" s="1204"/>
      <c r="BA191" s="1204"/>
      <c r="BB191" s="1204"/>
      <c r="BC191" s="1204"/>
      <c r="BD191" s="1236"/>
      <c r="BE191" s="1195"/>
    </row>
    <row r="192" spans="1:57" ht="15.75" customHeight="1" thickBot="1">
      <c r="A192" s="1189"/>
      <c r="B192" s="1235"/>
      <c r="C192" s="1204"/>
      <c r="D192" s="1204"/>
      <c r="E192" s="1204"/>
      <c r="F192" s="1204"/>
      <c r="G192" s="1204"/>
      <c r="H192" s="2157" t="s">
        <v>1934</v>
      </c>
      <c r="I192" s="2157"/>
      <c r="J192" s="2157"/>
      <c r="K192" s="2157"/>
      <c r="L192" s="2157"/>
      <c r="M192" s="2157"/>
      <c r="N192" s="2157"/>
      <c r="O192" s="2157"/>
      <c r="P192" s="1204"/>
      <c r="Q192" s="1204"/>
      <c r="R192" s="1204"/>
      <c r="S192" s="2154"/>
      <c r="T192" s="2155"/>
      <c r="U192" s="2155"/>
      <c r="V192" s="2155"/>
      <c r="W192" s="2155"/>
      <c r="X192" s="2155"/>
      <c r="Y192" s="2155"/>
      <c r="Z192" s="2155"/>
      <c r="AA192" s="2155"/>
      <c r="AB192" s="2155"/>
      <c r="AC192" s="2155"/>
      <c r="AD192" s="2155"/>
      <c r="AE192" s="2155"/>
      <c r="AF192" s="2155"/>
      <c r="AG192" s="2155"/>
      <c r="AH192" s="2155"/>
      <c r="AI192" s="2155"/>
      <c r="AJ192" s="2156"/>
      <c r="AK192" s="1204"/>
      <c r="AL192" s="1204"/>
      <c r="AM192" s="1204"/>
      <c r="AN192" s="1204"/>
      <c r="AO192" s="1204"/>
      <c r="AP192" s="1204"/>
      <c r="AQ192" s="1204"/>
      <c r="AR192" s="1204"/>
      <c r="AS192" s="1204"/>
      <c r="AT192" s="1204"/>
      <c r="AU192" s="1204"/>
      <c r="AV192" s="1204"/>
      <c r="AW192" s="1204"/>
      <c r="AX192" s="1204"/>
      <c r="AY192" s="1204"/>
      <c r="AZ192" s="1204"/>
      <c r="BA192" s="1204"/>
      <c r="BB192" s="1204"/>
      <c r="BC192" s="1204"/>
      <c r="BD192" s="1236"/>
      <c r="BE192" s="1195"/>
    </row>
    <row r="193" spans="1:57" ht="15.75" customHeight="1" thickBot="1">
      <c r="A193" s="1189"/>
      <c r="B193" s="1235"/>
      <c r="C193" s="1204"/>
      <c r="D193" s="1204"/>
      <c r="E193" s="1204"/>
      <c r="F193" s="1204"/>
      <c r="G193" s="1204"/>
      <c r="H193" s="1204"/>
      <c r="I193" s="1204"/>
      <c r="J193" s="1204"/>
      <c r="K193" s="1204"/>
      <c r="L193" s="1204"/>
      <c r="M193" s="1204"/>
      <c r="N193" s="1204"/>
      <c r="O193" s="1204"/>
      <c r="P193" s="1204"/>
      <c r="Q193" s="1204"/>
      <c r="R193" s="1204"/>
      <c r="S193" s="1204"/>
      <c r="T193" s="1204"/>
      <c r="U193" s="1204"/>
      <c r="V193" s="1204"/>
      <c r="W193" s="1204"/>
      <c r="X193" s="1204"/>
      <c r="Y193" s="1204"/>
      <c r="Z193" s="1204"/>
      <c r="AA193" s="1204"/>
      <c r="AB193" s="1204"/>
      <c r="AC193" s="1204"/>
      <c r="AD193" s="1204"/>
      <c r="AE193" s="1204"/>
      <c r="AF193" s="1204"/>
      <c r="AG193" s="1204"/>
      <c r="AH193" s="1204"/>
      <c r="AI193" s="1204"/>
      <c r="AJ193" s="1204"/>
      <c r="AK193" s="1204"/>
      <c r="AL193" s="1204"/>
      <c r="AM193" s="1204"/>
      <c r="AN193" s="1204"/>
      <c r="AO193" s="1204"/>
      <c r="AP193" s="1204"/>
      <c r="AQ193" s="1204"/>
      <c r="AR193" s="1204"/>
      <c r="AS193" s="1204"/>
      <c r="AT193" s="1204"/>
      <c r="AU193" s="1204"/>
      <c r="AV193" s="1204"/>
      <c r="AW193" s="1204"/>
      <c r="AX193" s="1204"/>
      <c r="AY193" s="1204"/>
      <c r="AZ193" s="1204"/>
      <c r="BA193" s="1204"/>
      <c r="BB193" s="1204"/>
      <c r="BC193" s="1204"/>
      <c r="BD193" s="1236"/>
      <c r="BE193" s="1195"/>
    </row>
    <row r="194" spans="1:57" ht="15.75" customHeight="1" thickBot="1">
      <c r="A194" s="1189"/>
      <c r="B194" s="1235"/>
      <c r="C194" s="1204"/>
      <c r="D194" s="1204"/>
      <c r="E194" s="1204"/>
      <c r="F194" s="1204"/>
      <c r="G194" s="1204"/>
      <c r="H194" s="2158" t="s">
        <v>1935</v>
      </c>
      <c r="I194" s="2158"/>
      <c r="J194" s="1204"/>
      <c r="K194" s="1204"/>
      <c r="L194" s="1204"/>
      <c r="M194" s="1204"/>
      <c r="N194" s="1204"/>
      <c r="O194" s="1204"/>
      <c r="P194" s="1204"/>
      <c r="Q194" s="1204"/>
      <c r="R194" s="1204"/>
      <c r="S194" s="2159"/>
      <c r="T194" s="2160"/>
      <c r="U194" s="2160"/>
      <c r="V194" s="2160"/>
      <c r="W194" s="2160"/>
      <c r="X194" s="2160"/>
      <c r="Y194" s="2160"/>
      <c r="Z194" s="2160"/>
      <c r="AA194" s="2160"/>
      <c r="AB194" s="2160"/>
      <c r="AC194" s="2160"/>
      <c r="AD194" s="2160"/>
      <c r="AE194" s="2160"/>
      <c r="AF194" s="2160"/>
      <c r="AG194" s="2160"/>
      <c r="AH194" s="2160"/>
      <c r="AI194" s="2160"/>
      <c r="AJ194" s="2161"/>
      <c r="AK194" s="1204"/>
      <c r="AL194" s="1204"/>
      <c r="AM194" s="1204"/>
      <c r="AN194" s="1204"/>
      <c r="AO194" s="1204"/>
      <c r="AP194" s="1204"/>
      <c r="AQ194" s="1204"/>
      <c r="AR194" s="1204"/>
      <c r="AS194" s="1204"/>
      <c r="AT194" s="1204"/>
      <c r="AU194" s="1204"/>
      <c r="AV194" s="1204"/>
      <c r="AW194" s="1204"/>
      <c r="AX194" s="1204"/>
      <c r="AY194" s="1204"/>
      <c r="AZ194" s="1204"/>
      <c r="BA194" s="1204"/>
      <c r="BB194" s="1204"/>
      <c r="BC194" s="1204"/>
      <c r="BD194" s="1236"/>
      <c r="BE194" s="1195"/>
    </row>
    <row r="195" spans="1:57" ht="15.75" customHeight="1" thickBot="1">
      <c r="A195" s="1189"/>
      <c r="B195" s="1238"/>
      <c r="C195" s="1239"/>
      <c r="D195" s="1239"/>
      <c r="E195" s="1239"/>
      <c r="F195" s="1239"/>
      <c r="G195" s="1239"/>
      <c r="H195" s="1239"/>
      <c r="I195" s="1239"/>
      <c r="J195" s="1239"/>
      <c r="K195" s="1239"/>
      <c r="L195" s="1239"/>
      <c r="M195" s="1239"/>
      <c r="N195" s="1239"/>
      <c r="O195" s="1239"/>
      <c r="P195" s="1239"/>
      <c r="Q195" s="1239"/>
      <c r="R195" s="1239"/>
      <c r="S195" s="1239"/>
      <c r="T195" s="1239"/>
      <c r="U195" s="1239"/>
      <c r="V195" s="1239"/>
      <c r="W195" s="1239"/>
      <c r="X195" s="1239"/>
      <c r="Y195" s="1239"/>
      <c r="Z195" s="1239"/>
      <c r="AA195" s="1239"/>
      <c r="AB195" s="1239"/>
      <c r="AC195" s="1239"/>
      <c r="AD195" s="1239"/>
      <c r="AE195" s="1239"/>
      <c r="AF195" s="1239"/>
      <c r="AG195" s="1239"/>
      <c r="AH195" s="1239"/>
      <c r="AI195" s="1239"/>
      <c r="AJ195" s="1239"/>
      <c r="AK195" s="1239"/>
      <c r="AL195" s="1239"/>
      <c r="AM195" s="1239"/>
      <c r="AN195" s="1239"/>
      <c r="AO195" s="1239"/>
      <c r="AP195" s="1239"/>
      <c r="AQ195" s="1239"/>
      <c r="AR195" s="1239"/>
      <c r="AS195" s="1239"/>
      <c r="AT195" s="1239"/>
      <c r="AU195" s="1239"/>
      <c r="AV195" s="1239"/>
      <c r="AW195" s="1239"/>
      <c r="AX195" s="1239"/>
      <c r="AY195" s="1239"/>
      <c r="AZ195" s="1239"/>
      <c r="BA195" s="1239"/>
      <c r="BB195" s="1239"/>
      <c r="BC195" s="1239"/>
      <c r="BD195" s="1240"/>
      <c r="BE195" s="1195"/>
    </row>
    <row r="196" spans="1:57" ht="15.75" customHeight="1" thickBot="1">
      <c r="A196" s="1233"/>
      <c r="B196" s="1233"/>
      <c r="C196" s="1233"/>
      <c r="D196" s="1233"/>
      <c r="E196" s="1233"/>
      <c r="F196" s="1233"/>
      <c r="G196" s="1233"/>
      <c r="H196" s="1233"/>
      <c r="I196" s="1233"/>
      <c r="J196" s="1233"/>
      <c r="K196" s="1233"/>
      <c r="L196" s="1233"/>
      <c r="M196" s="1233"/>
      <c r="N196" s="1233"/>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c r="AN196" s="1233"/>
      <c r="AO196" s="1233"/>
      <c r="AP196" s="1233"/>
      <c r="AQ196" s="1233"/>
      <c r="AR196" s="1233"/>
      <c r="AS196" s="1233"/>
      <c r="AT196" s="1233"/>
      <c r="AU196" s="1233"/>
      <c r="AV196" s="1233"/>
      <c r="AW196" s="1233"/>
      <c r="AX196" s="1233"/>
      <c r="AY196" s="1233"/>
      <c r="AZ196" s="1233"/>
      <c r="BA196" s="1233"/>
      <c r="BB196" s="1233"/>
      <c r="BC196" s="1233"/>
      <c r="BD196" s="1233"/>
      <c r="BE196" s="1234"/>
    </row>
    <row r="199" spans="1:57" ht="15.75" customHeight="1">
      <c r="D199" s="1187"/>
    </row>
    <row r="200" spans="1:57" ht="15.75" customHeight="1">
      <c r="D200" s="1241"/>
    </row>
    <row r="201" spans="1:57" ht="15.75" customHeight="1">
      <c r="D201" s="1187"/>
    </row>
    <row r="202" spans="1:57" ht="15.75" customHeight="1">
      <c r="D202" s="1187"/>
    </row>
    <row r="203" spans="1:57" ht="15.75" customHeight="1">
      <c r="R203" s="1186"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185" zoomScaleNormal="185" zoomScaleSheetLayoutView="100" workbookViewId="0">
      <selection activeCell="AB51" sqref="AB51"/>
    </sheetView>
  </sheetViews>
  <sheetFormatPr defaultColWidth="0" defaultRowHeight="13.25" customHeight="1"/>
  <cols>
    <col min="1" max="1" width="1.453125" style="425" customWidth="1"/>
    <col min="2" max="2" width="0.6328125" style="425" customWidth="1"/>
    <col min="3" max="18" width="2.453125" style="425" customWidth="1"/>
    <col min="19" max="19" width="6.36328125" style="425" customWidth="1"/>
    <col min="20" max="39" width="2.6328125" style="425" customWidth="1"/>
    <col min="40" max="40" width="1.453125" style="425" customWidth="1"/>
    <col min="41" max="256" width="2.453125" style="425" hidden="1"/>
    <col min="257" max="257" width="1.453125" style="425" hidden="1" customWidth="1"/>
    <col min="258" max="258" width="0.6328125" style="425" hidden="1" customWidth="1"/>
    <col min="259" max="274" width="2.453125" style="425" hidden="1" customWidth="1"/>
    <col min="275" max="275" width="4" style="425" hidden="1" customWidth="1"/>
    <col min="276" max="295" width="2.453125" style="425" hidden="1" customWidth="1"/>
    <col min="296" max="296" width="1.453125" style="425" hidden="1" customWidth="1"/>
    <col min="297" max="512" width="2.453125" style="425" hidden="1"/>
    <col min="513" max="513" width="1.453125" style="425" hidden="1" customWidth="1"/>
    <col min="514" max="514" width="0.6328125" style="425" hidden="1" customWidth="1"/>
    <col min="515" max="530" width="2.453125" style="425" hidden="1" customWidth="1"/>
    <col min="531" max="531" width="4" style="425" hidden="1" customWidth="1"/>
    <col min="532" max="551" width="2.453125" style="425" hidden="1" customWidth="1"/>
    <col min="552" max="552" width="1.453125" style="425" hidden="1" customWidth="1"/>
    <col min="553" max="768" width="2.453125" style="425" hidden="1"/>
    <col min="769" max="769" width="1.453125" style="425" hidden="1" customWidth="1"/>
    <col min="770" max="770" width="0.6328125" style="425" hidden="1" customWidth="1"/>
    <col min="771" max="786" width="2.453125" style="425" hidden="1" customWidth="1"/>
    <col min="787" max="787" width="4" style="425" hidden="1" customWidth="1"/>
    <col min="788" max="807" width="2.453125" style="425" hidden="1" customWidth="1"/>
    <col min="808" max="808" width="1.453125" style="425" hidden="1" customWidth="1"/>
    <col min="809" max="1024" width="2.453125" style="425" hidden="1"/>
    <col min="1025" max="1025" width="1.453125" style="425" hidden="1" customWidth="1"/>
    <col min="1026" max="1026" width="0.6328125" style="425" hidden="1" customWidth="1"/>
    <col min="1027" max="1042" width="2.453125" style="425" hidden="1" customWidth="1"/>
    <col min="1043" max="1043" width="4" style="425" hidden="1" customWidth="1"/>
    <col min="1044" max="1063" width="2.453125" style="425" hidden="1" customWidth="1"/>
    <col min="1064" max="1064" width="1.453125" style="425" hidden="1" customWidth="1"/>
    <col min="1065" max="1280" width="2.453125" style="425" hidden="1"/>
    <col min="1281" max="1281" width="1.453125" style="425" hidden="1" customWidth="1"/>
    <col min="1282" max="1282" width="0.6328125" style="425" hidden="1" customWidth="1"/>
    <col min="1283" max="1298" width="2.453125" style="425" hidden="1" customWidth="1"/>
    <col min="1299" max="1299" width="4" style="425" hidden="1" customWidth="1"/>
    <col min="1300" max="1319" width="2.453125" style="425" hidden="1" customWidth="1"/>
    <col min="1320" max="1320" width="1.453125" style="425" hidden="1" customWidth="1"/>
    <col min="1321" max="1536" width="2.453125" style="425" hidden="1"/>
    <col min="1537" max="1537" width="1.453125" style="425" hidden="1" customWidth="1"/>
    <col min="1538" max="1538" width="0.6328125" style="425" hidden="1" customWidth="1"/>
    <col min="1539" max="1554" width="2.453125" style="425" hidden="1" customWidth="1"/>
    <col min="1555" max="1555" width="4" style="425" hidden="1" customWidth="1"/>
    <col min="1556" max="1575" width="2.453125" style="425" hidden="1" customWidth="1"/>
    <col min="1576" max="1576" width="1.453125" style="425" hidden="1" customWidth="1"/>
    <col min="1577" max="1792" width="2.453125" style="425" hidden="1"/>
    <col min="1793" max="1793" width="1.453125" style="425" hidden="1" customWidth="1"/>
    <col min="1794" max="1794" width="0.6328125" style="425" hidden="1" customWidth="1"/>
    <col min="1795" max="1810" width="2.453125" style="425" hidden="1" customWidth="1"/>
    <col min="1811" max="1811" width="4" style="425" hidden="1" customWidth="1"/>
    <col min="1812" max="1831" width="2.453125" style="425" hidden="1" customWidth="1"/>
    <col min="1832" max="1832" width="1.453125" style="425" hidden="1" customWidth="1"/>
    <col min="1833" max="2048" width="2.453125" style="425" hidden="1"/>
    <col min="2049" max="2049" width="1.453125" style="425" hidden="1" customWidth="1"/>
    <col min="2050" max="2050" width="0.6328125" style="425" hidden="1" customWidth="1"/>
    <col min="2051" max="2066" width="2.453125" style="425" hidden="1" customWidth="1"/>
    <col min="2067" max="2067" width="4" style="425" hidden="1" customWidth="1"/>
    <col min="2068" max="2087" width="2.453125" style="425" hidden="1" customWidth="1"/>
    <col min="2088" max="2088" width="1.453125" style="425" hidden="1" customWidth="1"/>
    <col min="2089" max="2304" width="2.453125" style="425" hidden="1"/>
    <col min="2305" max="2305" width="1.453125" style="425" hidden="1" customWidth="1"/>
    <col min="2306" max="2306" width="0.6328125" style="425" hidden="1" customWidth="1"/>
    <col min="2307" max="2322" width="2.453125" style="425" hidden="1" customWidth="1"/>
    <col min="2323" max="2323" width="4" style="425" hidden="1" customWidth="1"/>
    <col min="2324" max="2343" width="2.453125" style="425" hidden="1" customWidth="1"/>
    <col min="2344" max="2344" width="1.453125" style="425" hidden="1" customWidth="1"/>
    <col min="2345" max="2560" width="2.453125" style="425" hidden="1"/>
    <col min="2561" max="2561" width="1.453125" style="425" hidden="1" customWidth="1"/>
    <col min="2562" max="2562" width="0.6328125" style="425" hidden="1" customWidth="1"/>
    <col min="2563" max="2578" width="2.453125" style="425" hidden="1" customWidth="1"/>
    <col min="2579" max="2579" width="4" style="425" hidden="1" customWidth="1"/>
    <col min="2580" max="2599" width="2.453125" style="425" hidden="1" customWidth="1"/>
    <col min="2600" max="2600" width="1.453125" style="425" hidden="1" customWidth="1"/>
    <col min="2601" max="2816" width="2.453125" style="425" hidden="1"/>
    <col min="2817" max="2817" width="1.453125" style="425" hidden="1" customWidth="1"/>
    <col min="2818" max="2818" width="0.6328125" style="425" hidden="1" customWidth="1"/>
    <col min="2819" max="2834" width="2.453125" style="425" hidden="1" customWidth="1"/>
    <col min="2835" max="2835" width="4" style="425" hidden="1" customWidth="1"/>
    <col min="2836" max="2855" width="2.453125" style="425" hidden="1" customWidth="1"/>
    <col min="2856" max="2856" width="1.453125" style="425" hidden="1" customWidth="1"/>
    <col min="2857" max="3072" width="2.453125" style="425" hidden="1"/>
    <col min="3073" max="3073" width="1.453125" style="425" hidden="1" customWidth="1"/>
    <col min="3074" max="3074" width="0.6328125" style="425" hidden="1" customWidth="1"/>
    <col min="3075" max="3090" width="2.453125" style="425" hidden="1" customWidth="1"/>
    <col min="3091" max="3091" width="4" style="425" hidden="1" customWidth="1"/>
    <col min="3092" max="3111" width="2.453125" style="425" hidden="1" customWidth="1"/>
    <col min="3112" max="3112" width="1.453125" style="425" hidden="1" customWidth="1"/>
    <col min="3113" max="3328" width="2.453125" style="425" hidden="1"/>
    <col min="3329" max="3329" width="1.453125" style="425" hidden="1" customWidth="1"/>
    <col min="3330" max="3330" width="0.6328125" style="425" hidden="1" customWidth="1"/>
    <col min="3331" max="3346" width="2.453125" style="425" hidden="1" customWidth="1"/>
    <col min="3347" max="3347" width="4" style="425" hidden="1" customWidth="1"/>
    <col min="3348" max="3367" width="2.453125" style="425" hidden="1" customWidth="1"/>
    <col min="3368" max="3368" width="1.453125" style="425" hidden="1" customWidth="1"/>
    <col min="3369" max="3584" width="2.453125" style="425" hidden="1"/>
    <col min="3585" max="3585" width="1.453125" style="425" hidden="1" customWidth="1"/>
    <col min="3586" max="3586" width="0.6328125" style="425" hidden="1" customWidth="1"/>
    <col min="3587" max="3602" width="2.453125" style="425" hidden="1" customWidth="1"/>
    <col min="3603" max="3603" width="4" style="425" hidden="1" customWidth="1"/>
    <col min="3604" max="3623" width="2.453125" style="425" hidden="1" customWidth="1"/>
    <col min="3624" max="3624" width="1.453125" style="425" hidden="1" customWidth="1"/>
    <col min="3625" max="3840" width="2.453125" style="425" hidden="1"/>
    <col min="3841" max="3841" width="1.453125" style="425" hidden="1" customWidth="1"/>
    <col min="3842" max="3842" width="0.6328125" style="425" hidden="1" customWidth="1"/>
    <col min="3843" max="3858" width="2.453125" style="425" hidden="1" customWidth="1"/>
    <col min="3859" max="3859" width="4" style="425" hidden="1" customWidth="1"/>
    <col min="3860" max="3879" width="2.453125" style="425" hidden="1" customWidth="1"/>
    <col min="3880" max="3880" width="1.453125" style="425" hidden="1" customWidth="1"/>
    <col min="3881" max="4096" width="2.453125" style="425" hidden="1"/>
    <col min="4097" max="4097" width="1.453125" style="425" hidden="1" customWidth="1"/>
    <col min="4098" max="4098" width="0.6328125" style="425" hidden="1" customWidth="1"/>
    <col min="4099" max="4114" width="2.453125" style="425" hidden="1" customWidth="1"/>
    <col min="4115" max="4115" width="4" style="425" hidden="1" customWidth="1"/>
    <col min="4116" max="4135" width="2.453125" style="425" hidden="1" customWidth="1"/>
    <col min="4136" max="4136" width="1.453125" style="425" hidden="1" customWidth="1"/>
    <col min="4137" max="4352" width="2.453125" style="425" hidden="1"/>
    <col min="4353" max="4353" width="1.453125" style="425" hidden="1" customWidth="1"/>
    <col min="4354" max="4354" width="0.6328125" style="425" hidden="1" customWidth="1"/>
    <col min="4355" max="4370" width="2.453125" style="425" hidden="1" customWidth="1"/>
    <col min="4371" max="4371" width="4" style="425" hidden="1" customWidth="1"/>
    <col min="4372" max="4391" width="2.453125" style="425" hidden="1" customWidth="1"/>
    <col min="4392" max="4392" width="1.453125" style="425" hidden="1" customWidth="1"/>
    <col min="4393" max="4608" width="2.453125" style="425" hidden="1"/>
    <col min="4609" max="4609" width="1.453125" style="425" hidden="1" customWidth="1"/>
    <col min="4610" max="4610" width="0.6328125" style="425" hidden="1" customWidth="1"/>
    <col min="4611" max="4626" width="2.453125" style="425" hidden="1" customWidth="1"/>
    <col min="4627" max="4627" width="4" style="425" hidden="1" customWidth="1"/>
    <col min="4628" max="4647" width="2.453125" style="425" hidden="1" customWidth="1"/>
    <col min="4648" max="4648" width="1.453125" style="425" hidden="1" customWidth="1"/>
    <col min="4649" max="4864" width="2.453125" style="425" hidden="1"/>
    <col min="4865" max="4865" width="1.453125" style="425" hidden="1" customWidth="1"/>
    <col min="4866" max="4866" width="0.6328125" style="425" hidden="1" customWidth="1"/>
    <col min="4867" max="4882" width="2.453125" style="425" hidden="1" customWidth="1"/>
    <col min="4883" max="4883" width="4" style="425" hidden="1" customWidth="1"/>
    <col min="4884" max="4903" width="2.453125" style="425" hidden="1" customWidth="1"/>
    <col min="4904" max="4904" width="1.453125" style="425" hidden="1" customWidth="1"/>
    <col min="4905" max="5120" width="2.453125" style="425" hidden="1"/>
    <col min="5121" max="5121" width="1.453125" style="425" hidden="1" customWidth="1"/>
    <col min="5122" max="5122" width="0.6328125" style="425" hidden="1" customWidth="1"/>
    <col min="5123" max="5138" width="2.453125" style="425" hidden="1" customWidth="1"/>
    <col min="5139" max="5139" width="4" style="425" hidden="1" customWidth="1"/>
    <col min="5140" max="5159" width="2.453125" style="425" hidden="1" customWidth="1"/>
    <col min="5160" max="5160" width="1.453125" style="425" hidden="1" customWidth="1"/>
    <col min="5161" max="5376" width="2.453125" style="425" hidden="1"/>
    <col min="5377" max="5377" width="1.453125" style="425" hidden="1" customWidth="1"/>
    <col min="5378" max="5378" width="0.6328125" style="425" hidden="1" customWidth="1"/>
    <col min="5379" max="5394" width="2.453125" style="425" hidden="1" customWidth="1"/>
    <col min="5395" max="5395" width="4" style="425" hidden="1" customWidth="1"/>
    <col min="5396" max="5415" width="2.453125" style="425" hidden="1" customWidth="1"/>
    <col min="5416" max="5416" width="1.453125" style="425" hidden="1" customWidth="1"/>
    <col min="5417" max="5632" width="2.453125" style="425" hidden="1"/>
    <col min="5633" max="5633" width="1.453125" style="425" hidden="1" customWidth="1"/>
    <col min="5634" max="5634" width="0.6328125" style="425" hidden="1" customWidth="1"/>
    <col min="5635" max="5650" width="2.453125" style="425" hidden="1" customWidth="1"/>
    <col min="5651" max="5651" width="4" style="425" hidden="1" customWidth="1"/>
    <col min="5652" max="5671" width="2.453125" style="425" hidden="1" customWidth="1"/>
    <col min="5672" max="5672" width="1.453125" style="425" hidden="1" customWidth="1"/>
    <col min="5673" max="5888" width="2.453125" style="425" hidden="1"/>
    <col min="5889" max="5889" width="1.453125" style="425" hidden="1" customWidth="1"/>
    <col min="5890" max="5890" width="0.6328125" style="425" hidden="1" customWidth="1"/>
    <col min="5891" max="5906" width="2.453125" style="425" hidden="1" customWidth="1"/>
    <col min="5907" max="5907" width="4" style="425" hidden="1" customWidth="1"/>
    <col min="5908" max="5927" width="2.453125" style="425" hidden="1" customWidth="1"/>
    <col min="5928" max="5928" width="1.453125" style="425" hidden="1" customWidth="1"/>
    <col min="5929" max="6144" width="2.453125" style="425" hidden="1"/>
    <col min="6145" max="6145" width="1.453125" style="425" hidden="1" customWidth="1"/>
    <col min="6146" max="6146" width="0.6328125" style="425" hidden="1" customWidth="1"/>
    <col min="6147" max="6162" width="2.453125" style="425" hidden="1" customWidth="1"/>
    <col min="6163" max="6163" width="4" style="425" hidden="1" customWidth="1"/>
    <col min="6164" max="6183" width="2.453125" style="425" hidden="1" customWidth="1"/>
    <col min="6184" max="6184" width="1.453125" style="425" hidden="1" customWidth="1"/>
    <col min="6185" max="6400" width="2.453125" style="425" hidden="1"/>
    <col min="6401" max="6401" width="1.453125" style="425" hidden="1" customWidth="1"/>
    <col min="6402" max="6402" width="0.6328125" style="425" hidden="1" customWidth="1"/>
    <col min="6403" max="6418" width="2.453125" style="425" hidden="1" customWidth="1"/>
    <col min="6419" max="6419" width="4" style="425" hidden="1" customWidth="1"/>
    <col min="6420" max="6439" width="2.453125" style="425" hidden="1" customWidth="1"/>
    <col min="6440" max="6440" width="1.453125" style="425" hidden="1" customWidth="1"/>
    <col min="6441" max="6656" width="2.453125" style="425" hidden="1"/>
    <col min="6657" max="6657" width="1.453125" style="425" hidden="1" customWidth="1"/>
    <col min="6658" max="6658" width="0.6328125" style="425" hidden="1" customWidth="1"/>
    <col min="6659" max="6674" width="2.453125" style="425" hidden="1" customWidth="1"/>
    <col min="6675" max="6675" width="4" style="425" hidden="1" customWidth="1"/>
    <col min="6676" max="6695" width="2.453125" style="425" hidden="1" customWidth="1"/>
    <col min="6696" max="6696" width="1.453125" style="425" hidden="1" customWidth="1"/>
    <col min="6697" max="6912" width="2.453125" style="425" hidden="1"/>
    <col min="6913" max="6913" width="1.453125" style="425" hidden="1" customWidth="1"/>
    <col min="6914" max="6914" width="0.6328125" style="425" hidden="1" customWidth="1"/>
    <col min="6915" max="6930" width="2.453125" style="425" hidden="1" customWidth="1"/>
    <col min="6931" max="6931" width="4" style="425" hidden="1" customWidth="1"/>
    <col min="6932" max="6951" width="2.453125" style="425" hidden="1" customWidth="1"/>
    <col min="6952" max="6952" width="1.453125" style="425" hidden="1" customWidth="1"/>
    <col min="6953" max="7168" width="2.453125" style="425" hidden="1"/>
    <col min="7169" max="7169" width="1.453125" style="425" hidden="1" customWidth="1"/>
    <col min="7170" max="7170" width="0.6328125" style="425" hidden="1" customWidth="1"/>
    <col min="7171" max="7186" width="2.453125" style="425" hidden="1" customWidth="1"/>
    <col min="7187" max="7187" width="4" style="425" hidden="1" customWidth="1"/>
    <col min="7188" max="7207" width="2.453125" style="425" hidden="1" customWidth="1"/>
    <col min="7208" max="7208" width="1.453125" style="425" hidden="1" customWidth="1"/>
    <col min="7209" max="7424" width="2.453125" style="425" hidden="1"/>
    <col min="7425" max="7425" width="1.453125" style="425" hidden="1" customWidth="1"/>
    <col min="7426" max="7426" width="0.6328125" style="425" hidden="1" customWidth="1"/>
    <col min="7427" max="7442" width="2.453125" style="425" hidden="1" customWidth="1"/>
    <col min="7443" max="7443" width="4" style="425" hidden="1" customWidth="1"/>
    <col min="7444" max="7463" width="2.453125" style="425" hidden="1" customWidth="1"/>
    <col min="7464" max="7464" width="1.453125" style="425" hidden="1" customWidth="1"/>
    <col min="7465" max="7680" width="2.453125" style="425" hidden="1"/>
    <col min="7681" max="7681" width="1.453125" style="425" hidden="1" customWidth="1"/>
    <col min="7682" max="7682" width="0.6328125" style="425" hidden="1" customWidth="1"/>
    <col min="7683" max="7698" width="2.453125" style="425" hidden="1" customWidth="1"/>
    <col min="7699" max="7699" width="4" style="425" hidden="1" customWidth="1"/>
    <col min="7700" max="7719" width="2.453125" style="425" hidden="1" customWidth="1"/>
    <col min="7720" max="7720" width="1.453125" style="425" hidden="1" customWidth="1"/>
    <col min="7721" max="7936" width="2.453125" style="425" hidden="1"/>
    <col min="7937" max="7937" width="1.453125" style="425" hidden="1" customWidth="1"/>
    <col min="7938" max="7938" width="0.6328125" style="425" hidden="1" customWidth="1"/>
    <col min="7939" max="7954" width="2.453125" style="425" hidden="1" customWidth="1"/>
    <col min="7955" max="7955" width="4" style="425" hidden="1" customWidth="1"/>
    <col min="7956" max="7975" width="2.453125" style="425" hidden="1" customWidth="1"/>
    <col min="7976" max="7976" width="1.453125" style="425" hidden="1" customWidth="1"/>
    <col min="7977" max="8192" width="2.453125" style="425" hidden="1"/>
    <col min="8193" max="8193" width="1.453125" style="425" hidden="1" customWidth="1"/>
    <col min="8194" max="8194" width="0.6328125" style="425" hidden="1" customWidth="1"/>
    <col min="8195" max="8210" width="2.453125" style="425" hidden="1" customWidth="1"/>
    <col min="8211" max="8211" width="4" style="425" hidden="1" customWidth="1"/>
    <col min="8212" max="8231" width="2.453125" style="425" hidden="1" customWidth="1"/>
    <col min="8232" max="8232" width="1.453125" style="425" hidden="1" customWidth="1"/>
    <col min="8233" max="8448" width="2.453125" style="425" hidden="1"/>
    <col min="8449" max="8449" width="1.453125" style="425" hidden="1" customWidth="1"/>
    <col min="8450" max="8450" width="0.6328125" style="425" hidden="1" customWidth="1"/>
    <col min="8451" max="8466" width="2.453125" style="425" hidden="1" customWidth="1"/>
    <col min="8467" max="8467" width="4" style="425" hidden="1" customWidth="1"/>
    <col min="8468" max="8487" width="2.453125" style="425" hidden="1" customWidth="1"/>
    <col min="8488" max="8488" width="1.453125" style="425" hidden="1" customWidth="1"/>
    <col min="8489" max="8704" width="2.453125" style="425" hidden="1"/>
    <col min="8705" max="8705" width="1.453125" style="425" hidden="1" customWidth="1"/>
    <col min="8706" max="8706" width="0.6328125" style="425" hidden="1" customWidth="1"/>
    <col min="8707" max="8722" width="2.453125" style="425" hidden="1" customWidth="1"/>
    <col min="8723" max="8723" width="4" style="425" hidden="1" customWidth="1"/>
    <col min="8724" max="8743" width="2.453125" style="425" hidden="1" customWidth="1"/>
    <col min="8744" max="8744" width="1.453125" style="425" hidden="1" customWidth="1"/>
    <col min="8745" max="8960" width="2.453125" style="425" hidden="1"/>
    <col min="8961" max="8961" width="1.453125" style="425" hidden="1" customWidth="1"/>
    <col min="8962" max="8962" width="0.6328125" style="425" hidden="1" customWidth="1"/>
    <col min="8963" max="8978" width="2.453125" style="425" hidden="1" customWidth="1"/>
    <col min="8979" max="8979" width="4" style="425" hidden="1" customWidth="1"/>
    <col min="8980" max="8999" width="2.453125" style="425" hidden="1" customWidth="1"/>
    <col min="9000" max="9000" width="1.453125" style="425" hidden="1" customWidth="1"/>
    <col min="9001" max="9216" width="2.453125" style="425" hidden="1"/>
    <col min="9217" max="9217" width="1.453125" style="425" hidden="1" customWidth="1"/>
    <col min="9218" max="9218" width="0.6328125" style="425" hidden="1" customWidth="1"/>
    <col min="9219" max="9234" width="2.453125" style="425" hidden="1" customWidth="1"/>
    <col min="9235" max="9235" width="4" style="425" hidden="1" customWidth="1"/>
    <col min="9236" max="9255" width="2.453125" style="425" hidden="1" customWidth="1"/>
    <col min="9256" max="9256" width="1.453125" style="425" hidden="1" customWidth="1"/>
    <col min="9257" max="9472" width="2.453125" style="425" hidden="1"/>
    <col min="9473" max="9473" width="1.453125" style="425" hidden="1" customWidth="1"/>
    <col min="9474" max="9474" width="0.6328125" style="425" hidden="1" customWidth="1"/>
    <col min="9475" max="9490" width="2.453125" style="425" hidden="1" customWidth="1"/>
    <col min="9491" max="9491" width="4" style="425" hidden="1" customWidth="1"/>
    <col min="9492" max="9511" width="2.453125" style="425" hidden="1" customWidth="1"/>
    <col min="9512" max="9512" width="1.453125" style="425" hidden="1" customWidth="1"/>
    <col min="9513" max="9728" width="2.453125" style="425" hidden="1"/>
    <col min="9729" max="9729" width="1.453125" style="425" hidden="1" customWidth="1"/>
    <col min="9730" max="9730" width="0.6328125" style="425" hidden="1" customWidth="1"/>
    <col min="9731" max="9746" width="2.453125" style="425" hidden="1" customWidth="1"/>
    <col min="9747" max="9747" width="4" style="425" hidden="1" customWidth="1"/>
    <col min="9748" max="9767" width="2.453125" style="425" hidden="1" customWidth="1"/>
    <col min="9768" max="9768" width="1.453125" style="425" hidden="1" customWidth="1"/>
    <col min="9769" max="9984" width="2.453125" style="425" hidden="1"/>
    <col min="9985" max="9985" width="1.453125" style="425" hidden="1" customWidth="1"/>
    <col min="9986" max="9986" width="0.6328125" style="425" hidden="1" customWidth="1"/>
    <col min="9987" max="10002" width="2.453125" style="425" hidden="1" customWidth="1"/>
    <col min="10003" max="10003" width="4" style="425" hidden="1" customWidth="1"/>
    <col min="10004" max="10023" width="2.453125" style="425" hidden="1" customWidth="1"/>
    <col min="10024" max="10024" width="1.453125" style="425" hidden="1" customWidth="1"/>
    <col min="10025" max="10240" width="2.453125" style="425" hidden="1"/>
    <col min="10241" max="10241" width="1.453125" style="425" hidden="1" customWidth="1"/>
    <col min="10242" max="10242" width="0.6328125" style="425" hidden="1" customWidth="1"/>
    <col min="10243" max="10258" width="2.453125" style="425" hidden="1" customWidth="1"/>
    <col min="10259" max="10259" width="4" style="425" hidden="1" customWidth="1"/>
    <col min="10260" max="10279" width="2.453125" style="425" hidden="1" customWidth="1"/>
    <col min="10280" max="10280" width="1.453125" style="425" hidden="1" customWidth="1"/>
    <col min="10281" max="10496" width="2.453125" style="425" hidden="1"/>
    <col min="10497" max="10497" width="1.453125" style="425" hidden="1" customWidth="1"/>
    <col min="10498" max="10498" width="0.6328125" style="425" hidden="1" customWidth="1"/>
    <col min="10499" max="10514" width="2.453125" style="425" hidden="1" customWidth="1"/>
    <col min="10515" max="10515" width="4" style="425" hidden="1" customWidth="1"/>
    <col min="10516" max="10535" width="2.453125" style="425" hidden="1" customWidth="1"/>
    <col min="10536" max="10536" width="1.453125" style="425" hidden="1" customWidth="1"/>
    <col min="10537" max="10752" width="2.453125" style="425" hidden="1"/>
    <col min="10753" max="10753" width="1.453125" style="425" hidden="1" customWidth="1"/>
    <col min="10754" max="10754" width="0.6328125" style="425" hidden="1" customWidth="1"/>
    <col min="10755" max="10770" width="2.453125" style="425" hidden="1" customWidth="1"/>
    <col min="10771" max="10771" width="4" style="425" hidden="1" customWidth="1"/>
    <col min="10772" max="10791" width="2.453125" style="425" hidden="1" customWidth="1"/>
    <col min="10792" max="10792" width="1.453125" style="425" hidden="1" customWidth="1"/>
    <col min="10793" max="11008" width="2.453125" style="425" hidden="1"/>
    <col min="11009" max="11009" width="1.453125" style="425" hidden="1" customWidth="1"/>
    <col min="11010" max="11010" width="0.6328125" style="425" hidden="1" customWidth="1"/>
    <col min="11011" max="11026" width="2.453125" style="425" hidden="1" customWidth="1"/>
    <col min="11027" max="11027" width="4" style="425" hidden="1" customWidth="1"/>
    <col min="11028" max="11047" width="2.453125" style="425" hidden="1" customWidth="1"/>
    <col min="11048" max="11048" width="1.453125" style="425" hidden="1" customWidth="1"/>
    <col min="11049" max="11264" width="2.453125" style="425" hidden="1"/>
    <col min="11265" max="11265" width="1.453125" style="425" hidden="1" customWidth="1"/>
    <col min="11266" max="11266" width="0.6328125" style="425" hidden="1" customWidth="1"/>
    <col min="11267" max="11282" width="2.453125" style="425" hidden="1" customWidth="1"/>
    <col min="11283" max="11283" width="4" style="425" hidden="1" customWidth="1"/>
    <col min="11284" max="11303" width="2.453125" style="425" hidden="1" customWidth="1"/>
    <col min="11304" max="11304" width="1.453125" style="425" hidden="1" customWidth="1"/>
    <col min="11305" max="11520" width="2.453125" style="425" hidden="1"/>
    <col min="11521" max="11521" width="1.453125" style="425" hidden="1" customWidth="1"/>
    <col min="11522" max="11522" width="0.6328125" style="425" hidden="1" customWidth="1"/>
    <col min="11523" max="11538" width="2.453125" style="425" hidden="1" customWidth="1"/>
    <col min="11539" max="11539" width="4" style="425" hidden="1" customWidth="1"/>
    <col min="11540" max="11559" width="2.453125" style="425" hidden="1" customWidth="1"/>
    <col min="11560" max="11560" width="1.453125" style="425" hidden="1" customWidth="1"/>
    <col min="11561" max="11776" width="2.453125" style="425" hidden="1"/>
    <col min="11777" max="11777" width="1.453125" style="425" hidden="1" customWidth="1"/>
    <col min="11778" max="11778" width="0.6328125" style="425" hidden="1" customWidth="1"/>
    <col min="11779" max="11794" width="2.453125" style="425" hidden="1" customWidth="1"/>
    <col min="11795" max="11795" width="4" style="425" hidden="1" customWidth="1"/>
    <col min="11796" max="11815" width="2.453125" style="425" hidden="1" customWidth="1"/>
    <col min="11816" max="11816" width="1.453125" style="425" hidden="1" customWidth="1"/>
    <col min="11817" max="12032" width="2.453125" style="425" hidden="1"/>
    <col min="12033" max="12033" width="1.453125" style="425" hidden="1" customWidth="1"/>
    <col min="12034" max="12034" width="0.6328125" style="425" hidden="1" customWidth="1"/>
    <col min="12035" max="12050" width="2.453125" style="425" hidden="1" customWidth="1"/>
    <col min="12051" max="12051" width="4" style="425" hidden="1" customWidth="1"/>
    <col min="12052" max="12071" width="2.453125" style="425" hidden="1" customWidth="1"/>
    <col min="12072" max="12072" width="1.453125" style="425" hidden="1" customWidth="1"/>
    <col min="12073" max="12288" width="2.453125" style="425" hidden="1"/>
    <col min="12289" max="12289" width="1.453125" style="425" hidden="1" customWidth="1"/>
    <col min="12290" max="12290" width="0.6328125" style="425" hidden="1" customWidth="1"/>
    <col min="12291" max="12306" width="2.453125" style="425" hidden="1" customWidth="1"/>
    <col min="12307" max="12307" width="4" style="425" hidden="1" customWidth="1"/>
    <col min="12308" max="12327" width="2.453125" style="425" hidden="1" customWidth="1"/>
    <col min="12328" max="12328" width="1.453125" style="425" hidden="1" customWidth="1"/>
    <col min="12329" max="12544" width="2.453125" style="425" hidden="1"/>
    <col min="12545" max="12545" width="1.453125" style="425" hidden="1" customWidth="1"/>
    <col min="12546" max="12546" width="0.6328125" style="425" hidden="1" customWidth="1"/>
    <col min="12547" max="12562" width="2.453125" style="425" hidden="1" customWidth="1"/>
    <col min="12563" max="12563" width="4" style="425" hidden="1" customWidth="1"/>
    <col min="12564" max="12583" width="2.453125" style="425" hidden="1" customWidth="1"/>
    <col min="12584" max="12584" width="1.453125" style="425" hidden="1" customWidth="1"/>
    <col min="12585" max="12800" width="2.453125" style="425" hidden="1"/>
    <col min="12801" max="12801" width="1.453125" style="425" hidden="1" customWidth="1"/>
    <col min="12802" max="12802" width="0.6328125" style="425" hidden="1" customWidth="1"/>
    <col min="12803" max="12818" width="2.453125" style="425" hidden="1" customWidth="1"/>
    <col min="12819" max="12819" width="4" style="425" hidden="1" customWidth="1"/>
    <col min="12820" max="12839" width="2.453125" style="425" hidden="1" customWidth="1"/>
    <col min="12840" max="12840" width="1.453125" style="425" hidden="1" customWidth="1"/>
    <col min="12841" max="13056" width="2.453125" style="425" hidden="1"/>
    <col min="13057" max="13057" width="1.453125" style="425" hidden="1" customWidth="1"/>
    <col min="13058" max="13058" width="0.6328125" style="425" hidden="1" customWidth="1"/>
    <col min="13059" max="13074" width="2.453125" style="425" hidden="1" customWidth="1"/>
    <col min="13075" max="13075" width="4" style="425" hidden="1" customWidth="1"/>
    <col min="13076" max="13095" width="2.453125" style="425" hidden="1" customWidth="1"/>
    <col min="13096" max="13096" width="1.453125" style="425" hidden="1" customWidth="1"/>
    <col min="13097" max="13312" width="2.453125" style="425" hidden="1"/>
    <col min="13313" max="13313" width="1.453125" style="425" hidden="1" customWidth="1"/>
    <col min="13314" max="13314" width="0.6328125" style="425" hidden="1" customWidth="1"/>
    <col min="13315" max="13330" width="2.453125" style="425" hidden="1" customWidth="1"/>
    <col min="13331" max="13331" width="4" style="425" hidden="1" customWidth="1"/>
    <col min="13332" max="13351" width="2.453125" style="425" hidden="1" customWidth="1"/>
    <col min="13352" max="13352" width="1.453125" style="425" hidden="1" customWidth="1"/>
    <col min="13353" max="13568" width="2.453125" style="425" hidden="1"/>
    <col min="13569" max="13569" width="1.453125" style="425" hidden="1" customWidth="1"/>
    <col min="13570" max="13570" width="0.6328125" style="425" hidden="1" customWidth="1"/>
    <col min="13571" max="13586" width="2.453125" style="425" hidden="1" customWidth="1"/>
    <col min="13587" max="13587" width="4" style="425" hidden="1" customWidth="1"/>
    <col min="13588" max="13607" width="2.453125" style="425" hidden="1" customWidth="1"/>
    <col min="13608" max="13608" width="1.453125" style="425" hidden="1" customWidth="1"/>
    <col min="13609" max="13824" width="2.453125" style="425" hidden="1"/>
    <col min="13825" max="13825" width="1.453125" style="425" hidden="1" customWidth="1"/>
    <col min="13826" max="13826" width="0.6328125" style="425" hidden="1" customWidth="1"/>
    <col min="13827" max="13842" width="2.453125" style="425" hidden="1" customWidth="1"/>
    <col min="13843" max="13843" width="4" style="425" hidden="1" customWidth="1"/>
    <col min="13844" max="13863" width="2.453125" style="425" hidden="1" customWidth="1"/>
    <col min="13864" max="13864" width="1.453125" style="425" hidden="1" customWidth="1"/>
    <col min="13865" max="14080" width="2.453125" style="425" hidden="1"/>
    <col min="14081" max="14081" width="1.453125" style="425" hidden="1" customWidth="1"/>
    <col min="14082" max="14082" width="0.6328125" style="425" hidden="1" customWidth="1"/>
    <col min="14083" max="14098" width="2.453125" style="425" hidden="1" customWidth="1"/>
    <col min="14099" max="14099" width="4" style="425" hidden="1" customWidth="1"/>
    <col min="14100" max="14119" width="2.453125" style="425" hidden="1" customWidth="1"/>
    <col min="14120" max="14120" width="1.453125" style="425" hidden="1" customWidth="1"/>
    <col min="14121" max="14336" width="2.453125" style="425" hidden="1"/>
    <col min="14337" max="14337" width="1.453125" style="425" hidden="1" customWidth="1"/>
    <col min="14338" max="14338" width="0.6328125" style="425" hidden="1" customWidth="1"/>
    <col min="14339" max="14354" width="2.453125" style="425" hidden="1" customWidth="1"/>
    <col min="14355" max="14355" width="4" style="425" hidden="1" customWidth="1"/>
    <col min="14356" max="14375" width="2.453125" style="425" hidden="1" customWidth="1"/>
    <col min="14376" max="14376" width="1.453125" style="425" hidden="1" customWidth="1"/>
    <col min="14377" max="14592" width="2.453125" style="425" hidden="1"/>
    <col min="14593" max="14593" width="1.453125" style="425" hidden="1" customWidth="1"/>
    <col min="14594" max="14594" width="0.6328125" style="425" hidden="1" customWidth="1"/>
    <col min="14595" max="14610" width="2.453125" style="425" hidden="1" customWidth="1"/>
    <col min="14611" max="14611" width="4" style="425" hidden="1" customWidth="1"/>
    <col min="14612" max="14631" width="2.453125" style="425" hidden="1" customWidth="1"/>
    <col min="14632" max="14632" width="1.453125" style="425" hidden="1" customWidth="1"/>
    <col min="14633" max="14848" width="2.453125" style="425" hidden="1"/>
    <col min="14849" max="14849" width="1.453125" style="425" hidden="1" customWidth="1"/>
    <col min="14850" max="14850" width="0.6328125" style="425" hidden="1" customWidth="1"/>
    <col min="14851" max="14866" width="2.453125" style="425" hidden="1" customWidth="1"/>
    <col min="14867" max="14867" width="4" style="425" hidden="1" customWidth="1"/>
    <col min="14868" max="14887" width="2.453125" style="425" hidden="1" customWidth="1"/>
    <col min="14888" max="14888" width="1.453125" style="425" hidden="1" customWidth="1"/>
    <col min="14889" max="15104" width="2.453125" style="425" hidden="1"/>
    <col min="15105" max="15105" width="1.453125" style="425" hidden="1" customWidth="1"/>
    <col min="15106" max="15106" width="0.6328125" style="425" hidden="1" customWidth="1"/>
    <col min="15107" max="15122" width="2.453125" style="425" hidden="1" customWidth="1"/>
    <col min="15123" max="15123" width="4" style="425" hidden="1" customWidth="1"/>
    <col min="15124" max="15143" width="2.453125" style="425" hidden="1" customWidth="1"/>
    <col min="15144" max="15144" width="1.453125" style="425" hidden="1" customWidth="1"/>
    <col min="15145" max="15360" width="2.453125" style="425" hidden="1"/>
    <col min="15361" max="15361" width="1.453125" style="425" hidden="1" customWidth="1"/>
    <col min="15362" max="15362" width="0.6328125" style="425" hidden="1" customWidth="1"/>
    <col min="15363" max="15378" width="2.453125" style="425" hidden="1" customWidth="1"/>
    <col min="15379" max="15379" width="4" style="425" hidden="1" customWidth="1"/>
    <col min="15380" max="15399" width="2.453125" style="425" hidden="1" customWidth="1"/>
    <col min="15400" max="15400" width="1.453125" style="425" hidden="1" customWidth="1"/>
    <col min="15401" max="15616" width="2.453125" style="425" hidden="1"/>
    <col min="15617" max="15617" width="1.453125" style="425" hidden="1" customWidth="1"/>
    <col min="15618" max="15618" width="0.6328125" style="425" hidden="1" customWidth="1"/>
    <col min="15619" max="15634" width="2.453125" style="425" hidden="1" customWidth="1"/>
    <col min="15635" max="15635" width="4" style="425" hidden="1" customWidth="1"/>
    <col min="15636" max="15655" width="2.453125" style="425" hidden="1" customWidth="1"/>
    <col min="15656" max="15656" width="1.453125" style="425" hidden="1" customWidth="1"/>
    <col min="15657" max="15872" width="2.453125" style="425" hidden="1"/>
    <col min="15873" max="15873" width="1.453125" style="425" hidden="1" customWidth="1"/>
    <col min="15874" max="15874" width="0.6328125" style="425" hidden="1" customWidth="1"/>
    <col min="15875" max="15890" width="2.453125" style="425" hidden="1" customWidth="1"/>
    <col min="15891" max="15891" width="4" style="425" hidden="1" customWidth="1"/>
    <col min="15892" max="15911" width="2.453125" style="425" hidden="1" customWidth="1"/>
    <col min="15912" max="15912" width="1.453125" style="425" hidden="1" customWidth="1"/>
    <col min="15913" max="16128" width="2.453125" style="425" hidden="1"/>
    <col min="16129" max="16129" width="1.453125" style="425" hidden="1" customWidth="1"/>
    <col min="16130" max="16130" width="0.6328125" style="425" hidden="1" customWidth="1"/>
    <col min="16131" max="16146" width="2.453125" style="425" hidden="1" customWidth="1"/>
    <col min="16147" max="16147" width="4" style="425" hidden="1" customWidth="1"/>
    <col min="16148" max="16167" width="2.453125" style="425" hidden="1" customWidth="1"/>
    <col min="16168" max="16168" width="1.453125" style="425" hidden="1" customWidth="1"/>
    <col min="16169" max="16384" width="2.453125" style="425" hidden="1"/>
  </cols>
  <sheetData>
    <row r="1" spans="1:40" ht="13.25" customHeight="1">
      <c r="A1" s="2523" t="s">
        <v>1445</v>
      </c>
      <c r="B1" s="2523"/>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row>
    <row r="2" spans="1:40" ht="13.25" customHeight="1" thickBot="1">
      <c r="A2" s="2524"/>
      <c r="B2" s="2524"/>
      <c r="C2" s="2524"/>
      <c r="D2" s="2524"/>
      <c r="E2" s="2524"/>
      <c r="F2" s="2524"/>
      <c r="G2" s="2524"/>
      <c r="H2" s="2524"/>
      <c r="I2" s="2524"/>
      <c r="J2" s="2524"/>
      <c r="K2" s="2524"/>
      <c r="L2" s="2524"/>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524"/>
    </row>
    <row r="3" spans="1:40" ht="13.25" customHeight="1" thickTop="1">
      <c r="A3" s="425" t="str">
        <f>+A1</f>
        <v>V. BASIS AND CREDITS : 4% FEDERAL AND STATE CREDIT</v>
      </c>
      <c r="C3" s="101"/>
      <c r="D3" s="101"/>
      <c r="E3" s="101"/>
      <c r="F3" s="101"/>
      <c r="G3" s="101"/>
      <c r="H3" s="101"/>
      <c r="I3" s="101"/>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row>
    <row r="4" spans="1:40" ht="13.25" customHeight="1">
      <c r="A4" s="427"/>
    </row>
    <row r="5" spans="1:40" ht="13.25" customHeight="1">
      <c r="A5" s="427" t="s">
        <v>321</v>
      </c>
      <c r="C5" s="427" t="s">
        <v>123</v>
      </c>
      <c r="F5" s="427"/>
    </row>
    <row r="6" spans="1:40" ht="13.25" customHeight="1">
      <c r="A6" s="427"/>
      <c r="C6" s="425" t="s">
        <v>1385</v>
      </c>
    </row>
    <row r="7" spans="1:40" ht="13.25" customHeight="1">
      <c r="B7" s="428"/>
      <c r="C7" s="429"/>
      <c r="D7" s="429"/>
      <c r="E7" s="429"/>
      <c r="F7" s="429"/>
      <c r="G7" s="429"/>
      <c r="H7" s="429"/>
      <c r="I7" s="429"/>
      <c r="J7" s="429"/>
      <c r="K7" s="429"/>
      <c r="L7" s="429"/>
      <c r="M7" s="429"/>
      <c r="N7" s="429"/>
      <c r="O7" s="429"/>
      <c r="P7" s="429"/>
      <c r="Q7" s="429"/>
      <c r="R7" s="429"/>
      <c r="S7" s="429"/>
      <c r="T7" s="2503" t="str">
        <f xml:space="preserve"> IF(T25=100%,'Sources and Basis Breakdown'!G2,'Sources and Basis Breakdown'!F2)</f>
        <v>30% PVC for New Const/
Rehabilitation
DDA/QCT
Building(s)</v>
      </c>
      <c r="U7" s="2503"/>
      <c r="V7" s="2503"/>
      <c r="W7" s="2503"/>
      <c r="X7" s="2503"/>
      <c r="Y7" s="2503" t="str">
        <f>IF(T25=100%," ",'Sources and Basis Breakdown'!G2)</f>
        <v>30% PVC for New Const/
Rehabilitation
NON-DDA/
NON-QCT Building(s)</v>
      </c>
      <c r="Z7" s="2503"/>
      <c r="AA7" s="2503"/>
      <c r="AB7" s="2503"/>
      <c r="AC7" s="2503"/>
      <c r="AD7" s="2503" t="str">
        <f xml:space="preserve"> IF(T25=100%, 'Sources and Basis Breakdown'!J2,'Sources and Basis Breakdown'!I2)</f>
        <v>30% PVC for Acquisition
DDA/QCT Building(s)</v>
      </c>
      <c r="AE7" s="2503"/>
      <c r="AF7" s="2503"/>
      <c r="AG7" s="2503"/>
      <c r="AH7" s="2503"/>
      <c r="AI7" s="2503" t="str">
        <f>IF(T25=100%," ",'Sources and Basis Breakdown'!J2)</f>
        <v>30% PVC for Acquisition
NON-DDA/
NON-QCT Building(s)</v>
      </c>
      <c r="AJ7" s="2503"/>
      <c r="AK7" s="2503"/>
      <c r="AL7" s="2503"/>
      <c r="AM7" s="2503"/>
    </row>
    <row r="8" spans="1:40" ht="13.25" customHeight="1">
      <c r="B8" s="430"/>
      <c r="T8" s="2503"/>
      <c r="U8" s="2503"/>
      <c r="V8" s="2503"/>
      <c r="W8" s="2503"/>
      <c r="X8" s="2503"/>
      <c r="Y8" s="2503"/>
      <c r="Z8" s="2503"/>
      <c r="AA8" s="2503"/>
      <c r="AB8" s="2503"/>
      <c r="AC8" s="2503"/>
      <c r="AD8" s="2503"/>
      <c r="AE8" s="2503"/>
      <c r="AF8" s="2503"/>
      <c r="AG8" s="2503"/>
      <c r="AH8" s="2503"/>
      <c r="AI8" s="2503"/>
      <c r="AJ8" s="2503"/>
      <c r="AK8" s="2503"/>
      <c r="AL8" s="2503"/>
      <c r="AM8" s="2503"/>
    </row>
    <row r="9" spans="1:40" ht="13.25" customHeight="1">
      <c r="B9" s="430"/>
      <c r="T9" s="2503"/>
      <c r="U9" s="2503"/>
      <c r="V9" s="2503"/>
      <c r="W9" s="2503"/>
      <c r="X9" s="2503"/>
      <c r="Y9" s="2503"/>
      <c r="Z9" s="2503"/>
      <c r="AA9" s="2503"/>
      <c r="AB9" s="2503"/>
      <c r="AC9" s="2503"/>
      <c r="AD9" s="2503"/>
      <c r="AE9" s="2503"/>
      <c r="AF9" s="2503"/>
      <c r="AG9" s="2503"/>
      <c r="AH9" s="2503"/>
      <c r="AI9" s="2503"/>
      <c r="AJ9" s="2503"/>
      <c r="AK9" s="2503"/>
      <c r="AL9" s="2503"/>
      <c r="AM9" s="2503"/>
    </row>
    <row r="10" spans="1:40" ht="13.25" customHeight="1">
      <c r="B10" s="431"/>
      <c r="C10" s="432"/>
      <c r="D10" s="432"/>
      <c r="E10" s="432"/>
      <c r="F10" s="432"/>
      <c r="G10" s="432"/>
      <c r="H10" s="432"/>
      <c r="I10" s="432"/>
      <c r="J10" s="432"/>
      <c r="K10" s="432"/>
      <c r="L10" s="432"/>
      <c r="M10" s="432"/>
      <c r="N10" s="432"/>
      <c r="O10" s="432"/>
      <c r="P10" s="432"/>
      <c r="Q10" s="432"/>
      <c r="R10" s="432"/>
      <c r="S10" s="432"/>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3.25" customHeight="1">
      <c r="B11" s="2486" t="s">
        <v>377</v>
      </c>
      <c r="C11" s="2487"/>
      <c r="D11" s="2487"/>
      <c r="E11" s="2487"/>
      <c r="F11" s="2487"/>
      <c r="G11" s="2487"/>
      <c r="H11" s="2487"/>
      <c r="I11" s="2487"/>
      <c r="J11" s="2487"/>
      <c r="K11" s="2487"/>
      <c r="L11" s="2487"/>
      <c r="M11" s="2487"/>
      <c r="N11" s="2487"/>
      <c r="O11" s="2487"/>
      <c r="P11" s="2487"/>
      <c r="Q11" s="2487"/>
      <c r="R11" s="2487"/>
      <c r="S11" s="2488"/>
      <c r="T11" s="2525">
        <f>IF('Sources and Basis Breakdown'!F107=0,'Sources and Basis Breakdown'!E107,'Sources and Basis Breakdown'!F107)</f>
        <v>128087373</v>
      </c>
      <c r="U11" s="2526"/>
      <c r="V11" s="2526"/>
      <c r="W11" s="2526"/>
      <c r="X11" s="2526"/>
      <c r="Y11" s="2525">
        <f>IF(Y7=" ",0,IF('Sources and Basis Breakdown'!G107+'Sources and Basis Breakdown'!F107='Sources and Basis Breakdown'!E107,'Sources and Basis Breakdown'!G107,0))</f>
        <v>0</v>
      </c>
      <c r="Z11" s="2526"/>
      <c r="AA11" s="2526"/>
      <c r="AB11" s="2526"/>
      <c r="AC11" s="2526"/>
      <c r="AD11" s="2526">
        <f>IF('Sources and Basis Breakdown'!I107=0,'Sources and Basis Breakdown'!H107,'Sources and Basis Breakdown'!I107)</f>
        <v>0</v>
      </c>
      <c r="AE11" s="2526"/>
      <c r="AF11" s="2526"/>
      <c r="AG11" s="2526"/>
      <c r="AH11" s="2526"/>
      <c r="AI11" s="2526">
        <f>IF(Y7=" ",0,IF('Sources and Basis Breakdown'!I107+'Sources and Basis Breakdown'!J107='Sources and Basis Breakdown'!H107,'Sources and Basis Breakdown'!J107,0))</f>
        <v>0</v>
      </c>
      <c r="AJ11" s="2526"/>
      <c r="AK11" s="2526"/>
      <c r="AL11" s="2526"/>
      <c r="AM11" s="2526"/>
    </row>
    <row r="12" spans="1:40" ht="13.25" customHeight="1">
      <c r="B12" s="2527" t="s">
        <v>507</v>
      </c>
      <c r="C12" s="1274"/>
      <c r="D12" s="1274"/>
      <c r="E12" s="1274"/>
      <c r="F12" s="1274"/>
      <c r="G12" s="1274"/>
      <c r="H12" s="1274"/>
      <c r="I12" s="1274"/>
      <c r="J12" s="1274"/>
      <c r="K12" s="1274"/>
      <c r="L12" s="1274"/>
      <c r="M12" s="1274"/>
      <c r="N12" s="1274"/>
      <c r="O12" s="1274"/>
      <c r="P12" s="1274"/>
      <c r="Q12" s="1274"/>
      <c r="R12" s="1274"/>
      <c r="S12" s="2528"/>
      <c r="T12" s="2518"/>
      <c r="U12" s="2519"/>
      <c r="V12" s="2519"/>
      <c r="W12" s="2519"/>
      <c r="X12" s="2520"/>
      <c r="Y12" s="2518"/>
      <c r="Z12" s="2519"/>
      <c r="AA12" s="2519"/>
      <c r="AB12" s="2519"/>
      <c r="AC12" s="2520"/>
      <c r="AD12" s="2518"/>
      <c r="AE12" s="2519"/>
      <c r="AF12" s="2519"/>
      <c r="AG12" s="2519"/>
      <c r="AH12" s="2520"/>
      <c r="AI12" s="2518"/>
      <c r="AJ12" s="2519"/>
      <c r="AK12" s="2519"/>
      <c r="AL12" s="2519"/>
      <c r="AM12" s="2520"/>
    </row>
    <row r="13" spans="1:40" ht="13.25" customHeight="1">
      <c r="B13" s="459"/>
      <c r="C13" s="2529" t="s">
        <v>508</v>
      </c>
      <c r="D13" s="2529"/>
      <c r="E13" s="2529"/>
      <c r="F13" s="2529"/>
      <c r="G13" s="2529"/>
      <c r="H13" s="2529"/>
      <c r="I13" s="2529"/>
      <c r="J13" s="2529"/>
      <c r="K13" s="2529"/>
      <c r="L13" s="2529"/>
      <c r="M13" s="2529"/>
      <c r="N13" s="2529"/>
      <c r="O13" s="2529"/>
      <c r="P13" s="2529"/>
      <c r="Q13" s="2529"/>
      <c r="R13" s="2529"/>
      <c r="S13" s="2530"/>
      <c r="T13" s="2521"/>
      <c r="U13" s="2522"/>
      <c r="V13" s="2522"/>
      <c r="W13" s="2522"/>
      <c r="X13" s="2522"/>
      <c r="Y13" s="2521"/>
      <c r="Z13" s="2522"/>
      <c r="AA13" s="2522"/>
      <c r="AB13" s="2522"/>
      <c r="AC13" s="2522"/>
      <c r="AD13" s="2522"/>
      <c r="AE13" s="2522"/>
      <c r="AF13" s="2522"/>
      <c r="AG13" s="2522"/>
      <c r="AH13" s="2522"/>
      <c r="AI13" s="2522"/>
      <c r="AJ13" s="2522"/>
      <c r="AK13" s="2522"/>
      <c r="AL13" s="2522"/>
      <c r="AM13" s="2522"/>
    </row>
    <row r="14" spans="1:40" ht="13.25" customHeight="1">
      <c r="B14" s="459"/>
      <c r="C14" s="2529" t="s">
        <v>509</v>
      </c>
      <c r="D14" s="2529"/>
      <c r="E14" s="2529"/>
      <c r="F14" s="2529"/>
      <c r="G14" s="2529"/>
      <c r="H14" s="2529"/>
      <c r="I14" s="2529"/>
      <c r="J14" s="2529"/>
      <c r="K14" s="2529"/>
      <c r="L14" s="2529"/>
      <c r="M14" s="2529"/>
      <c r="N14" s="2529"/>
      <c r="O14" s="2529"/>
      <c r="P14" s="2529"/>
      <c r="Q14" s="2529"/>
      <c r="R14" s="2529"/>
      <c r="S14" s="2530"/>
      <c r="T14" s="2511"/>
      <c r="U14" s="2512"/>
      <c r="V14" s="2512"/>
      <c r="W14" s="2512"/>
      <c r="X14" s="2512"/>
      <c r="Y14" s="2511"/>
      <c r="Z14" s="2512"/>
      <c r="AA14" s="2512"/>
      <c r="AB14" s="2512"/>
      <c r="AC14" s="2512"/>
      <c r="AD14" s="2512"/>
      <c r="AE14" s="2512"/>
      <c r="AF14" s="2512"/>
      <c r="AG14" s="2512"/>
      <c r="AH14" s="2512"/>
      <c r="AI14" s="2512"/>
      <c r="AJ14" s="2512"/>
      <c r="AK14" s="2512"/>
      <c r="AL14" s="2512"/>
      <c r="AM14" s="2512"/>
    </row>
    <row r="15" spans="1:40" ht="13.25" customHeight="1">
      <c r="B15" s="459"/>
      <c r="C15" s="2529" t="s">
        <v>510</v>
      </c>
      <c r="D15" s="2529"/>
      <c r="E15" s="2529"/>
      <c r="F15" s="2529"/>
      <c r="G15" s="2529"/>
      <c r="H15" s="2529"/>
      <c r="I15" s="2529"/>
      <c r="J15" s="2529"/>
      <c r="K15" s="2529"/>
      <c r="L15" s="2529"/>
      <c r="M15" s="2529"/>
      <c r="N15" s="2529"/>
      <c r="O15" s="2529"/>
      <c r="P15" s="2529"/>
      <c r="Q15" s="2529"/>
      <c r="R15" s="2529"/>
      <c r="S15" s="2530"/>
      <c r="T15" s="2511"/>
      <c r="U15" s="2512"/>
      <c r="V15" s="2512"/>
      <c r="W15" s="2512"/>
      <c r="X15" s="2512"/>
      <c r="Y15" s="2511"/>
      <c r="Z15" s="2512"/>
      <c r="AA15" s="2512"/>
      <c r="AB15" s="2512"/>
      <c r="AC15" s="2512"/>
      <c r="AD15" s="2512"/>
      <c r="AE15" s="2512"/>
      <c r="AF15" s="2512"/>
      <c r="AG15" s="2512"/>
      <c r="AH15" s="2512"/>
      <c r="AI15" s="2512"/>
      <c r="AJ15" s="2512"/>
      <c r="AK15" s="2512"/>
      <c r="AL15" s="2512"/>
      <c r="AM15" s="2512"/>
    </row>
    <row r="16" spans="1:40" ht="13.25" customHeight="1">
      <c r="B16" s="459"/>
      <c r="C16" s="2529" t="s">
        <v>831</v>
      </c>
      <c r="D16" s="2529"/>
      <c r="E16" s="2529"/>
      <c r="F16" s="2529"/>
      <c r="G16" s="2529"/>
      <c r="H16" s="2529"/>
      <c r="I16" s="2529"/>
      <c r="J16" s="2529"/>
      <c r="K16" s="2529"/>
      <c r="L16" s="2529"/>
      <c r="M16" s="2529"/>
      <c r="N16" s="2529"/>
      <c r="O16" s="2529"/>
      <c r="P16" s="2529"/>
      <c r="Q16" s="2529"/>
      <c r="R16" s="2529"/>
      <c r="S16" s="2530"/>
      <c r="T16" s="2511"/>
      <c r="U16" s="2512"/>
      <c r="V16" s="2512"/>
      <c r="W16" s="2512"/>
      <c r="X16" s="2512"/>
      <c r="Y16" s="2511"/>
      <c r="Z16" s="2512"/>
      <c r="AA16" s="2512"/>
      <c r="AB16" s="2512"/>
      <c r="AC16" s="2512"/>
      <c r="AD16" s="2512"/>
      <c r="AE16" s="2512"/>
      <c r="AF16" s="2512"/>
      <c r="AG16" s="2512"/>
      <c r="AH16" s="2512"/>
      <c r="AI16" s="2512"/>
      <c r="AJ16" s="2512"/>
      <c r="AK16" s="2512"/>
      <c r="AL16" s="2512"/>
      <c r="AM16" s="2512"/>
    </row>
    <row r="17" spans="1:40" ht="13.25" customHeight="1">
      <c r="B17" s="459"/>
      <c r="C17" s="2529" t="s">
        <v>511</v>
      </c>
      <c r="D17" s="2529"/>
      <c r="E17" s="2529"/>
      <c r="F17" s="2529"/>
      <c r="G17" s="2529"/>
      <c r="H17" s="2529"/>
      <c r="I17" s="2529"/>
      <c r="J17" s="2529"/>
      <c r="K17" s="2529"/>
      <c r="L17" s="2529"/>
      <c r="M17" s="2529"/>
      <c r="N17" s="2529"/>
      <c r="O17" s="2529"/>
      <c r="P17" s="2529"/>
      <c r="Q17" s="2529"/>
      <c r="R17" s="2529"/>
      <c r="S17" s="2530"/>
      <c r="T17" s="2511"/>
      <c r="U17" s="2512"/>
      <c r="V17" s="2512"/>
      <c r="W17" s="2512"/>
      <c r="X17" s="2512"/>
      <c r="Y17" s="2511"/>
      <c r="Z17" s="2512"/>
      <c r="AA17" s="2512"/>
      <c r="AB17" s="2512"/>
      <c r="AC17" s="2512"/>
      <c r="AD17" s="2512"/>
      <c r="AE17" s="2512"/>
      <c r="AF17" s="2512"/>
      <c r="AG17" s="2512"/>
      <c r="AH17" s="2512"/>
      <c r="AI17" s="2512"/>
      <c r="AJ17" s="2512"/>
      <c r="AK17" s="2512"/>
      <c r="AL17" s="2512"/>
      <c r="AM17" s="2512"/>
    </row>
    <row r="18" spans="1:40" ht="13.25" customHeight="1">
      <c r="A18"/>
      <c r="B18" s="1185"/>
      <c r="C18" s="1687" t="s">
        <v>1001</v>
      </c>
      <c r="D18" s="1687"/>
      <c r="E18" s="1687"/>
      <c r="F18" s="1687"/>
      <c r="G18" s="1687"/>
      <c r="H18" s="1687"/>
      <c r="I18" s="1687"/>
      <c r="J18" s="1687"/>
      <c r="K18" s="1687"/>
      <c r="L18" s="1687"/>
      <c r="M18" s="1687"/>
      <c r="N18" s="1687"/>
      <c r="O18" s="1687"/>
      <c r="P18" s="1687"/>
      <c r="Q18" s="1687"/>
      <c r="R18" s="1687"/>
      <c r="S18" s="1688"/>
      <c r="T18" s="2511"/>
      <c r="U18" s="2512"/>
      <c r="V18" s="2512"/>
      <c r="W18" s="2512"/>
      <c r="X18" s="2512"/>
      <c r="Y18" s="2511"/>
      <c r="Z18" s="2512"/>
      <c r="AA18" s="2512"/>
      <c r="AB18" s="2512"/>
      <c r="AC18" s="2512"/>
      <c r="AD18" s="2512"/>
      <c r="AE18" s="2512"/>
      <c r="AF18" s="2512"/>
      <c r="AG18" s="2512"/>
      <c r="AH18" s="2512"/>
      <c r="AI18" s="2512"/>
      <c r="AJ18" s="2512"/>
      <c r="AK18" s="2512"/>
      <c r="AL18" s="2512"/>
      <c r="AM18" s="2512"/>
    </row>
    <row r="19" spans="1:40" ht="13.25" customHeight="1">
      <c r="B19" s="1185"/>
      <c r="C19" s="1687" t="s">
        <v>1001</v>
      </c>
      <c r="D19" s="1687"/>
      <c r="E19" s="1687"/>
      <c r="F19" s="1687"/>
      <c r="G19" s="1687"/>
      <c r="H19" s="1687"/>
      <c r="I19" s="1687"/>
      <c r="J19" s="1687"/>
      <c r="K19" s="1687"/>
      <c r="L19" s="1687"/>
      <c r="M19" s="1687"/>
      <c r="N19" s="1687"/>
      <c r="O19" s="1687"/>
      <c r="P19" s="1687"/>
      <c r="Q19" s="1687"/>
      <c r="R19" s="1687"/>
      <c r="S19" s="1688"/>
      <c r="T19" s="2511"/>
      <c r="U19" s="2512"/>
      <c r="V19" s="2512"/>
      <c r="W19" s="2512"/>
      <c r="X19" s="2512"/>
      <c r="Y19" s="2511"/>
      <c r="Z19" s="2512"/>
      <c r="AA19" s="2512"/>
      <c r="AB19" s="2512"/>
      <c r="AC19" s="2512"/>
      <c r="AD19" s="2512"/>
      <c r="AE19" s="2512"/>
      <c r="AF19" s="2512"/>
      <c r="AG19" s="2512"/>
      <c r="AH19" s="2512"/>
      <c r="AI19" s="2512"/>
      <c r="AJ19" s="2512"/>
      <c r="AK19" s="2512"/>
      <c r="AL19" s="2512"/>
      <c r="AM19" s="2512"/>
    </row>
    <row r="20" spans="1:40" ht="13.25" customHeight="1">
      <c r="B20" s="2486" t="s">
        <v>512</v>
      </c>
      <c r="C20" s="2487"/>
      <c r="D20" s="2487"/>
      <c r="E20" s="2487"/>
      <c r="F20" s="2487"/>
      <c r="G20" s="2487"/>
      <c r="H20" s="2487"/>
      <c r="I20" s="2487"/>
      <c r="J20" s="2487"/>
      <c r="K20" s="2487"/>
      <c r="L20" s="2487"/>
      <c r="M20" s="2487"/>
      <c r="N20" s="2487"/>
      <c r="O20" s="2487"/>
      <c r="P20" s="2487"/>
      <c r="Q20" s="2487"/>
      <c r="R20" s="2487"/>
      <c r="S20" s="2488"/>
      <c r="T20" s="2502">
        <f>SUM(T13:X19)</f>
        <v>0</v>
      </c>
      <c r="U20" s="2480"/>
      <c r="V20" s="2480"/>
      <c r="W20" s="2480"/>
      <c r="X20" s="2480"/>
      <c r="Y20" s="2502">
        <f>SUM(Y13:AC19)</f>
        <v>0</v>
      </c>
      <c r="Z20" s="2480"/>
      <c r="AA20" s="2480"/>
      <c r="AB20" s="2480"/>
      <c r="AC20" s="2480"/>
      <c r="AD20" s="2490">
        <f>SUM(AD13:AH19)</f>
        <v>0</v>
      </c>
      <c r="AE20" s="2501"/>
      <c r="AF20" s="2501"/>
      <c r="AG20" s="2501"/>
      <c r="AH20" s="2502"/>
      <c r="AI20" s="2490">
        <f>SUM(AI13:AM19)</f>
        <v>0</v>
      </c>
      <c r="AJ20" s="2501"/>
      <c r="AK20" s="2501"/>
      <c r="AL20" s="2501"/>
      <c r="AM20" s="2502"/>
    </row>
    <row r="21" spans="1:40" ht="13.25" customHeight="1">
      <c r="B21" s="2486" t="s">
        <v>1421</v>
      </c>
      <c r="C21" s="2487"/>
      <c r="D21" s="2487"/>
      <c r="E21" s="2487"/>
      <c r="F21" s="2487"/>
      <c r="G21" s="2487"/>
      <c r="H21" s="2487"/>
      <c r="I21" s="2487"/>
      <c r="J21" s="2487"/>
      <c r="K21" s="2487"/>
      <c r="L21" s="2487"/>
      <c r="M21" s="2487"/>
      <c r="N21" s="2487"/>
      <c r="O21" s="2487"/>
      <c r="P21" s="2487"/>
      <c r="Q21" s="2487"/>
      <c r="R21" s="2487"/>
      <c r="S21" s="2488"/>
      <c r="T21" s="2511"/>
      <c r="U21" s="2512"/>
      <c r="V21" s="2512"/>
      <c r="W21" s="2512"/>
      <c r="X21" s="2512"/>
      <c r="Y21" s="2511"/>
      <c r="Z21" s="2512"/>
      <c r="AA21" s="2512"/>
      <c r="AB21" s="2512"/>
      <c r="AC21" s="2512"/>
      <c r="AD21" s="2518"/>
      <c r="AE21" s="2519"/>
      <c r="AF21" s="2519"/>
      <c r="AG21" s="2519"/>
      <c r="AH21" s="2520"/>
      <c r="AI21" s="2518"/>
      <c r="AJ21" s="2519"/>
      <c r="AK21" s="2519"/>
      <c r="AL21" s="2519"/>
      <c r="AM21" s="2520"/>
    </row>
    <row r="22" spans="1:40" ht="13.25" customHeight="1">
      <c r="B22" s="2486" t="s">
        <v>513</v>
      </c>
      <c r="C22" s="2487"/>
      <c r="D22" s="2487"/>
      <c r="E22" s="2487"/>
      <c r="F22" s="2487"/>
      <c r="G22" s="2487"/>
      <c r="H22" s="2487"/>
      <c r="I22" s="2487"/>
      <c r="J22" s="2487"/>
      <c r="K22" s="2487"/>
      <c r="L22" s="2487"/>
      <c r="M22" s="2487"/>
      <c r="N22" s="2487"/>
      <c r="O22" s="2487"/>
      <c r="P22" s="2487"/>
      <c r="Q22" s="2487"/>
      <c r="R22" s="2487"/>
      <c r="S22" s="2488"/>
      <c r="T22" s="2507">
        <f>(T20+T21)*-1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3.25" customHeight="1">
      <c r="B23" s="2486" t="s">
        <v>514</v>
      </c>
      <c r="C23" s="2487"/>
      <c r="D23" s="2487"/>
      <c r="E23" s="2487"/>
      <c r="F23" s="2487"/>
      <c r="G23" s="2487"/>
      <c r="H23" s="2487"/>
      <c r="I23" s="2487"/>
      <c r="J23" s="2487"/>
      <c r="K23" s="2487"/>
      <c r="L23" s="2487"/>
      <c r="M23" s="2487"/>
      <c r="N23" s="2487"/>
      <c r="O23" s="2487"/>
      <c r="P23" s="2487"/>
      <c r="Q23" s="2487"/>
      <c r="R23" s="2487"/>
      <c r="S23" s="2488"/>
      <c r="T23" s="2502">
        <f>T11+T22</f>
        <v>128087373</v>
      </c>
      <c r="U23" s="2480"/>
      <c r="V23" s="2480"/>
      <c r="W23" s="2480"/>
      <c r="X23" s="2480"/>
      <c r="Y23" s="2502">
        <f>Y11+Y22</f>
        <v>0</v>
      </c>
      <c r="Z23" s="2480"/>
      <c r="AA23" s="2480"/>
      <c r="AB23" s="2480"/>
      <c r="AC23" s="2480"/>
      <c r="AD23" s="2502">
        <f>AD11+AD22</f>
        <v>0</v>
      </c>
      <c r="AE23" s="2480"/>
      <c r="AF23" s="2480"/>
      <c r="AG23" s="2480"/>
      <c r="AH23" s="2480"/>
      <c r="AI23" s="2502">
        <f>AI11+AI22</f>
        <v>0</v>
      </c>
      <c r="AJ23" s="2480"/>
      <c r="AK23" s="2480"/>
      <c r="AL23" s="2480"/>
      <c r="AM23" s="2480"/>
    </row>
    <row r="24" spans="1:40" ht="13.25" customHeight="1">
      <c r="B24" s="2486" t="s">
        <v>1002</v>
      </c>
      <c r="C24" s="2487"/>
      <c r="D24" s="2487"/>
      <c r="E24" s="2487"/>
      <c r="F24" s="2487"/>
      <c r="G24" s="2487"/>
      <c r="H24" s="2487"/>
      <c r="I24" s="2487"/>
      <c r="J24" s="2487"/>
      <c r="K24" s="2487"/>
      <c r="L24" s="2487"/>
      <c r="M24" s="2487"/>
      <c r="N24" s="2487"/>
      <c r="O24" s="2487"/>
      <c r="P24" s="2487"/>
      <c r="Q24" s="2487"/>
      <c r="R24" s="2487"/>
      <c r="S24" s="2488"/>
      <c r="T24" s="2490">
        <f>Application!AJ1018</f>
        <v>256626452</v>
      </c>
      <c r="U24" s="2501"/>
      <c r="V24" s="2501"/>
      <c r="W24" s="2501"/>
      <c r="X24" s="2501"/>
      <c r="Y24" s="2501"/>
      <c r="Z24" s="2501"/>
      <c r="AA24" s="2501"/>
      <c r="AB24" s="2501"/>
      <c r="AC24" s="2501"/>
      <c r="AD24" s="2501"/>
      <c r="AE24" s="2501"/>
      <c r="AF24" s="2501"/>
      <c r="AG24" s="2501"/>
      <c r="AH24" s="2501"/>
      <c r="AI24" s="2501"/>
      <c r="AJ24" s="2501"/>
      <c r="AK24" s="2501"/>
      <c r="AL24" s="2501"/>
      <c r="AM24" s="2502"/>
    </row>
    <row r="25" spans="1:40" ht="13.25" customHeight="1">
      <c r="B25" s="2533" t="s">
        <v>1422</v>
      </c>
      <c r="C25" s="2534"/>
      <c r="D25" s="2534"/>
      <c r="E25" s="2534"/>
      <c r="F25" s="2534"/>
      <c r="G25" s="2534"/>
      <c r="H25" s="2534"/>
      <c r="I25" s="2534"/>
      <c r="J25" s="2534"/>
      <c r="K25" s="2534"/>
      <c r="L25" s="2534"/>
      <c r="M25" s="2534"/>
      <c r="N25" s="2534"/>
      <c r="O25" s="2534"/>
      <c r="P25" s="2534"/>
      <c r="Q25" s="2534"/>
      <c r="R25" s="2534"/>
      <c r="S25" s="2535"/>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25" customHeight="1">
      <c r="B26" s="2486" t="s">
        <v>515</v>
      </c>
      <c r="C26" s="2487"/>
      <c r="D26" s="2487"/>
      <c r="E26" s="2487"/>
      <c r="F26" s="2487"/>
      <c r="G26" s="2487"/>
      <c r="H26" s="2487"/>
      <c r="I26" s="2487"/>
      <c r="J26" s="2487"/>
      <c r="K26" s="2487"/>
      <c r="L26" s="2487"/>
      <c r="M26" s="2487"/>
      <c r="N26" s="2487"/>
      <c r="O26" s="2487"/>
      <c r="P26" s="2487"/>
      <c r="Q26" s="2487"/>
      <c r="R26" s="2487"/>
      <c r="S26" s="2488"/>
      <c r="T26" s="2502">
        <f>T23*T25</f>
        <v>166513584.90000001</v>
      </c>
      <c r="U26" s="2480"/>
      <c r="V26" s="2480"/>
      <c r="W26" s="2480"/>
      <c r="X26" s="2480"/>
      <c r="Y26" s="2502">
        <f>Y23*Y25</f>
        <v>0</v>
      </c>
      <c r="Z26" s="2480"/>
      <c r="AA26" s="2480"/>
      <c r="AB26" s="2480"/>
      <c r="AC26" s="2480"/>
      <c r="AD26" s="2502">
        <f>AD23*AD25</f>
        <v>0</v>
      </c>
      <c r="AE26" s="2480"/>
      <c r="AF26" s="2480"/>
      <c r="AG26" s="2480"/>
      <c r="AH26" s="2480"/>
      <c r="AI26" s="2502">
        <f>AI23*AI25</f>
        <v>0</v>
      </c>
      <c r="AJ26" s="2480"/>
      <c r="AK26" s="2480"/>
      <c r="AL26" s="2480"/>
      <c r="AM26" s="2480"/>
    </row>
    <row r="27" spans="1:40" ht="13.25" customHeight="1">
      <c r="A27" s="433"/>
      <c r="B27" s="2536" t="s">
        <v>428</v>
      </c>
      <c r="C27" s="2537"/>
      <c r="D27" s="2537"/>
      <c r="E27" s="2537"/>
      <c r="F27" s="2537"/>
      <c r="G27" s="2537"/>
      <c r="H27" s="2537"/>
      <c r="I27" s="2537"/>
      <c r="J27" s="2537"/>
      <c r="K27" s="2537"/>
      <c r="L27" s="2537"/>
      <c r="M27" s="2537"/>
      <c r="N27" s="2537"/>
      <c r="O27" s="2537"/>
      <c r="P27" s="2537"/>
      <c r="Q27" s="2537"/>
      <c r="R27" s="2537"/>
      <c r="S27" s="2538"/>
      <c r="T27" s="2513">
        <f>Application!$AG$444</f>
        <v>1</v>
      </c>
      <c r="U27" s="2514"/>
      <c r="V27" s="2514"/>
      <c r="W27" s="2514"/>
      <c r="X27" s="2514"/>
      <c r="Y27" s="2513">
        <f>Application!$AG$444</f>
        <v>1</v>
      </c>
      <c r="Z27" s="2514"/>
      <c r="AA27" s="2514"/>
      <c r="AB27" s="2514"/>
      <c r="AC27" s="2514"/>
      <c r="AD27" s="2513">
        <f>Application!$AG$444</f>
        <v>1</v>
      </c>
      <c r="AE27" s="2514"/>
      <c r="AF27" s="2514"/>
      <c r="AG27" s="2514"/>
      <c r="AH27" s="2514"/>
      <c r="AI27" s="2513">
        <f>Application!$AG$444</f>
        <v>1</v>
      </c>
      <c r="AJ27" s="2514"/>
      <c r="AK27" s="2514"/>
      <c r="AL27" s="2514"/>
      <c r="AM27" s="2514"/>
    </row>
    <row r="28" spans="1:40" ht="13.25" customHeight="1">
      <c r="A28" s="427"/>
      <c r="B28" s="2486" t="s">
        <v>516</v>
      </c>
      <c r="C28" s="2487"/>
      <c r="D28" s="2487"/>
      <c r="E28" s="2487"/>
      <c r="F28" s="2487"/>
      <c r="G28" s="2487"/>
      <c r="H28" s="2487"/>
      <c r="I28" s="2487"/>
      <c r="J28" s="2487"/>
      <c r="K28" s="2487"/>
      <c r="L28" s="2487"/>
      <c r="M28" s="2487"/>
      <c r="N28" s="2487"/>
      <c r="O28" s="2487"/>
      <c r="P28" s="2487"/>
      <c r="Q28" s="2487"/>
      <c r="R28" s="2487"/>
      <c r="S28" s="2488"/>
      <c r="T28" s="2502">
        <f>IF(ISERROR((T26*T27)),0,(T26*T27))</f>
        <v>166513584.90000001</v>
      </c>
      <c r="U28" s="2480"/>
      <c r="V28" s="2480"/>
      <c r="W28" s="2480"/>
      <c r="X28" s="2480"/>
      <c r="Y28" s="2502">
        <f>IF(ISERROR((Y26*Y27)),0,(Y26*Y27))</f>
        <v>0</v>
      </c>
      <c r="Z28" s="2480"/>
      <c r="AA28" s="2480"/>
      <c r="AB28" s="2480"/>
      <c r="AC28" s="2480"/>
      <c r="AD28" s="2502">
        <f>IF(ISERROR((AD26*AD27)),0,(AD26*AD27))</f>
        <v>0</v>
      </c>
      <c r="AE28" s="2480"/>
      <c r="AF28" s="2480"/>
      <c r="AG28" s="2480"/>
      <c r="AH28" s="2480"/>
      <c r="AI28" s="2502">
        <f>IF(ISERROR((AI26*AI27)),0,(AI26*AI27))</f>
        <v>0</v>
      </c>
      <c r="AJ28" s="2480"/>
      <c r="AK28" s="2480"/>
      <c r="AL28" s="2480"/>
      <c r="AM28" s="2480"/>
    </row>
    <row r="29" spans="1:40" ht="13.25" customHeight="1">
      <c r="B29" s="2486" t="s">
        <v>533</v>
      </c>
      <c r="C29" s="2487"/>
      <c r="D29" s="2487"/>
      <c r="E29" s="2487"/>
      <c r="F29" s="2487"/>
      <c r="G29" s="2487"/>
      <c r="H29" s="2487"/>
      <c r="I29" s="2487"/>
      <c r="J29" s="2487"/>
      <c r="K29" s="2487"/>
      <c r="L29" s="2487"/>
      <c r="M29" s="2487"/>
      <c r="N29" s="2487"/>
      <c r="O29" s="2487"/>
      <c r="P29" s="2487"/>
      <c r="Q29" s="2487"/>
      <c r="R29" s="2487"/>
      <c r="S29" s="2488"/>
      <c r="T29" s="2490">
        <f>T28+Y28+AD28+AI28</f>
        <v>166513584.90000001</v>
      </c>
      <c r="U29" s="2501"/>
      <c r="V29" s="2501"/>
      <c r="W29" s="2501"/>
      <c r="X29" s="2501"/>
      <c r="Y29" s="2501"/>
      <c r="Z29" s="2501"/>
      <c r="AA29" s="2501"/>
      <c r="AB29" s="2501"/>
      <c r="AC29" s="2501"/>
      <c r="AD29" s="2501"/>
      <c r="AE29" s="2501"/>
      <c r="AF29" s="2501"/>
      <c r="AG29" s="2501"/>
      <c r="AH29" s="2501"/>
      <c r="AI29" s="2501"/>
      <c r="AJ29" s="2501"/>
      <c r="AK29" s="2501"/>
      <c r="AL29" s="2501"/>
      <c r="AM29" s="2502"/>
    </row>
    <row r="30" spans="1:40" ht="13.25" customHeight="1">
      <c r="B30" s="2506" t="s">
        <v>1424</v>
      </c>
      <c r="C30" s="2506"/>
      <c r="D30" s="2506"/>
      <c r="E30" s="2506"/>
      <c r="F30" s="2506"/>
      <c r="G30" s="2506"/>
      <c r="H30" s="2506"/>
      <c r="I30" s="2506"/>
      <c r="J30" s="2506"/>
      <c r="K30" s="2506"/>
      <c r="L30" s="2506"/>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row>
    <row r="31" spans="1:40" ht="13.25" customHeight="1">
      <c r="B31" s="2506" t="s">
        <v>1423</v>
      </c>
      <c r="C31" s="2506"/>
      <c r="D31" s="2506"/>
      <c r="E31" s="2506"/>
      <c r="F31" s="2506"/>
      <c r="G31" s="2506"/>
      <c r="H31" s="2506"/>
      <c r="I31" s="2506"/>
      <c r="J31" s="2506"/>
      <c r="K31" s="2506"/>
      <c r="L31" s="2506"/>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544"/>
    </row>
    <row r="32" spans="1:40" ht="13.25" customHeight="1">
      <c r="B32" s="458"/>
      <c r="C32" s="537" t="s">
        <v>389</v>
      </c>
      <c r="D32" s="458"/>
      <c r="E32" s="458"/>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row>
    <row r="34" spans="1:76" ht="13.25" customHeight="1">
      <c r="A34" s="427" t="s">
        <v>586</v>
      </c>
      <c r="C34" s="427" t="s">
        <v>578</v>
      </c>
    </row>
    <row r="35" spans="1:76" ht="13.25" customHeight="1">
      <c r="B35" s="428"/>
      <c r="C35" s="429"/>
      <c r="D35" s="429"/>
      <c r="E35" s="429"/>
      <c r="F35" s="429"/>
      <c r="G35" s="429"/>
      <c r="H35" s="429"/>
      <c r="I35" s="429"/>
      <c r="J35" s="429"/>
      <c r="K35" s="429"/>
      <c r="L35" s="429"/>
      <c r="M35" s="429"/>
      <c r="N35" s="429"/>
      <c r="O35" s="429"/>
      <c r="P35" s="429"/>
      <c r="Q35" s="429"/>
      <c r="R35" s="429"/>
      <c r="S35" s="429"/>
      <c r="T35" s="429"/>
      <c r="U35" s="429"/>
      <c r="V35" s="429"/>
      <c r="W35" s="429"/>
      <c r="X35" s="434"/>
      <c r="Y35" s="2503" t="s">
        <v>1293</v>
      </c>
      <c r="Z35" s="2503"/>
      <c r="AA35" s="2503"/>
      <c r="AB35" s="2503"/>
      <c r="AC35" s="2503"/>
      <c r="AD35" s="2504" t="s">
        <v>371</v>
      </c>
      <c r="AE35" s="2504"/>
      <c r="AF35" s="2504"/>
      <c r="AG35" s="2504"/>
      <c r="AH35" s="2504"/>
    </row>
    <row r="36" spans="1:76" ht="13.25" customHeight="1">
      <c r="B36" s="430"/>
      <c r="X36" s="435"/>
      <c r="Y36" s="2503"/>
      <c r="Z36" s="2503"/>
      <c r="AA36" s="2503"/>
      <c r="AB36" s="2503"/>
      <c r="AC36" s="2503"/>
      <c r="AD36" s="2504"/>
      <c r="AE36" s="2504"/>
      <c r="AF36" s="2504"/>
      <c r="AG36" s="2504"/>
      <c r="AH36" s="2504"/>
    </row>
    <row r="37" spans="1:76" ht="13.25" customHeight="1">
      <c r="B37" s="431"/>
      <c r="C37" s="432"/>
      <c r="D37" s="432"/>
      <c r="E37" s="432"/>
      <c r="F37" s="432"/>
      <c r="G37" s="432"/>
      <c r="H37" s="432"/>
      <c r="I37" s="432"/>
      <c r="J37" s="432"/>
      <c r="K37" s="432"/>
      <c r="L37" s="432"/>
      <c r="M37" s="432"/>
      <c r="N37" s="432"/>
      <c r="O37" s="432"/>
      <c r="P37" s="432"/>
      <c r="Q37" s="432"/>
      <c r="R37" s="432"/>
      <c r="S37" s="432"/>
      <c r="T37" s="432"/>
      <c r="U37" s="432"/>
      <c r="V37" s="432"/>
      <c r="W37" s="432"/>
      <c r="X37" s="436"/>
      <c r="Y37" s="2503"/>
      <c r="Z37" s="2503"/>
      <c r="AA37" s="2503"/>
      <c r="AB37" s="2503"/>
      <c r="AC37" s="2503"/>
      <c r="AD37" s="2504"/>
      <c r="AE37" s="2504"/>
      <c r="AF37" s="2504"/>
      <c r="AG37" s="2504"/>
      <c r="AH37" s="2504"/>
    </row>
    <row r="38" spans="1:76" ht="13.25" customHeight="1">
      <c r="A38" s="427"/>
      <c r="B38" s="2486" t="s">
        <v>516</v>
      </c>
      <c r="C38" s="2487"/>
      <c r="D38" s="2487"/>
      <c r="E38" s="2487"/>
      <c r="F38" s="2487"/>
      <c r="G38" s="2487"/>
      <c r="H38" s="2487"/>
      <c r="I38" s="2487"/>
      <c r="J38" s="2487"/>
      <c r="K38" s="2487"/>
      <c r="L38" s="2487"/>
      <c r="M38" s="2487"/>
      <c r="N38" s="2487"/>
      <c r="O38" s="2487"/>
      <c r="P38" s="2487"/>
      <c r="Q38" s="2487"/>
      <c r="R38" s="2487"/>
      <c r="S38" s="2487"/>
      <c r="T38" s="2487"/>
      <c r="U38" s="2487"/>
      <c r="V38" s="2487"/>
      <c r="W38" s="2487"/>
      <c r="X38" s="2488"/>
      <c r="Y38" s="2480">
        <f>IF(T24&gt;=(T23+Y23+AD23+AI23),T28+Y28,0)</f>
        <v>166513584.90000001</v>
      </c>
      <c r="Z38" s="2480"/>
      <c r="AA38" s="2480"/>
      <c r="AB38" s="2480"/>
      <c r="AC38" s="2480"/>
      <c r="AD38" s="2480">
        <f>IF(T24&gt;=(T23+Y23+AD23+AI23),AD28+AI28,0)</f>
        <v>0</v>
      </c>
      <c r="AE38" s="2480"/>
      <c r="AF38" s="2480"/>
      <c r="AG38" s="2480"/>
      <c r="AH38" s="2480"/>
    </row>
    <row r="39" spans="1:76" ht="13.25" customHeight="1">
      <c r="B39" s="2486" t="s">
        <v>1952</v>
      </c>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8"/>
      <c r="Y39" s="2505">
        <v>0.04</v>
      </c>
      <c r="Z39" s="2505"/>
      <c r="AA39" s="2505"/>
      <c r="AB39" s="2505"/>
      <c r="AC39" s="2505"/>
      <c r="AD39" s="2505">
        <v>0.04</v>
      </c>
      <c r="AE39" s="2505"/>
      <c r="AF39" s="2505"/>
      <c r="AG39" s="2505"/>
      <c r="AH39" s="2505"/>
    </row>
    <row r="40" spans="1:76" ht="13.25" customHeight="1">
      <c r="A40" s="427"/>
      <c r="B40" s="2486" t="s">
        <v>652</v>
      </c>
      <c r="C40" s="2487"/>
      <c r="D40" s="2487"/>
      <c r="E40" s="2487"/>
      <c r="F40" s="2487"/>
      <c r="G40" s="2487"/>
      <c r="H40" s="2487"/>
      <c r="I40" s="2487"/>
      <c r="J40" s="2487"/>
      <c r="K40" s="2487"/>
      <c r="L40" s="2487"/>
      <c r="M40" s="2487"/>
      <c r="N40" s="2487"/>
      <c r="O40" s="2487"/>
      <c r="P40" s="2487"/>
      <c r="Q40" s="2487"/>
      <c r="R40" s="2487"/>
      <c r="S40" s="2487"/>
      <c r="T40" s="2487"/>
      <c r="U40" s="2487"/>
      <c r="V40" s="2487"/>
      <c r="W40" s="2487"/>
      <c r="X40" s="2488"/>
      <c r="Y40" s="2480">
        <f>ROUND(Y38*Y39,0)</f>
        <v>6660543</v>
      </c>
      <c r="Z40" s="2480"/>
      <c r="AA40" s="2480"/>
      <c r="AB40" s="2480"/>
      <c r="AC40" s="2480"/>
      <c r="AD40" s="2502">
        <f>ROUND(AD38*AD39,0)</f>
        <v>0</v>
      </c>
      <c r="AE40" s="2480"/>
      <c r="AF40" s="2480"/>
      <c r="AG40" s="2480"/>
      <c r="AH40" s="2480"/>
    </row>
    <row r="41" spans="1:76" ht="13.25" customHeight="1">
      <c r="B41" s="2486" t="s">
        <v>653</v>
      </c>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8"/>
      <c r="Y41" s="2490">
        <f>Y40+AD40</f>
        <v>6660543</v>
      </c>
      <c r="Z41" s="2501"/>
      <c r="AA41" s="2501"/>
      <c r="AB41" s="2501"/>
      <c r="AC41" s="2501"/>
      <c r="AD41" s="2501"/>
      <c r="AE41" s="2501"/>
      <c r="AF41" s="2501"/>
      <c r="AG41" s="2501"/>
      <c r="AH41" s="2502"/>
    </row>
    <row r="42" spans="1:76" ht="13.25" customHeight="1">
      <c r="A42" s="427"/>
      <c r="B42" s="958"/>
      <c r="C42" s="958"/>
      <c r="D42" s="958"/>
      <c r="E42" s="958"/>
      <c r="F42" s="958"/>
      <c r="G42" s="958"/>
      <c r="H42" s="958"/>
      <c r="I42" s="958"/>
      <c r="J42" s="958"/>
      <c r="K42" s="958"/>
      <c r="L42" s="958"/>
      <c r="M42" s="958"/>
      <c r="N42" s="958"/>
      <c r="O42" s="958"/>
      <c r="P42" s="958"/>
      <c r="Q42" s="958"/>
      <c r="R42" s="958"/>
      <c r="S42" s="958"/>
      <c r="T42" s="958"/>
      <c r="U42" s="958"/>
      <c r="V42" s="958"/>
      <c r="W42" s="958"/>
      <c r="X42" s="958"/>
      <c r="Y42" s="958"/>
      <c r="Z42" s="958"/>
      <c r="AA42" s="958"/>
      <c r="AB42" s="958"/>
      <c r="AC42" s="958"/>
      <c r="AD42" s="958"/>
      <c r="AE42" s="958"/>
      <c r="AF42" s="958"/>
      <c r="AG42" s="958"/>
      <c r="AH42" s="958"/>
    </row>
    <row r="43" spans="1:76" ht="13.25" customHeight="1">
      <c r="B43" s="437"/>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7"/>
    </row>
    <row r="44" spans="1:76" s="217" customFormat="1" ht="13.25" customHeight="1" thickBot="1">
      <c r="A44" s="2500" t="s">
        <v>1435</v>
      </c>
      <c r="B44" s="2500"/>
      <c r="C44" s="2500"/>
      <c r="D44" s="2500"/>
      <c r="E44" s="2500"/>
      <c r="F44" s="2500"/>
      <c r="G44" s="2500"/>
      <c r="H44" s="2500"/>
      <c r="I44" s="2500"/>
      <c r="J44" s="2500"/>
      <c r="K44" s="2500"/>
      <c r="L44" s="2500"/>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c r="AS44" s="2500"/>
      <c r="AT44" s="2500"/>
      <c r="AU44" s="2500"/>
      <c r="AV44" s="2500"/>
      <c r="AW44" s="2500"/>
      <c r="AX44" s="2500"/>
      <c r="AY44" s="2500"/>
      <c r="AZ44" s="2500"/>
      <c r="BA44" s="2500"/>
      <c r="BB44" s="2500"/>
      <c r="BC44" s="2500"/>
      <c r="BD44" s="2500"/>
      <c r="BE44" s="2500"/>
      <c r="BF44" s="2500"/>
      <c r="BG44" s="2500"/>
      <c r="BH44" s="2500"/>
      <c r="BI44" s="2500"/>
      <c r="BJ44" s="2500"/>
      <c r="BK44" s="2500"/>
      <c r="BL44" s="2500"/>
      <c r="BM44" s="2500"/>
      <c r="BN44" s="2500"/>
      <c r="BO44" s="2500"/>
      <c r="BP44" s="2500"/>
      <c r="BQ44" s="2500"/>
      <c r="BR44" s="2500"/>
      <c r="BS44" s="2500"/>
      <c r="BT44" s="2500"/>
      <c r="BU44" s="2500"/>
      <c r="BV44" s="2500"/>
      <c r="BW44" s="2500"/>
      <c r="BX44" s="2500"/>
    </row>
    <row r="45" spans="1:76" s="217" customFormat="1" ht="13.25" customHeight="1" thickTop="1"/>
    <row r="46" spans="1:76" ht="13.25" customHeight="1">
      <c r="A46" s="427" t="s">
        <v>596</v>
      </c>
      <c r="C46" s="427" t="s">
        <v>284</v>
      </c>
    </row>
    <row r="47" spans="1:76" ht="13.25" customHeight="1">
      <c r="D47" s="427" t="s">
        <v>285</v>
      </c>
      <c r="AB47" s="2494">
        <f>'Sources and Uses Budget'!B105-MAX(IF('Sources and Uses Budget'!B15="",0,'Sources and Uses Budget'!B15),IF(Application!AG393="",0,Application!AG393))</f>
        <v>140549066</v>
      </c>
      <c r="AC47" s="2495"/>
      <c r="AD47" s="2495"/>
      <c r="AE47" s="2495"/>
      <c r="AF47" s="2496"/>
    </row>
    <row r="48" spans="1:76" ht="13.25" customHeight="1">
      <c r="D48" s="427" t="s">
        <v>21</v>
      </c>
      <c r="AB48" s="2494">
        <f>Application!AO635-MAX(IF('Sources and Uses Budget'!B15="",0,'Sources and Uses Budget'!B15),IF(Application!AG393="",0,Application!AG393))</f>
        <v>76802244</v>
      </c>
      <c r="AC48" s="2495"/>
      <c r="AD48" s="2495"/>
      <c r="AE48" s="2495"/>
      <c r="AF48" s="2496"/>
    </row>
    <row r="49" spans="1:76" ht="13.25" customHeight="1">
      <c r="D49" s="427" t="s">
        <v>92</v>
      </c>
      <c r="AB49" s="2494">
        <f>AB47-AB48</f>
        <v>63746822</v>
      </c>
      <c r="AC49" s="2495"/>
      <c r="AD49" s="2495"/>
      <c r="AE49" s="2495"/>
      <c r="AF49" s="2496"/>
    </row>
    <row r="50" spans="1:76" ht="13.25" customHeight="1">
      <c r="D50" s="427" t="s">
        <v>691</v>
      </c>
      <c r="AA50" s="438"/>
      <c r="AB50" s="2482">
        <f>AB49/(Y41*10)</f>
        <v>0.95708145717248583</v>
      </c>
      <c r="AC50" s="2483"/>
      <c r="AD50" s="2483"/>
      <c r="AE50" s="2483"/>
      <c r="AF50" s="2484"/>
    </row>
    <row r="51" spans="1:76" s="440" customFormat="1" ht="13.25" customHeight="1">
      <c r="A51" s="425"/>
      <c r="B51" s="425"/>
      <c r="C51" s="425"/>
      <c r="D51" s="425"/>
      <c r="E51" s="2493" t="s">
        <v>2113</v>
      </c>
      <c r="F51" s="2493"/>
      <c r="G51" s="2493"/>
      <c r="H51" s="2493"/>
      <c r="I51" s="2493"/>
      <c r="J51" s="2493"/>
      <c r="K51" s="2493"/>
      <c r="L51" s="2493"/>
      <c r="M51" s="2493"/>
      <c r="N51" s="2493"/>
      <c r="O51" s="2493"/>
      <c r="P51" s="2493"/>
      <c r="Q51" s="2493"/>
      <c r="R51" s="2493"/>
      <c r="S51" s="2493"/>
      <c r="T51" s="2493"/>
      <c r="U51" s="2493"/>
      <c r="V51" s="2493"/>
      <c r="W51" s="2493"/>
      <c r="X51" s="2493"/>
      <c r="Y51" s="2493"/>
      <c r="Z51" s="2493"/>
      <c r="AA51" s="439"/>
      <c r="AB51" s="439"/>
      <c r="AC51" s="439"/>
      <c r="AD51" s="439"/>
      <c r="AE51" s="439"/>
      <c r="AF51" s="439"/>
      <c r="AG51" s="425"/>
      <c r="AH51" s="425"/>
      <c r="AI51" s="425"/>
      <c r="AJ51" s="425"/>
      <c r="AK51" s="425"/>
      <c r="AL51" s="425"/>
      <c r="AM51" s="425"/>
      <c r="AN51" s="425"/>
    </row>
    <row r="52" spans="1:76" s="440" customFormat="1" ht="13.25" customHeight="1">
      <c r="A52" s="425"/>
      <c r="B52" s="425"/>
      <c r="C52" s="425"/>
      <c r="D52" s="425"/>
      <c r="E52" s="2493"/>
      <c r="F52" s="2493"/>
      <c r="G52" s="2493"/>
      <c r="H52" s="2493"/>
      <c r="I52" s="2493"/>
      <c r="J52" s="2493"/>
      <c r="K52" s="2493"/>
      <c r="L52" s="2493"/>
      <c r="M52" s="2493"/>
      <c r="N52" s="2493"/>
      <c r="O52" s="2493"/>
      <c r="P52" s="2493"/>
      <c r="Q52" s="2493"/>
      <c r="R52" s="2493"/>
      <c r="S52" s="2493"/>
      <c r="T52" s="2493"/>
      <c r="U52" s="2493"/>
      <c r="V52" s="2493"/>
      <c r="W52" s="2493"/>
      <c r="X52" s="2493"/>
      <c r="Y52" s="2493"/>
      <c r="Z52" s="2493"/>
      <c r="AA52" s="441"/>
      <c r="AB52" s="441"/>
      <c r="AC52" s="441"/>
      <c r="AD52" s="441"/>
      <c r="AE52" s="441"/>
      <c r="AF52" s="441"/>
      <c r="AG52" s="442"/>
      <c r="AH52" s="425"/>
      <c r="AI52" s="425"/>
      <c r="AJ52" s="425"/>
      <c r="AK52" s="425"/>
      <c r="AL52" s="425"/>
      <c r="AM52" s="425"/>
      <c r="AN52" s="425"/>
    </row>
    <row r="53" spans="1:76" ht="13.25" customHeight="1">
      <c r="E53" s="439"/>
      <c r="F53" s="439"/>
      <c r="G53" s="439"/>
      <c r="H53" s="439"/>
      <c r="I53" s="439"/>
      <c r="J53" s="439"/>
      <c r="K53" s="439"/>
      <c r="L53" s="439"/>
      <c r="M53" s="439"/>
      <c r="N53" s="439"/>
      <c r="O53" s="439"/>
      <c r="P53" s="439"/>
      <c r="Q53" s="439"/>
      <c r="R53" s="439"/>
      <c r="S53" s="439"/>
      <c r="T53" s="439"/>
      <c r="U53" s="439"/>
      <c r="V53" s="439"/>
      <c r="W53" s="439"/>
      <c r="X53" s="439"/>
      <c r="Y53" s="439"/>
      <c r="Z53" s="439"/>
    </row>
    <row r="54" spans="1:76" ht="13.25" customHeight="1">
      <c r="D54" s="427" t="s">
        <v>334</v>
      </c>
      <c r="AB54" s="2494">
        <f>ROUND(IF(ISERROR((AB49/AB50)),0,(AB49/AB50)),0)</f>
        <v>66605430</v>
      </c>
      <c r="AC54" s="2495"/>
      <c r="AD54" s="2495"/>
      <c r="AE54" s="2495"/>
      <c r="AF54" s="2496"/>
    </row>
    <row r="55" spans="1:76" ht="13.25" customHeight="1">
      <c r="D55" s="427" t="s">
        <v>335</v>
      </c>
      <c r="AB55" s="2494">
        <f>(AB54/10)</f>
        <v>6660543</v>
      </c>
      <c r="AC55" s="2495"/>
      <c r="AD55" s="2495"/>
      <c r="AE55" s="2495"/>
      <c r="AF55" s="2496"/>
    </row>
    <row r="56" spans="1:76" ht="13.25" customHeight="1">
      <c r="D56" s="427" t="s">
        <v>769</v>
      </c>
      <c r="AB56" s="2497">
        <f>(IF((Y41&lt;AB55),Y41,AB55))</f>
        <v>6660543</v>
      </c>
      <c r="AC56" s="2498"/>
      <c r="AD56" s="2498"/>
      <c r="AE56" s="2498"/>
      <c r="AF56" s="2499"/>
    </row>
    <row r="57" spans="1:76" ht="13.25" customHeight="1">
      <c r="D57" s="427" t="s">
        <v>768</v>
      </c>
      <c r="AB57" s="2494">
        <f>ROUND((10*AB56*AB50),0)</f>
        <v>63746822</v>
      </c>
      <c r="AC57" s="2495"/>
      <c r="AD57" s="2495"/>
      <c r="AE57" s="2495"/>
      <c r="AF57" s="2496"/>
    </row>
    <row r="58" spans="1:76" ht="13.25" customHeight="1">
      <c r="D58" s="427"/>
      <c r="AB58" s="446"/>
      <c r="AC58" s="446"/>
      <c r="AD58" s="446"/>
      <c r="AE58" s="446"/>
      <c r="AF58" s="446"/>
    </row>
    <row r="59" spans="1:76" ht="13.25" customHeight="1">
      <c r="D59" s="427" t="s">
        <v>767</v>
      </c>
      <c r="AB59" s="2478">
        <f>AB49-AB57</f>
        <v>0</v>
      </c>
      <c r="AC59" s="2478"/>
      <c r="AD59" s="2478"/>
      <c r="AE59" s="2478"/>
      <c r="AF59" s="2478"/>
    </row>
    <row r="60" spans="1:76" ht="13.25" customHeight="1">
      <c r="D60" s="427"/>
      <c r="AB60" s="446"/>
      <c r="AC60" s="446"/>
      <c r="AD60" s="446"/>
      <c r="AE60" s="446"/>
      <c r="AF60" s="446"/>
    </row>
    <row r="61" spans="1:76" s="217" customFormat="1" ht="13.25" customHeight="1" thickBot="1">
      <c r="A61" s="2500" t="str">
        <f>IF(Application!AP204="yes","Farmworker State Credit", "State Credit" )</f>
        <v>State Credit</v>
      </c>
      <c r="B61" s="2500"/>
      <c r="C61" s="2500"/>
      <c r="D61" s="2500"/>
      <c r="E61" s="2500"/>
      <c r="F61" s="2500"/>
      <c r="G61" s="2500"/>
      <c r="H61" s="2500"/>
      <c r="I61" s="2500"/>
      <c r="J61" s="2500"/>
      <c r="K61" s="2500"/>
      <c r="L61" s="2500"/>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c r="AS61" s="2500"/>
      <c r="AT61" s="2500"/>
      <c r="AU61" s="2500"/>
      <c r="AV61" s="2500"/>
      <c r="AW61" s="2500"/>
      <c r="AX61" s="2500"/>
      <c r="AY61" s="2500"/>
      <c r="AZ61" s="2500"/>
      <c r="BA61" s="2500"/>
      <c r="BB61" s="2500"/>
      <c r="BC61" s="2500"/>
      <c r="BD61" s="2500"/>
      <c r="BE61" s="2500"/>
      <c r="BF61" s="2500"/>
      <c r="BG61" s="2500"/>
      <c r="BH61" s="2500"/>
      <c r="BI61" s="2500"/>
      <c r="BJ61" s="2500"/>
      <c r="BK61" s="2500"/>
      <c r="BL61" s="2500"/>
      <c r="BM61" s="2500"/>
      <c r="BN61" s="2500"/>
      <c r="BO61" s="2500"/>
      <c r="BP61" s="2500"/>
      <c r="BQ61" s="2500"/>
      <c r="BR61" s="2500"/>
      <c r="BS61" s="2500"/>
      <c r="BT61" s="2500"/>
      <c r="BU61" s="2500"/>
      <c r="BV61" s="2500"/>
      <c r="BW61" s="2500"/>
      <c r="BX61" s="2500"/>
    </row>
    <row r="62" spans="1:76" s="217" customFormat="1" ht="13.25" customHeight="1" thickTop="1"/>
    <row r="63" spans="1:76" ht="13.25" customHeight="1">
      <c r="A63" s="427" t="s">
        <v>599</v>
      </c>
      <c r="C63" s="218" t="s">
        <v>1405</v>
      </c>
      <c r="Y63" s="2489" t="s">
        <v>1024</v>
      </c>
      <c r="Z63" s="2489"/>
      <c r="AA63" s="2489"/>
      <c r="AB63" s="2489"/>
      <c r="AC63" s="2489"/>
      <c r="AD63" s="2489" t="s">
        <v>371</v>
      </c>
      <c r="AE63" s="2489"/>
      <c r="AF63" s="2489"/>
      <c r="AG63" s="2489"/>
      <c r="AH63" s="2489"/>
    </row>
    <row r="64" spans="1:76" ht="13.25" customHeight="1">
      <c r="C64" s="427"/>
      <c r="D64" s="400" t="s">
        <v>1406</v>
      </c>
      <c r="E64" s="443"/>
      <c r="F64" s="443"/>
      <c r="G64" s="443"/>
      <c r="H64" s="443"/>
      <c r="I64" s="443"/>
      <c r="J64" s="443"/>
      <c r="K64" s="443"/>
      <c r="L64" s="443"/>
      <c r="M64" s="443"/>
      <c r="N64" s="443"/>
      <c r="O64" s="443"/>
      <c r="P64" s="443"/>
      <c r="Q64" s="443"/>
      <c r="R64" s="443"/>
      <c r="S64" s="443"/>
      <c r="T64" s="443"/>
      <c r="U64" s="443"/>
      <c r="V64" s="443"/>
      <c r="W64" s="443"/>
      <c r="X64" s="443"/>
      <c r="Y64" s="2490">
        <f>IF(Application!Z204="(select)",0,((T23*T27)+Y28))</f>
        <v>128087373</v>
      </c>
      <c r="Z64" s="2491"/>
      <c r="AA64" s="2491"/>
      <c r="AB64" s="2491"/>
      <c r="AC64" s="2492"/>
      <c r="AD64" s="2490">
        <f>IF(AND(OR(Application!D210="At-Risk",Application!D210="At-Risk and Special Needs"),Application!M357="yes"),AD28+AI28,0)</f>
        <v>0</v>
      </c>
      <c r="AE64" s="2491"/>
      <c r="AF64" s="2491"/>
      <c r="AG64" s="2491"/>
      <c r="AH64" s="2492"/>
    </row>
    <row r="65" spans="1:36" ht="13.25" customHeight="1">
      <c r="C65" s="427"/>
      <c r="E65" s="1036" t="s">
        <v>2111</v>
      </c>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row>
    <row r="66" spans="1:36" ht="22.5" customHeight="1">
      <c r="C66" s="427"/>
      <c r="E66" s="1036" t="s">
        <v>2112</v>
      </c>
      <c r="F66" s="464"/>
      <c r="G66" s="464"/>
      <c r="H66" s="464"/>
      <c r="I66" s="464"/>
      <c r="J66" s="464"/>
      <c r="K66" s="464"/>
      <c r="L66" s="464"/>
      <c r="M66" s="464"/>
      <c r="N66" s="464"/>
      <c r="O66" s="464"/>
      <c r="P66" s="464"/>
      <c r="Q66" s="464"/>
      <c r="R66" s="464"/>
      <c r="S66" s="464"/>
      <c r="T66" s="464"/>
      <c r="U66" s="464"/>
      <c r="V66" s="464"/>
      <c r="W66" s="464"/>
      <c r="X66" s="464"/>
      <c r="Y66" s="464"/>
      <c r="Z66" s="464"/>
      <c r="AA66" s="464"/>
      <c r="AB66" s="464"/>
      <c r="AC66" s="464"/>
      <c r="AD66" s="464"/>
      <c r="AE66" s="464"/>
      <c r="AF66" s="464"/>
      <c r="AG66" s="464"/>
      <c r="AH66" s="464"/>
      <c r="AI66" s="464"/>
      <c r="AJ66" s="464"/>
    </row>
    <row r="67" spans="1:36" ht="13.25" customHeight="1">
      <c r="C67" s="427"/>
      <c r="D67" s="427" t="s">
        <v>272</v>
      </c>
      <c r="E67" s="444"/>
      <c r="F67" s="444"/>
      <c r="G67" s="444"/>
      <c r="H67" s="444"/>
      <c r="I67" s="444"/>
      <c r="J67" s="444"/>
      <c r="K67" s="444"/>
      <c r="L67" s="444"/>
      <c r="M67" s="444"/>
      <c r="N67" s="444"/>
      <c r="O67" s="444"/>
      <c r="P67" s="444"/>
      <c r="Q67" s="444"/>
      <c r="R67" s="444"/>
      <c r="S67" s="444"/>
      <c r="T67" s="444"/>
      <c r="U67" s="444"/>
      <c r="V67" s="444"/>
      <c r="W67" s="444"/>
      <c r="X67" s="444"/>
      <c r="Y67" s="2479">
        <f>IF(Application!AP204="yes",0.75,IF(Application!Z203="15% set-aside",0.13,IF(Application!Z203="15% set-aside with qualifying low value rehab",0.95,0.3)))</f>
        <v>0.3</v>
      </c>
      <c r="Z67" s="2479"/>
      <c r="AA67" s="2479"/>
      <c r="AB67" s="2479"/>
      <c r="AC67" s="2479"/>
      <c r="AD67" s="2479">
        <f>IF(Application!Z203="15% set-aside with qualifying low value rehab", 0.95,0.13)</f>
        <v>0.13</v>
      </c>
      <c r="AE67" s="2479"/>
      <c r="AF67" s="2479"/>
      <c r="AG67" s="2479"/>
      <c r="AH67" s="2479"/>
    </row>
    <row r="68" spans="1:36" ht="13.25" customHeight="1">
      <c r="C68" s="427"/>
      <c r="D68" s="218" t="s">
        <v>1407</v>
      </c>
      <c r="Y68" s="2480">
        <f>ROUND(Y64*Y67,0)</f>
        <v>38426212</v>
      </c>
      <c r="Z68" s="2481"/>
      <c r="AA68" s="2481"/>
      <c r="AB68" s="2481"/>
      <c r="AC68" s="2481"/>
      <c r="AD68" s="2480">
        <f>ROUND(AD64*AD67,0)</f>
        <v>0</v>
      </c>
      <c r="AE68" s="2481"/>
      <c r="AF68" s="2481"/>
      <c r="AG68" s="2481"/>
      <c r="AH68" s="2481"/>
    </row>
    <row r="69" spans="1:36" ht="13.25" customHeight="1">
      <c r="C69" s="427"/>
      <c r="E69" s="427"/>
      <c r="AB69" s="445"/>
      <c r="AC69" s="445"/>
      <c r="AD69" s="445"/>
      <c r="AE69" s="445"/>
      <c r="AF69" s="445"/>
    </row>
    <row r="70" spans="1:36" ht="13.25" customHeight="1">
      <c r="A70" s="427" t="s">
        <v>600</v>
      </c>
      <c r="C70" s="218" t="s">
        <v>286</v>
      </c>
    </row>
    <row r="71" spans="1:36" ht="13.25" customHeight="1">
      <c r="A71" s="427"/>
      <c r="C71" s="427"/>
      <c r="D71" s="218" t="s">
        <v>1408</v>
      </c>
      <c r="AB71" s="2482"/>
      <c r="AC71" s="2483"/>
      <c r="AD71" s="2483"/>
      <c r="AE71" s="2483"/>
      <c r="AF71" s="2484"/>
    </row>
    <row r="72" spans="1:36" ht="13.25" customHeight="1">
      <c r="A72" s="427"/>
      <c r="C72" s="427"/>
      <c r="D72" s="427"/>
      <c r="E72" s="2485" t="s">
        <v>1409</v>
      </c>
      <c r="F72" s="2485"/>
      <c r="G72" s="2485"/>
      <c r="H72" s="2485"/>
      <c r="I72" s="2485"/>
      <c r="J72" s="2485"/>
      <c r="K72" s="2485"/>
      <c r="L72" s="2485"/>
      <c r="M72" s="2485"/>
      <c r="N72" s="2485"/>
      <c r="O72" s="2485"/>
      <c r="P72" s="2485"/>
      <c r="Q72" s="2485"/>
      <c r="R72" s="2485"/>
      <c r="S72" s="2485"/>
      <c r="T72" s="2485"/>
      <c r="U72" s="2485"/>
      <c r="V72" s="2485"/>
      <c r="W72" s="2485"/>
      <c r="X72" s="2485"/>
      <c r="Y72" s="2485"/>
      <c r="Z72" s="2485"/>
      <c r="AA72" s="2485"/>
      <c r="AB72" s="463"/>
      <c r="AC72" s="463"/>
    </row>
    <row r="73" spans="1:36" ht="13.25" customHeight="1">
      <c r="A73" s="427"/>
      <c r="C73" s="427"/>
      <c r="D73" s="427"/>
      <c r="E73" s="2485"/>
      <c r="F73" s="2485"/>
      <c r="G73" s="2485"/>
      <c r="H73" s="2485"/>
      <c r="I73" s="2485"/>
      <c r="J73" s="2485"/>
      <c r="K73" s="2485"/>
      <c r="L73" s="2485"/>
      <c r="M73" s="2485"/>
      <c r="N73" s="2485"/>
      <c r="O73" s="2485"/>
      <c r="P73" s="2485"/>
      <c r="Q73" s="2485"/>
      <c r="R73" s="2485"/>
      <c r="S73" s="2485"/>
      <c r="T73" s="2485"/>
      <c r="U73" s="2485"/>
      <c r="V73" s="2485"/>
      <c r="W73" s="2485"/>
      <c r="X73" s="2485"/>
      <c r="Y73" s="2485"/>
      <c r="Z73" s="2485"/>
      <c r="AA73" s="2485"/>
      <c r="AB73" s="463"/>
      <c r="AC73" s="463"/>
    </row>
    <row r="74" spans="1:36" ht="13.25" customHeight="1">
      <c r="A74" s="427"/>
      <c r="C74" s="427"/>
      <c r="D74" s="427"/>
      <c r="E74" s="2485"/>
      <c r="F74" s="2485"/>
      <c r="G74" s="2485"/>
      <c r="H74" s="2485"/>
      <c r="I74" s="2485"/>
      <c r="J74" s="2485"/>
      <c r="K74" s="2485"/>
      <c r="L74" s="2485"/>
      <c r="M74" s="2485"/>
      <c r="N74" s="2485"/>
      <c r="O74" s="2485"/>
      <c r="P74" s="2485"/>
      <c r="Q74" s="2485"/>
      <c r="R74" s="2485"/>
      <c r="S74" s="2485"/>
      <c r="T74" s="2485"/>
      <c r="U74" s="2485"/>
      <c r="V74" s="2485"/>
      <c r="W74" s="2485"/>
      <c r="X74" s="2485"/>
      <c r="Y74" s="2485"/>
      <c r="Z74" s="2485"/>
      <c r="AA74" s="2485"/>
      <c r="AB74" s="463"/>
      <c r="AC74" s="463"/>
    </row>
    <row r="75" spans="1:36" ht="13.25" customHeight="1">
      <c r="A75" s="427"/>
      <c r="C75" s="427"/>
      <c r="D75" s="427"/>
      <c r="E75" s="447"/>
      <c r="F75" s="447"/>
      <c r="G75" s="447"/>
      <c r="H75" s="447"/>
      <c r="I75" s="447"/>
      <c r="J75" s="447"/>
      <c r="K75" s="447"/>
      <c r="L75" s="447"/>
      <c r="M75" s="447"/>
      <c r="N75" s="447"/>
      <c r="O75" s="447"/>
      <c r="P75" s="447"/>
      <c r="Q75" s="447"/>
      <c r="R75" s="447"/>
      <c r="S75" s="447"/>
      <c r="T75" s="447"/>
      <c r="U75" s="447"/>
      <c r="V75" s="447"/>
      <c r="W75" s="447"/>
      <c r="X75" s="447"/>
      <c r="Y75" s="447"/>
      <c r="Z75" s="447"/>
      <c r="AA75" s="383"/>
      <c r="AB75" s="383"/>
      <c r="AC75" s="383"/>
    </row>
    <row r="76" spans="1:36" ht="13.25" customHeight="1">
      <c r="C76" s="427"/>
      <c r="D76" s="218" t="s">
        <v>1410</v>
      </c>
      <c r="AB76" s="2473">
        <f>ROUND(IF(ISERROR((AB59/AB71)),0,(AB59/AB71)),0)</f>
        <v>0</v>
      </c>
      <c r="AC76" s="2473"/>
      <c r="AD76" s="2473"/>
      <c r="AE76" s="2473"/>
      <c r="AF76" s="2473"/>
    </row>
    <row r="77" spans="1:36" ht="13.25" customHeight="1">
      <c r="C77" s="427"/>
      <c r="D77" s="218" t="s">
        <v>1411</v>
      </c>
      <c r="AB77" s="2474">
        <f>IF((Y68+AD68&lt;AB76),Y68+AD68,AB76)</f>
        <v>0</v>
      </c>
      <c r="AC77" s="2475"/>
      <c r="AD77" s="2475"/>
      <c r="AE77" s="2475"/>
      <c r="AF77" s="2476"/>
    </row>
    <row r="78" spans="1:36" ht="13.25" customHeight="1">
      <c r="C78" s="427"/>
      <c r="D78" s="218" t="s">
        <v>1412</v>
      </c>
      <c r="AB78" s="2477">
        <f>AB77*AB71</f>
        <v>0</v>
      </c>
      <c r="AC78" s="2477"/>
      <c r="AD78" s="2477"/>
      <c r="AE78" s="2477"/>
      <c r="AF78" s="2477"/>
    </row>
    <row r="79" spans="1:36" ht="13.25" customHeight="1">
      <c r="C79" s="427"/>
      <c r="D79" s="427"/>
      <c r="AB79" s="448"/>
      <c r="AC79" s="448"/>
      <c r="AD79" s="448"/>
      <c r="AE79" s="448"/>
      <c r="AF79" s="448"/>
    </row>
    <row r="80" spans="1:36" ht="13.25" customHeight="1">
      <c r="D80" s="427" t="s">
        <v>767</v>
      </c>
      <c r="AB80" s="2478">
        <f>AB49-(AB57+AB78)</f>
        <v>0</v>
      </c>
      <c r="AC80" s="2478"/>
      <c r="AD80" s="2478"/>
      <c r="AE80" s="2478"/>
      <c r="AF80" s="2478"/>
    </row>
    <row r="81" spans="1:78" ht="13.25" customHeight="1">
      <c r="F81" s="548"/>
      <c r="J81" s="548" t="str">
        <f>IF(AB80&gt;0,"FUNDING GAP MUST NOT EXCEED ZERO","")</f>
        <v/>
      </c>
    </row>
    <row r="82" spans="1:78" ht="13.25" customHeight="1">
      <c r="D82" s="549"/>
    </row>
    <row r="83" spans="1:78" ht="13.25" customHeight="1" thickBot="1">
      <c r="A83" s="2500"/>
      <c r="B83" s="2500"/>
      <c r="C83" s="2500"/>
      <c r="D83" s="2500"/>
      <c r="E83" s="2500"/>
      <c r="F83" s="2500"/>
      <c r="G83" s="2500"/>
      <c r="H83" s="2500"/>
      <c r="I83" s="2500"/>
      <c r="J83" s="2500"/>
      <c r="K83" s="2500"/>
      <c r="L83" s="2500"/>
      <c r="M83" s="2500"/>
      <c r="N83" s="2500"/>
      <c r="O83" s="2500"/>
      <c r="P83" s="2500"/>
      <c r="Q83" s="2500"/>
      <c r="R83" s="2500"/>
      <c r="S83" s="2500"/>
      <c r="T83" s="2500"/>
      <c r="U83" s="2500"/>
      <c r="V83" s="2500"/>
      <c r="W83" s="2500"/>
      <c r="X83" s="2500"/>
      <c r="Y83" s="2500"/>
      <c r="Z83" s="2500"/>
      <c r="AA83" s="2500"/>
      <c r="AB83" s="2500"/>
      <c r="AC83" s="2500"/>
      <c r="AD83" s="2500"/>
      <c r="AE83" s="2500"/>
      <c r="AF83" s="2500"/>
      <c r="AG83" s="2500"/>
      <c r="AH83" s="2500"/>
      <c r="AI83" s="2500"/>
      <c r="AJ83" s="2500"/>
      <c r="AK83" s="2500"/>
      <c r="AL83" s="2500"/>
      <c r="AM83" s="2500"/>
      <c r="AN83" s="2500"/>
      <c r="AO83" s="2500"/>
      <c r="AP83" s="2500"/>
      <c r="AQ83" s="2500"/>
      <c r="AR83" s="2500"/>
      <c r="AS83" s="2500"/>
      <c r="AT83" s="2500"/>
      <c r="AU83" s="2500"/>
      <c r="AV83" s="2500"/>
      <c r="AW83" s="2500"/>
      <c r="AX83" s="2500"/>
      <c r="AY83" s="2500"/>
      <c r="AZ83" s="2500"/>
      <c r="BA83" s="2500"/>
      <c r="BB83" s="2500"/>
      <c r="BC83" s="2500"/>
      <c r="BD83" s="2500"/>
      <c r="BE83" s="2500"/>
      <c r="BF83" s="2500"/>
      <c r="BG83" s="2500"/>
      <c r="BH83" s="2500"/>
      <c r="BI83" s="2500"/>
      <c r="BJ83" s="2500"/>
      <c r="BK83" s="2500"/>
      <c r="BL83" s="2500"/>
      <c r="BM83" s="2500"/>
      <c r="BN83" s="2500"/>
      <c r="BO83" s="2500"/>
      <c r="BP83" s="2500"/>
      <c r="BQ83" s="2500"/>
      <c r="BR83" s="2500"/>
      <c r="BS83" s="2500"/>
      <c r="BT83" s="2500"/>
      <c r="BU83" s="2500"/>
      <c r="BV83" s="2500"/>
      <c r="BW83" s="2500"/>
      <c r="BX83" s="2500"/>
    </row>
    <row r="84" spans="1:78" ht="13.25" customHeight="1" thickTop="1"/>
    <row r="85" spans="1:78" ht="13.25" customHeight="1">
      <c r="A85" s="427"/>
      <c r="C85" s="218"/>
    </row>
    <row r="86" spans="1:78" ht="13.25" customHeight="1">
      <c r="D86" s="218"/>
      <c r="AB86" s="2532"/>
      <c r="AC86" s="2532"/>
      <c r="AD86" s="2532"/>
      <c r="AE86" s="2532"/>
      <c r="AF86" s="2532"/>
    </row>
    <row r="87" spans="1:78" ht="13.25" customHeight="1" thickBot="1">
      <c r="D87" s="218"/>
      <c r="AB87" s="2531"/>
      <c r="AC87" s="2531"/>
      <c r="AD87" s="2531"/>
      <c r="AE87" s="2531"/>
      <c r="AF87" s="2531"/>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row>
    <row r="88" spans="1:78" ht="13.2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150" zoomScaleNormal="150" zoomScaleSheetLayoutView="100" workbookViewId="0">
      <selection activeCell="D4" sqref="D4"/>
    </sheetView>
  </sheetViews>
  <sheetFormatPr defaultColWidth="0" defaultRowHeight="14" zeroHeight="1"/>
  <cols>
    <col min="1" max="2" width="15.6328125" style="318" customWidth="1"/>
    <col min="3" max="3" width="11" style="318" customWidth="1"/>
    <col min="4" max="4" width="15.6328125" style="318" customWidth="1"/>
    <col min="5" max="5" width="3.6328125" style="318" customWidth="1"/>
    <col min="6" max="7" width="15.6328125" style="318" customWidth="1"/>
    <col min="8" max="8" width="3.6328125" style="318" customWidth="1"/>
    <col min="9" max="10" width="15.6328125" style="318" customWidth="1"/>
    <col min="11" max="11" width="3.36328125" style="318" customWidth="1"/>
    <col min="12" max="17" width="15.6328125" style="318" hidden="1" customWidth="1"/>
    <col min="18" max="16384" width="9.08984375" style="318" hidden="1"/>
  </cols>
  <sheetData>
    <row r="1" spans="1:12">
      <c r="A1" s="2539" t="s">
        <v>943</v>
      </c>
      <c r="B1" s="2539"/>
      <c r="C1" s="2539"/>
      <c r="D1" s="2539"/>
      <c r="E1" s="2539"/>
      <c r="F1" s="2539"/>
      <c r="G1" s="2539"/>
      <c r="H1" s="2539"/>
      <c r="I1" s="2539"/>
      <c r="J1" s="2539"/>
      <c r="K1" s="217"/>
      <c r="L1" s="217"/>
    </row>
    <row r="2" spans="1:12">
      <c r="A2" s="224"/>
      <c r="B2" s="224"/>
      <c r="C2" s="224"/>
      <c r="D2" s="224"/>
      <c r="E2" s="224"/>
      <c r="F2" s="224"/>
      <c r="G2" s="224"/>
      <c r="H2" s="224"/>
      <c r="I2" s="224"/>
      <c r="J2" s="224"/>
    </row>
    <row r="3" spans="1:12" ht="84">
      <c r="A3" s="449" t="s">
        <v>944</v>
      </c>
      <c r="B3" s="449" t="s">
        <v>945</v>
      </c>
      <c r="C3" s="449" t="s">
        <v>2342</v>
      </c>
      <c r="D3" s="1181" t="s">
        <v>946</v>
      </c>
      <c r="E3" s="217"/>
      <c r="F3" s="1181" t="s">
        <v>947</v>
      </c>
      <c r="G3" s="449" t="s">
        <v>948</v>
      </c>
      <c r="H3" s="450"/>
      <c r="I3" s="449" t="s">
        <v>949</v>
      </c>
      <c r="J3" s="449" t="s">
        <v>950</v>
      </c>
      <c r="K3" s="217"/>
      <c r="L3" s="319"/>
    </row>
    <row r="4" spans="1:12">
      <c r="A4" s="451" t="str">
        <f>Application!B714</f>
        <v>SRO/Studio</v>
      </c>
      <c r="B4" s="1113">
        <v>2</v>
      </c>
      <c r="C4" s="1113" t="s">
        <v>387</v>
      </c>
      <c r="D4" s="451">
        <f>Application!O714</f>
        <v>850</v>
      </c>
      <c r="E4" s="452"/>
      <c r="F4" s="1114">
        <v>2067</v>
      </c>
      <c r="G4" s="451">
        <f>F4*B4</f>
        <v>4134</v>
      </c>
      <c r="H4" s="452"/>
      <c r="I4" s="451">
        <f>IF(F4=0," ",(F4-D4))</f>
        <v>1217</v>
      </c>
      <c r="J4" s="451">
        <f>IF(F4=0," ",(I4*B4))</f>
        <v>2434</v>
      </c>
      <c r="K4" s="217"/>
      <c r="L4" s="319"/>
    </row>
    <row r="5" spans="1:12">
      <c r="A5" s="451" t="str">
        <f>Application!B715</f>
        <v>1 Bedroom</v>
      </c>
      <c r="B5" s="1113">
        <v>2</v>
      </c>
      <c r="C5" s="1113" t="s">
        <v>387</v>
      </c>
      <c r="D5" s="451">
        <f>Application!O715</f>
        <v>907</v>
      </c>
      <c r="E5" s="452"/>
      <c r="F5" s="1114">
        <v>2574</v>
      </c>
      <c r="G5" s="451">
        <f t="shared" ref="G5:G28" si="0">F5*B5</f>
        <v>5148</v>
      </c>
      <c r="H5" s="452"/>
      <c r="I5" s="451">
        <f t="shared" ref="I5:I28" si="1">IF(F5=0," ",(F5-D5))</f>
        <v>1667</v>
      </c>
      <c r="J5" s="451">
        <f t="shared" ref="J5:J28" si="2">IF(F5=0," ",(I5*B5))</f>
        <v>3334</v>
      </c>
      <c r="K5" s="217"/>
      <c r="L5" s="319"/>
    </row>
    <row r="6" spans="1:12">
      <c r="A6" s="451" t="str">
        <f>Application!B716</f>
        <v>1 Bedroom</v>
      </c>
      <c r="B6" s="1112">
        <f>Application!G716</f>
        <v>2</v>
      </c>
      <c r="C6" s="1113"/>
      <c r="D6" s="451">
        <f>Application!O716</f>
        <v>907</v>
      </c>
      <c r="E6" s="452"/>
      <c r="F6" s="1114"/>
      <c r="G6" s="451">
        <f t="shared" si="0"/>
        <v>0</v>
      </c>
      <c r="H6" s="452"/>
      <c r="I6" s="451" t="str">
        <f t="shared" si="1"/>
        <v xml:space="preserve"> </v>
      </c>
      <c r="J6" s="451" t="str">
        <f t="shared" si="2"/>
        <v xml:space="preserve"> </v>
      </c>
      <c r="K6" s="217"/>
      <c r="L6" s="319"/>
    </row>
    <row r="7" spans="1:12">
      <c r="A7" s="451" t="str">
        <f>Application!B717</f>
        <v>2 Bedrooms</v>
      </c>
      <c r="B7" s="1112">
        <f>Application!G717</f>
        <v>19</v>
      </c>
      <c r="C7" s="1113"/>
      <c r="D7" s="451">
        <f>Application!O717</f>
        <v>1074</v>
      </c>
      <c r="E7" s="452"/>
      <c r="F7" s="1114"/>
      <c r="G7" s="451">
        <f t="shared" si="0"/>
        <v>0</v>
      </c>
      <c r="H7" s="452"/>
      <c r="I7" s="451" t="str">
        <f t="shared" si="1"/>
        <v xml:space="preserve"> </v>
      </c>
      <c r="J7" s="451" t="str">
        <f t="shared" si="2"/>
        <v xml:space="preserve"> </v>
      </c>
      <c r="K7" s="217"/>
      <c r="L7" s="319"/>
    </row>
    <row r="8" spans="1:12">
      <c r="A8" s="451" t="str">
        <f>Application!B718</f>
        <v>2 Bedrooms</v>
      </c>
      <c r="B8" s="1112">
        <f>Application!G718</f>
        <v>4</v>
      </c>
      <c r="C8" s="1113" t="s">
        <v>387</v>
      </c>
      <c r="D8" s="451">
        <f>Application!O718</f>
        <v>1074</v>
      </c>
      <c r="E8" s="452"/>
      <c r="F8" s="1114">
        <v>3179</v>
      </c>
      <c r="G8" s="451">
        <f t="shared" si="0"/>
        <v>12716</v>
      </c>
      <c r="H8" s="452"/>
      <c r="I8" s="451">
        <f t="shared" si="1"/>
        <v>2105</v>
      </c>
      <c r="J8" s="451">
        <f t="shared" si="2"/>
        <v>8420</v>
      </c>
      <c r="K8" s="217"/>
      <c r="L8" s="319"/>
    </row>
    <row r="9" spans="1:12">
      <c r="A9" s="451" t="str">
        <f>Application!B719</f>
        <v>3 Bedrooms</v>
      </c>
      <c r="B9" s="1112">
        <f>Application!G719</f>
        <v>7</v>
      </c>
      <c r="C9" s="1113"/>
      <c r="D9" s="451">
        <f>Application!O719</f>
        <v>1220</v>
      </c>
      <c r="E9" s="452"/>
      <c r="F9" s="1114"/>
      <c r="G9" s="451">
        <f t="shared" si="0"/>
        <v>0</v>
      </c>
      <c r="H9" s="452"/>
      <c r="I9" s="451" t="str">
        <f t="shared" si="1"/>
        <v xml:space="preserve"> </v>
      </c>
      <c r="J9" s="451" t="str">
        <f t="shared" si="2"/>
        <v xml:space="preserve"> </v>
      </c>
      <c r="K9" s="217"/>
      <c r="L9" s="319"/>
    </row>
    <row r="10" spans="1:12">
      <c r="A10" s="451" t="str">
        <f>Application!B720</f>
        <v>3 Bedrooms</v>
      </c>
      <c r="B10" s="1112">
        <f>Application!G720</f>
        <v>2</v>
      </c>
      <c r="C10" s="1113" t="s">
        <v>387</v>
      </c>
      <c r="D10" s="451">
        <f>Application!O720</f>
        <v>1220</v>
      </c>
      <c r="E10" s="452"/>
      <c r="F10" s="1114">
        <v>4170</v>
      </c>
      <c r="G10" s="451">
        <f t="shared" si="0"/>
        <v>8340</v>
      </c>
      <c r="H10" s="452"/>
      <c r="I10" s="451">
        <f t="shared" si="1"/>
        <v>2950</v>
      </c>
      <c r="J10" s="451">
        <f t="shared" si="2"/>
        <v>5900</v>
      </c>
      <c r="K10" s="217"/>
      <c r="L10" s="319"/>
    </row>
    <row r="11" spans="1:12">
      <c r="A11" s="451" t="str">
        <f>Application!B721</f>
        <v>4 Bedrooms</v>
      </c>
      <c r="B11" s="1112">
        <f>Application!G721</f>
        <v>1</v>
      </c>
      <c r="C11" s="1113"/>
      <c r="D11" s="451">
        <f>Application!O721</f>
        <v>1337</v>
      </c>
      <c r="E11" s="452"/>
      <c r="F11" s="1114"/>
      <c r="G11" s="451">
        <f t="shared" si="0"/>
        <v>0</v>
      </c>
      <c r="H11" s="452"/>
      <c r="I11" s="451" t="str">
        <f t="shared" si="1"/>
        <v xml:space="preserve"> </v>
      </c>
      <c r="J11" s="451" t="str">
        <f t="shared" si="2"/>
        <v xml:space="preserve"> </v>
      </c>
      <c r="K11" s="217"/>
      <c r="L11" s="319"/>
    </row>
    <row r="12" spans="1:12">
      <c r="A12" s="451" t="str">
        <f>Application!B722</f>
        <v>4 Bedrooms</v>
      </c>
      <c r="B12" s="1112">
        <f>Application!G722</f>
        <v>2</v>
      </c>
      <c r="C12" s="1113" t="s">
        <v>387</v>
      </c>
      <c r="D12" s="451">
        <f>Application!O722</f>
        <v>1337</v>
      </c>
      <c r="E12" s="452"/>
      <c r="F12" s="1114">
        <v>4379</v>
      </c>
      <c r="G12" s="451">
        <f t="shared" si="0"/>
        <v>8758</v>
      </c>
      <c r="H12" s="452"/>
      <c r="I12" s="451">
        <f t="shared" si="1"/>
        <v>3042</v>
      </c>
      <c r="J12" s="451">
        <f t="shared" si="2"/>
        <v>6084</v>
      </c>
      <c r="K12" s="217"/>
      <c r="L12" s="319"/>
    </row>
    <row r="13" spans="1:12">
      <c r="A13" s="451" t="str">
        <f>Application!B723</f>
        <v>SRO/Studio</v>
      </c>
      <c r="B13" s="1112">
        <f>Application!G723</f>
        <v>4</v>
      </c>
      <c r="C13" s="1113"/>
      <c r="D13" s="451">
        <f>Application!O723</f>
        <v>1177</v>
      </c>
      <c r="E13" s="452"/>
      <c r="F13" s="1114"/>
      <c r="G13" s="451">
        <f t="shared" si="0"/>
        <v>0</v>
      </c>
      <c r="H13" s="452"/>
      <c r="I13" s="451" t="str">
        <f t="shared" si="1"/>
        <v xml:space="preserve"> </v>
      </c>
      <c r="J13" s="451" t="str">
        <f t="shared" si="2"/>
        <v xml:space="preserve"> </v>
      </c>
      <c r="K13" s="217"/>
      <c r="L13" s="319"/>
    </row>
    <row r="14" spans="1:12">
      <c r="A14" s="451" t="str">
        <f>Application!B724</f>
        <v>1 Bedroom</v>
      </c>
      <c r="B14" s="1112">
        <f>Application!G724</f>
        <v>6</v>
      </c>
      <c r="C14" s="1113"/>
      <c r="D14" s="451">
        <f>Application!O724</f>
        <v>1257</v>
      </c>
      <c r="E14" s="452"/>
      <c r="F14" s="1114"/>
      <c r="G14" s="451">
        <f t="shared" si="0"/>
        <v>0</v>
      </c>
      <c r="H14" s="452"/>
      <c r="I14" s="451" t="str">
        <f t="shared" si="1"/>
        <v xml:space="preserve"> </v>
      </c>
      <c r="J14" s="451" t="str">
        <f t="shared" si="2"/>
        <v xml:space="preserve"> </v>
      </c>
      <c r="K14" s="217"/>
      <c r="L14" s="319"/>
    </row>
    <row r="15" spans="1:12">
      <c r="A15" s="451" t="str">
        <f>Application!B725</f>
        <v>2 Bedrooms</v>
      </c>
      <c r="B15" s="1112">
        <f>Application!G725</f>
        <v>5</v>
      </c>
      <c r="C15" s="1113"/>
      <c r="D15" s="451">
        <f>Application!O725</f>
        <v>1494</v>
      </c>
      <c r="E15" s="452"/>
      <c r="F15" s="1114"/>
      <c r="G15" s="451">
        <f t="shared" si="0"/>
        <v>0</v>
      </c>
      <c r="H15" s="452"/>
      <c r="I15" s="451" t="str">
        <f t="shared" si="1"/>
        <v xml:space="preserve"> </v>
      </c>
      <c r="J15" s="451" t="str">
        <f t="shared" si="2"/>
        <v xml:space="preserve"> </v>
      </c>
      <c r="K15" s="217"/>
      <c r="L15" s="319"/>
    </row>
    <row r="16" spans="1:12">
      <c r="A16" s="451" t="str">
        <f>Application!B726</f>
        <v>3 Bedrooms</v>
      </c>
      <c r="B16" s="1112">
        <f>Application!G726</f>
        <v>2</v>
      </c>
      <c r="C16" s="1113"/>
      <c r="D16" s="451">
        <f>Application!O726</f>
        <v>1705</v>
      </c>
      <c r="E16" s="452"/>
      <c r="F16" s="1114"/>
      <c r="G16" s="451">
        <f t="shared" si="0"/>
        <v>0</v>
      </c>
      <c r="H16" s="452"/>
      <c r="I16" s="451" t="str">
        <f t="shared" si="1"/>
        <v xml:space="preserve"> </v>
      </c>
      <c r="J16" s="451" t="str">
        <f t="shared" si="2"/>
        <v xml:space="preserve"> </v>
      </c>
      <c r="K16" s="217"/>
      <c r="L16" s="319"/>
    </row>
    <row r="17" spans="1:12">
      <c r="A17" s="451" t="str">
        <f>Application!B727</f>
        <v>1 Bedroom</v>
      </c>
      <c r="B17" s="1112">
        <f>Application!G727</f>
        <v>2</v>
      </c>
      <c r="C17" s="1113"/>
      <c r="D17" s="451">
        <f>Application!O727</f>
        <v>1607</v>
      </c>
      <c r="E17" s="452"/>
      <c r="F17" s="1114"/>
      <c r="G17" s="451">
        <f t="shared" si="0"/>
        <v>0</v>
      </c>
      <c r="H17" s="452"/>
      <c r="I17" s="451" t="str">
        <f t="shared" si="1"/>
        <v xml:space="preserve"> </v>
      </c>
      <c r="J17" s="451" t="str">
        <f t="shared" si="2"/>
        <v xml:space="preserve"> </v>
      </c>
      <c r="K17" s="217"/>
      <c r="L17" s="319"/>
    </row>
    <row r="18" spans="1:12">
      <c r="A18" s="451" t="str">
        <f>Application!B728</f>
        <v>1 Bedroom</v>
      </c>
      <c r="B18" s="1112">
        <f>Application!G728</f>
        <v>1</v>
      </c>
      <c r="C18" s="1113" t="s">
        <v>387</v>
      </c>
      <c r="D18" s="451">
        <f>Application!O728</f>
        <v>1607</v>
      </c>
      <c r="E18" s="452"/>
      <c r="F18" s="1114">
        <v>2574</v>
      </c>
      <c r="G18" s="451">
        <f t="shared" si="0"/>
        <v>2574</v>
      </c>
      <c r="H18" s="452"/>
      <c r="I18" s="451">
        <f t="shared" si="1"/>
        <v>967</v>
      </c>
      <c r="J18" s="451">
        <f t="shared" si="2"/>
        <v>967</v>
      </c>
      <c r="K18" s="217"/>
      <c r="L18" s="319"/>
    </row>
    <row r="19" spans="1:12">
      <c r="A19" s="451" t="str">
        <f>Application!B729</f>
        <v>2 Bedrooms</v>
      </c>
      <c r="B19" s="1112">
        <f>Application!G729</f>
        <v>21</v>
      </c>
      <c r="C19" s="1113"/>
      <c r="D19" s="451">
        <f>Application!O729</f>
        <v>1913</v>
      </c>
      <c r="E19" s="452"/>
      <c r="F19" s="1114"/>
      <c r="G19" s="451">
        <f t="shared" si="0"/>
        <v>0</v>
      </c>
      <c r="H19" s="452"/>
      <c r="I19" s="451" t="str">
        <f t="shared" si="1"/>
        <v xml:space="preserve"> </v>
      </c>
      <c r="J19" s="451" t="str">
        <f t="shared" si="2"/>
        <v xml:space="preserve"> </v>
      </c>
      <c r="K19" s="217"/>
      <c r="L19" s="319"/>
    </row>
    <row r="20" spans="1:12">
      <c r="A20" s="451" t="str">
        <f>Application!B730</f>
        <v>2 Bedrooms</v>
      </c>
      <c r="B20" s="1112">
        <f>Application!G730</f>
        <v>1</v>
      </c>
      <c r="C20" s="1113" t="s">
        <v>387</v>
      </c>
      <c r="D20" s="451">
        <f>Application!O730</f>
        <v>1913</v>
      </c>
      <c r="E20" s="452"/>
      <c r="F20" s="1114">
        <v>3179</v>
      </c>
      <c r="G20" s="451">
        <f t="shared" si="0"/>
        <v>3179</v>
      </c>
      <c r="H20" s="452"/>
      <c r="I20" s="451">
        <f t="shared" si="1"/>
        <v>1266</v>
      </c>
      <c r="J20" s="451">
        <f t="shared" si="2"/>
        <v>1266</v>
      </c>
      <c r="K20" s="217"/>
      <c r="L20" s="319"/>
    </row>
    <row r="21" spans="1:12">
      <c r="A21" s="451" t="str">
        <f>Application!B731</f>
        <v>3 Bedrooms</v>
      </c>
      <c r="B21" s="1112">
        <f>Application!G731</f>
        <v>3</v>
      </c>
      <c r="C21" s="1113"/>
      <c r="D21" s="451">
        <f>Application!O731</f>
        <v>2189</v>
      </c>
      <c r="E21" s="452"/>
      <c r="F21" s="1114"/>
      <c r="G21" s="451">
        <f t="shared" si="0"/>
        <v>0</v>
      </c>
      <c r="H21" s="452"/>
      <c r="I21" s="451" t="str">
        <f t="shared" si="1"/>
        <v xml:space="preserve"> </v>
      </c>
      <c r="J21" s="451" t="str">
        <f t="shared" si="2"/>
        <v xml:space="preserve"> </v>
      </c>
      <c r="K21" s="217"/>
      <c r="L21" s="319"/>
    </row>
    <row r="22" spans="1:12">
      <c r="A22" s="451" t="str">
        <f>Application!B732</f>
        <v>3 Bedrooms</v>
      </c>
      <c r="B22" s="1112">
        <f>Application!G732</f>
        <v>1</v>
      </c>
      <c r="C22" s="1113" t="s">
        <v>387</v>
      </c>
      <c r="D22" s="451">
        <f>Application!O732</f>
        <v>2189</v>
      </c>
      <c r="E22" s="452"/>
      <c r="F22" s="1114">
        <v>4170</v>
      </c>
      <c r="G22" s="451">
        <f t="shared" si="0"/>
        <v>4170</v>
      </c>
      <c r="H22" s="452"/>
      <c r="I22" s="451">
        <f t="shared" si="1"/>
        <v>1981</v>
      </c>
      <c r="J22" s="451">
        <f t="shared" si="2"/>
        <v>1981</v>
      </c>
      <c r="K22" s="217"/>
      <c r="L22" s="319"/>
    </row>
    <row r="23" spans="1:12">
      <c r="A23" s="451" t="str">
        <f>Application!B733</f>
        <v>4 Bedrooms</v>
      </c>
      <c r="B23" s="1112">
        <f>Application!G733</f>
        <v>2</v>
      </c>
      <c r="C23" s="1113"/>
      <c r="D23" s="451">
        <f>Application!O733</f>
        <v>2418</v>
      </c>
      <c r="E23" s="452"/>
      <c r="F23" s="1114"/>
      <c r="G23" s="451">
        <f t="shared" si="0"/>
        <v>0</v>
      </c>
      <c r="H23" s="452"/>
      <c r="I23" s="451" t="str">
        <f t="shared" si="1"/>
        <v xml:space="preserve"> </v>
      </c>
      <c r="J23" s="451" t="str">
        <f t="shared" si="2"/>
        <v xml:space="preserve"> </v>
      </c>
      <c r="K23" s="217"/>
      <c r="L23" s="319"/>
    </row>
    <row r="24" spans="1:12">
      <c r="A24" s="451" t="str">
        <f>Application!B734</f>
        <v>1 Bedroom</v>
      </c>
      <c r="B24" s="1112">
        <f>Application!G734</f>
        <v>4</v>
      </c>
      <c r="C24" s="1113"/>
      <c r="D24" s="451">
        <f>Application!O734</f>
        <v>1956</v>
      </c>
      <c r="E24" s="452"/>
      <c r="F24" s="1114"/>
      <c r="G24" s="451">
        <f t="shared" si="0"/>
        <v>0</v>
      </c>
      <c r="H24" s="452"/>
      <c r="I24" s="451" t="str">
        <f t="shared" si="1"/>
        <v xml:space="preserve"> </v>
      </c>
      <c r="J24" s="451" t="str">
        <f t="shared" si="2"/>
        <v xml:space="preserve"> </v>
      </c>
      <c r="K24" s="217"/>
      <c r="L24" s="319"/>
    </row>
    <row r="25" spans="1:12">
      <c r="A25" s="451" t="str">
        <f>Application!B735</f>
        <v>2 Bedrooms</v>
      </c>
      <c r="B25" s="1112">
        <f>Application!G735</f>
        <v>24</v>
      </c>
      <c r="C25" s="1113"/>
      <c r="D25" s="451">
        <f>Application!O735</f>
        <v>2028</v>
      </c>
      <c r="E25" s="452"/>
      <c r="F25" s="1114"/>
      <c r="G25" s="451">
        <f t="shared" si="0"/>
        <v>0</v>
      </c>
      <c r="H25" s="452"/>
      <c r="I25" s="451" t="str">
        <f t="shared" si="1"/>
        <v xml:space="preserve"> </v>
      </c>
      <c r="J25" s="451" t="str">
        <f t="shared" si="2"/>
        <v xml:space="preserve"> </v>
      </c>
      <c r="K25" s="217"/>
      <c r="L25" s="319"/>
    </row>
    <row r="26" spans="1:12">
      <c r="A26" s="451" t="str">
        <f>Application!B736</f>
        <v>3 Bedrooms</v>
      </c>
      <c r="B26" s="1112">
        <f>Application!G736</f>
        <v>12</v>
      </c>
      <c r="C26" s="1113"/>
      <c r="D26" s="451">
        <f>Application!O736</f>
        <v>2565</v>
      </c>
      <c r="E26" s="452"/>
      <c r="F26" s="1114"/>
      <c r="G26" s="451">
        <f t="shared" si="0"/>
        <v>0</v>
      </c>
      <c r="H26" s="452"/>
      <c r="I26" s="451" t="str">
        <f t="shared" si="1"/>
        <v xml:space="preserve"> </v>
      </c>
      <c r="J26" s="451" t="str">
        <f t="shared" si="2"/>
        <v xml:space="preserve"> </v>
      </c>
      <c r="K26" s="217"/>
      <c r="L26" s="319"/>
    </row>
    <row r="27" spans="1:12">
      <c r="A27" s="451" t="str">
        <f>Application!B737</f>
        <v>4 Bedrooms</v>
      </c>
      <c r="B27" s="1112">
        <f>Application!G737</f>
        <v>2</v>
      </c>
      <c r="C27" s="1113"/>
      <c r="D27" s="451">
        <f>Application!O737</f>
        <v>2959</v>
      </c>
      <c r="E27" s="452"/>
      <c r="F27" s="1114"/>
      <c r="G27" s="451">
        <f t="shared" si="0"/>
        <v>0</v>
      </c>
      <c r="H27" s="452"/>
      <c r="I27" s="451" t="str">
        <f t="shared" si="1"/>
        <v xml:space="preserve"> </v>
      </c>
      <c r="J27" s="451" t="str">
        <f t="shared" si="2"/>
        <v xml:space="preserve"> </v>
      </c>
      <c r="K27" s="217"/>
      <c r="L27" s="319"/>
    </row>
    <row r="28" spans="1:12">
      <c r="A28" s="451">
        <f>Application!B738</f>
        <v>0</v>
      </c>
      <c r="B28" s="1112">
        <f>Application!G738</f>
        <v>0</v>
      </c>
      <c r="C28" s="1113"/>
      <c r="D28" s="451">
        <f>Application!O738</f>
        <v>0</v>
      </c>
      <c r="E28" s="452"/>
      <c r="F28" s="1114"/>
      <c r="G28" s="451">
        <f t="shared" si="0"/>
        <v>0</v>
      </c>
      <c r="H28" s="452"/>
      <c r="I28" s="451" t="str">
        <f t="shared" si="1"/>
        <v xml:space="preserve"> </v>
      </c>
      <c r="J28" s="451" t="str">
        <f t="shared" si="2"/>
        <v xml:space="preserve"> </v>
      </c>
      <c r="K28" s="217"/>
      <c r="L28" s="319"/>
    </row>
    <row r="29" spans="1:12">
      <c r="A29" s="217"/>
      <c r="B29" s="217"/>
      <c r="C29" s="217"/>
      <c r="D29" s="452"/>
      <c r="E29" s="452"/>
      <c r="F29" s="452"/>
      <c r="G29" s="452"/>
      <c r="H29" s="452"/>
      <c r="I29" s="452"/>
      <c r="J29" s="217"/>
      <c r="K29" s="217"/>
      <c r="L29" s="319"/>
    </row>
    <row r="30" spans="1:12">
      <c r="A30" s="453" t="s">
        <v>951</v>
      </c>
      <c r="B30" s="454"/>
      <c r="C30" s="454"/>
      <c r="D30" s="455">
        <f>Application!O739</f>
        <v>225358</v>
      </c>
      <c r="E30" s="452"/>
      <c r="F30" s="452"/>
      <c r="G30" s="455">
        <f>SUM(G4:G28)*12</f>
        <v>588228</v>
      </c>
      <c r="H30" s="456"/>
      <c r="I30" s="454"/>
      <c r="J30" s="455">
        <f>SUM(J4:J28)*12</f>
        <v>364632</v>
      </c>
      <c r="K30" s="217"/>
      <c r="L30" s="320"/>
    </row>
    <row r="31" spans="1:12">
      <c r="A31" s="453"/>
      <c r="B31" s="454"/>
      <c r="C31" s="454"/>
      <c r="D31" s="456"/>
      <c r="E31" s="452"/>
      <c r="F31" s="452"/>
      <c r="G31" s="456"/>
      <c r="H31" s="456"/>
      <c r="I31" s="454"/>
      <c r="J31" s="456"/>
      <c r="K31" s="217"/>
      <c r="L31" s="320"/>
    </row>
    <row r="32" spans="1:12">
      <c r="A32" s="457" t="s">
        <v>952</v>
      </c>
      <c r="B32" s="224"/>
      <c r="C32" s="224"/>
      <c r="D32" s="224"/>
      <c r="E32" s="224"/>
      <c r="F32" s="224"/>
      <c r="G32" s="224"/>
      <c r="H32" s="224"/>
      <c r="I32" s="224"/>
      <c r="J32" s="224"/>
    </row>
    <row r="33" spans="1:10">
      <c r="A33" s="457" t="s">
        <v>953</v>
      </c>
      <c r="B33" s="224"/>
      <c r="C33" s="224"/>
      <c r="D33" s="224"/>
      <c r="E33" s="224"/>
      <c r="F33" s="224"/>
      <c r="G33" s="224"/>
      <c r="H33" s="224"/>
      <c r="I33" s="224"/>
      <c r="J33" s="224"/>
    </row>
    <row r="34" spans="1:10">
      <c r="A34" s="224" t="s">
        <v>2528</v>
      </c>
      <c r="B34" s="224"/>
      <c r="C34" s="224"/>
      <c r="D34" s="224"/>
      <c r="E34" s="224"/>
      <c r="F34" s="224"/>
      <c r="G34" s="224"/>
      <c r="H34" s="224"/>
      <c r="I34" s="224"/>
      <c r="J34" s="224"/>
    </row>
  </sheetData>
  <sheetProtection algorithmName="SHA-512" hashValue="7bMEfFrHXXzCHf2XYL7mXio41xjHjijHpqlS2Ibet2G9vvNWflQOWzF4tGX2umtytu0ykIhGSyA6ESmYkjiYgg==" saltValue="cREpZMxINaPZeS8jSkc2x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T217"/>
  <sheetViews>
    <sheetView zoomScaleNormal="100" zoomScaleSheetLayoutView="100" workbookViewId="0">
      <selection activeCell="E50" sqref="E50"/>
    </sheetView>
  </sheetViews>
  <sheetFormatPr defaultColWidth="8.6328125" defaultRowHeight="12.5"/>
  <cols>
    <col min="1" max="1" width="3.6328125" customWidth="1"/>
    <col min="2" max="2" width="27.6328125" customWidth="1"/>
    <col min="3" max="4" width="9.08984375" style="228" customWidth="1"/>
    <col min="5" max="19" width="12.6328125" customWidth="1"/>
    <col min="20" max="20" width="8.6328125" customWidth="1"/>
  </cols>
  <sheetData>
    <row r="1" spans="1:19" ht="18">
      <c r="A1" s="225" t="s">
        <v>2518</v>
      </c>
      <c r="B1" s="225"/>
    </row>
    <row r="3" spans="1:19" ht="15.5">
      <c r="A3" s="226" t="s">
        <v>848</v>
      </c>
      <c r="B3" s="226"/>
      <c r="C3" s="243" t="s">
        <v>849</v>
      </c>
      <c r="D3" s="243"/>
      <c r="E3" s="244" t="s">
        <v>850</v>
      </c>
      <c r="F3" s="244" t="s">
        <v>851</v>
      </c>
      <c r="G3" s="244" t="s">
        <v>852</v>
      </c>
      <c r="H3" s="244" t="s">
        <v>853</v>
      </c>
      <c r="I3" s="244" t="s">
        <v>854</v>
      </c>
      <c r="J3" s="244" t="s">
        <v>855</v>
      </c>
      <c r="K3" s="244" t="s">
        <v>856</v>
      </c>
      <c r="L3" s="244" t="s">
        <v>857</v>
      </c>
      <c r="M3" s="244" t="s">
        <v>858</v>
      </c>
      <c r="N3" s="244" t="s">
        <v>859</v>
      </c>
      <c r="O3" s="244" t="s">
        <v>860</v>
      </c>
      <c r="P3" s="244" t="s">
        <v>861</v>
      </c>
      <c r="Q3" s="244" t="s">
        <v>862</v>
      </c>
      <c r="R3" s="244" t="s">
        <v>863</v>
      </c>
      <c r="S3" s="244" t="s">
        <v>864</v>
      </c>
    </row>
    <row r="4" spans="1:19" s="233" customFormat="1" ht="14">
      <c r="A4" s="233" t="s">
        <v>866</v>
      </c>
      <c r="C4" s="245">
        <v>1.0249999999999999</v>
      </c>
      <c r="D4" s="245"/>
      <c r="E4" s="233">
        <f>Application!Y785</f>
        <v>2704296</v>
      </c>
      <c r="F4" s="233">
        <f t="shared" ref="F4:S4" si="0">E4*$C$4</f>
        <v>2771903.4</v>
      </c>
      <c r="G4" s="233">
        <f t="shared" si="0"/>
        <v>2841200.9849999999</v>
      </c>
      <c r="H4" s="233">
        <f t="shared" si="0"/>
        <v>2912231.0096249995</v>
      </c>
      <c r="I4" s="233">
        <f t="shared" si="0"/>
        <v>2985036.7848656243</v>
      </c>
      <c r="J4" s="233">
        <f t="shared" si="0"/>
        <v>3059662.7044872646</v>
      </c>
      <c r="K4" s="233">
        <f t="shared" si="0"/>
        <v>3136154.272099446</v>
      </c>
      <c r="L4" s="233">
        <f t="shared" si="0"/>
        <v>3214558.1289019319</v>
      </c>
      <c r="M4" s="233">
        <f t="shared" si="0"/>
        <v>3294922.08212448</v>
      </c>
      <c r="N4" s="233">
        <f t="shared" si="0"/>
        <v>3377295.1341775917</v>
      </c>
      <c r="O4" s="233">
        <f t="shared" si="0"/>
        <v>3461727.5125320312</v>
      </c>
      <c r="P4" s="233">
        <f t="shared" si="0"/>
        <v>3548270.7003453318</v>
      </c>
      <c r="Q4" s="233">
        <f t="shared" si="0"/>
        <v>3636977.4678539648</v>
      </c>
      <c r="R4" s="233">
        <f t="shared" si="0"/>
        <v>3727901.9045503135</v>
      </c>
      <c r="S4" s="233">
        <f t="shared" si="0"/>
        <v>3821099.4521640711</v>
      </c>
    </row>
    <row r="5" spans="1:19" s="224" customFormat="1" ht="14">
      <c r="B5" s="224" t="s">
        <v>867</v>
      </c>
      <c r="C5" s="246">
        <f>IF(Application!$D$210="Special Needs",0.1,0.05)*0+0.05078</f>
        <v>5.0779999999999999E-2</v>
      </c>
      <c r="D5" s="246"/>
      <c r="E5" s="235">
        <f t="shared" ref="E5:S5" si="1">-E4*$C$5</f>
        <v>-137324.15088</v>
      </c>
      <c r="F5" s="235">
        <f t="shared" si="1"/>
        <v>-140757.254652</v>
      </c>
      <c r="G5" s="235">
        <f t="shared" si="1"/>
        <v>-144276.18601829998</v>
      </c>
      <c r="H5" s="235">
        <f t="shared" si="1"/>
        <v>-147883.09066875748</v>
      </c>
      <c r="I5" s="235">
        <f t="shared" si="1"/>
        <v>-151580.16793547641</v>
      </c>
      <c r="J5" s="235">
        <f t="shared" si="1"/>
        <v>-155369.67213386329</v>
      </c>
      <c r="K5" s="235">
        <f t="shared" si="1"/>
        <v>-159253.91393720987</v>
      </c>
      <c r="L5" s="235">
        <f t="shared" si="1"/>
        <v>-163235.26178564009</v>
      </c>
      <c r="M5" s="235">
        <f t="shared" si="1"/>
        <v>-167316.14333028111</v>
      </c>
      <c r="N5" s="235">
        <f t="shared" si="1"/>
        <v>-171499.0469135381</v>
      </c>
      <c r="O5" s="235">
        <f t="shared" si="1"/>
        <v>-175786.52308637655</v>
      </c>
      <c r="P5" s="235">
        <f t="shared" si="1"/>
        <v>-180181.18616353595</v>
      </c>
      <c r="Q5" s="235">
        <f t="shared" si="1"/>
        <v>-184685.71581762432</v>
      </c>
      <c r="R5" s="235">
        <f t="shared" si="1"/>
        <v>-189302.85871306492</v>
      </c>
      <c r="S5" s="235">
        <f t="shared" si="1"/>
        <v>-194035.43018089153</v>
      </c>
    </row>
    <row r="6" spans="1:19" s="224" customFormat="1" ht="14">
      <c r="A6" s="224" t="s">
        <v>865</v>
      </c>
      <c r="C6" s="245">
        <v>1.0249999999999999</v>
      </c>
      <c r="D6" s="245"/>
      <c r="E6" s="236">
        <f>Application!Z793</f>
        <v>364632</v>
      </c>
      <c r="F6" s="236">
        <f t="shared" ref="F6:S6" si="2">E6*$C$6</f>
        <v>373747.8</v>
      </c>
      <c r="G6" s="236">
        <f t="shared" si="2"/>
        <v>383091.49499999994</v>
      </c>
      <c r="H6" s="236">
        <f t="shared" si="2"/>
        <v>392668.78237499989</v>
      </c>
      <c r="I6" s="236">
        <f t="shared" si="2"/>
        <v>402485.50193437486</v>
      </c>
      <c r="J6" s="236">
        <f t="shared" si="2"/>
        <v>412547.6394827342</v>
      </c>
      <c r="K6" s="236">
        <f t="shared" si="2"/>
        <v>422861.33046980255</v>
      </c>
      <c r="L6" s="236">
        <f t="shared" si="2"/>
        <v>433432.86373154755</v>
      </c>
      <c r="M6" s="236">
        <f t="shared" si="2"/>
        <v>444268.68532483617</v>
      </c>
      <c r="N6" s="236">
        <f t="shared" si="2"/>
        <v>455375.40245795704</v>
      </c>
      <c r="O6" s="236">
        <f t="shared" si="2"/>
        <v>466759.78751940595</v>
      </c>
      <c r="P6" s="236">
        <f t="shared" si="2"/>
        <v>478428.78220739105</v>
      </c>
      <c r="Q6" s="236">
        <f t="shared" si="2"/>
        <v>490389.50176257576</v>
      </c>
      <c r="R6" s="236">
        <f t="shared" si="2"/>
        <v>502649.23930664011</v>
      </c>
      <c r="S6" s="236">
        <f t="shared" si="2"/>
        <v>515215.47028930607</v>
      </c>
    </row>
    <row r="7" spans="1:19" s="224" customFormat="1" ht="14">
      <c r="B7" s="224" t="s">
        <v>867</v>
      </c>
      <c r="C7" s="246">
        <f>IF(Application!$D$210="Special Needs",0.1,0.05)</f>
        <v>0.05</v>
      </c>
      <c r="D7" s="246"/>
      <c r="E7" s="235">
        <f t="shared" ref="E7:S7" si="3">-E6*$C$7</f>
        <v>-18231.600000000002</v>
      </c>
      <c r="F7" s="235">
        <f t="shared" si="3"/>
        <v>-18687.39</v>
      </c>
      <c r="G7" s="235">
        <f t="shared" si="3"/>
        <v>-19154.574749999996</v>
      </c>
      <c r="H7" s="235">
        <f t="shared" si="3"/>
        <v>-19633.439118749997</v>
      </c>
      <c r="I7" s="235">
        <f t="shared" si="3"/>
        <v>-20124.275096718746</v>
      </c>
      <c r="J7" s="235">
        <f t="shared" si="3"/>
        <v>-20627.381974136712</v>
      </c>
      <c r="K7" s="235">
        <f t="shared" si="3"/>
        <v>-21143.066523490128</v>
      </c>
      <c r="L7" s="235">
        <f t="shared" si="3"/>
        <v>-21671.643186577377</v>
      </c>
      <c r="M7" s="235">
        <f t="shared" si="3"/>
        <v>-22213.434266241809</v>
      </c>
      <c r="N7" s="235">
        <f t="shared" si="3"/>
        <v>-22768.770122897855</v>
      </c>
      <c r="O7" s="235">
        <f t="shared" si="3"/>
        <v>-23337.989375970297</v>
      </c>
      <c r="P7" s="235">
        <f t="shared" si="3"/>
        <v>-23921.439110369553</v>
      </c>
      <c r="Q7" s="235">
        <f t="shared" si="3"/>
        <v>-24519.475088128791</v>
      </c>
      <c r="R7" s="235">
        <f t="shared" si="3"/>
        <v>-25132.461965332008</v>
      </c>
      <c r="S7" s="235">
        <f t="shared" si="3"/>
        <v>-25760.773514465305</v>
      </c>
    </row>
    <row r="8" spans="1:19" s="224" customFormat="1" ht="14">
      <c r="A8" s="224" t="s">
        <v>290</v>
      </c>
      <c r="C8" s="245">
        <v>1.0249999999999999</v>
      </c>
      <c r="D8" s="245"/>
      <c r="E8" s="236">
        <f>Application!Z801</f>
        <v>13056</v>
      </c>
      <c r="F8" s="236">
        <f t="shared" ref="F8:S8" si="4">E8*$C$8</f>
        <v>13382.4</v>
      </c>
      <c r="G8" s="236">
        <f t="shared" si="4"/>
        <v>13716.96</v>
      </c>
      <c r="H8" s="236">
        <f t="shared" si="4"/>
        <v>14059.883999999998</v>
      </c>
      <c r="I8" s="236">
        <f t="shared" si="4"/>
        <v>14411.381099999997</v>
      </c>
      <c r="J8" s="236">
        <f t="shared" si="4"/>
        <v>14771.665627499995</v>
      </c>
      <c r="K8" s="236">
        <f t="shared" si="4"/>
        <v>15140.957268187494</v>
      </c>
      <c r="L8" s="236">
        <f t="shared" si="4"/>
        <v>15519.48119989218</v>
      </c>
      <c r="M8" s="236">
        <f t="shared" si="4"/>
        <v>15907.468229889482</v>
      </c>
      <c r="N8" s="236">
        <f t="shared" si="4"/>
        <v>16305.154935636718</v>
      </c>
      <c r="O8" s="236">
        <f t="shared" si="4"/>
        <v>16712.783809027635</v>
      </c>
      <c r="P8" s="236">
        <f t="shared" si="4"/>
        <v>17130.603404253325</v>
      </c>
      <c r="Q8" s="236">
        <f t="shared" si="4"/>
        <v>17558.868489359655</v>
      </c>
      <c r="R8" s="236">
        <f t="shared" si="4"/>
        <v>17997.840201593644</v>
      </c>
      <c r="S8" s="236">
        <f t="shared" si="4"/>
        <v>18447.786206633486</v>
      </c>
    </row>
    <row r="9" spans="1:19" s="224" customFormat="1" ht="14">
      <c r="B9" s="224" t="s">
        <v>867</v>
      </c>
      <c r="C9" s="246">
        <f>IF(Application!$D$210="Special Needs",0.1,0.05)*0+C5</f>
        <v>5.0779999999999999E-2</v>
      </c>
      <c r="D9" s="246"/>
      <c r="E9" s="235">
        <f t="shared" ref="E9:S9" si="5">-E8*$C$9</f>
        <v>-662.98367999999994</v>
      </c>
      <c r="F9" s="235">
        <f t="shared" si="5"/>
        <v>-679.55827199999999</v>
      </c>
      <c r="G9" s="235">
        <f t="shared" si="5"/>
        <v>-696.54722879999997</v>
      </c>
      <c r="H9" s="235">
        <f t="shared" si="5"/>
        <v>-713.96090951999986</v>
      </c>
      <c r="I9" s="235">
        <f t="shared" si="5"/>
        <v>-731.80993225799978</v>
      </c>
      <c r="J9" s="235">
        <f t="shared" si="5"/>
        <v>-750.10518056444971</v>
      </c>
      <c r="K9" s="235">
        <f t="shared" si="5"/>
        <v>-768.85781007856099</v>
      </c>
      <c r="L9" s="235">
        <f t="shared" si="5"/>
        <v>-788.07925533052492</v>
      </c>
      <c r="M9" s="235">
        <f t="shared" si="5"/>
        <v>-807.78123671378785</v>
      </c>
      <c r="N9" s="235">
        <f t="shared" si="5"/>
        <v>-827.97576763163249</v>
      </c>
      <c r="O9" s="235">
        <f t="shared" si="5"/>
        <v>-848.67516182242321</v>
      </c>
      <c r="P9" s="235">
        <f t="shared" si="5"/>
        <v>-869.89204086798384</v>
      </c>
      <c r="Q9" s="235">
        <f t="shared" si="5"/>
        <v>-891.63934188968324</v>
      </c>
      <c r="R9" s="235">
        <f t="shared" si="5"/>
        <v>-913.93032543692527</v>
      </c>
      <c r="S9" s="235">
        <f t="shared" si="5"/>
        <v>-936.77858357284833</v>
      </c>
    </row>
    <row r="10" spans="1:19" s="224" customFormat="1" ht="14">
      <c r="A10" s="1178" t="s">
        <v>2523</v>
      </c>
      <c r="B10" s="1178"/>
      <c r="C10" s="246"/>
      <c r="D10" s="246"/>
      <c r="E10" s="1179"/>
      <c r="F10" s="1179"/>
      <c r="G10" s="1179"/>
      <c r="H10" s="1179"/>
      <c r="I10" s="1179"/>
      <c r="J10" s="1179"/>
      <c r="K10" s="1179"/>
      <c r="L10" s="1179"/>
      <c r="M10" s="1179"/>
      <c r="N10" s="1179"/>
      <c r="O10" s="1179"/>
      <c r="P10" s="1179"/>
      <c r="Q10" s="1179"/>
      <c r="R10" s="1179"/>
      <c r="S10" s="1179"/>
    </row>
    <row r="11" spans="1:19" s="237" customFormat="1" ht="14">
      <c r="A11" s="237" t="s">
        <v>888</v>
      </c>
      <c r="C11" s="230"/>
      <c r="D11" s="230"/>
      <c r="E11" s="237">
        <f t="shared" ref="E11:S11" si="6">SUM(E4:E10)</f>
        <v>2925765.2654399998</v>
      </c>
      <c r="F11" s="237">
        <f t="shared" si="6"/>
        <v>2998909.3970759995</v>
      </c>
      <c r="G11" s="237">
        <f t="shared" si="6"/>
        <v>3073882.1320028999</v>
      </c>
      <c r="H11" s="237">
        <f t="shared" si="6"/>
        <v>3150729.1853029723</v>
      </c>
      <c r="I11" s="237">
        <f t="shared" si="6"/>
        <v>3229497.4149355455</v>
      </c>
      <c r="J11" s="237">
        <f t="shared" si="6"/>
        <v>3310234.8503089342</v>
      </c>
      <c r="K11" s="237">
        <f t="shared" si="6"/>
        <v>3392990.7215666575</v>
      </c>
      <c r="L11" s="237">
        <f t="shared" si="6"/>
        <v>3477815.489605824</v>
      </c>
      <c r="M11" s="237">
        <f t="shared" si="6"/>
        <v>3564760.8768459689</v>
      </c>
      <c r="N11" s="237">
        <f t="shared" si="6"/>
        <v>3653879.8987671179</v>
      </c>
      <c r="O11" s="237">
        <f t="shared" si="6"/>
        <v>3745226.8962362958</v>
      </c>
      <c r="P11" s="237">
        <f t="shared" si="6"/>
        <v>3838857.5686422032</v>
      </c>
      <c r="Q11" s="237">
        <f t="shared" si="6"/>
        <v>3934829.0078582573</v>
      </c>
      <c r="R11" s="237">
        <f t="shared" si="6"/>
        <v>4033199.7330547133</v>
      </c>
      <c r="S11" s="237">
        <f t="shared" si="6"/>
        <v>4134029.7263810812</v>
      </c>
    </row>
    <row r="12" spans="1:19">
      <c r="C12" s="241"/>
      <c r="D12" s="241"/>
      <c r="E12" s="229"/>
      <c r="F12" s="229"/>
      <c r="G12" s="229"/>
      <c r="H12" s="229"/>
      <c r="I12" s="229"/>
      <c r="J12" s="229"/>
      <c r="K12" s="229"/>
      <c r="L12" s="229"/>
      <c r="M12" s="229"/>
      <c r="N12" s="229"/>
      <c r="O12" s="229"/>
      <c r="P12" s="229"/>
      <c r="Q12" s="229"/>
      <c r="R12" s="229"/>
      <c r="S12" s="229"/>
    </row>
    <row r="13" spans="1:19" ht="15.5">
      <c r="A13" s="226" t="s">
        <v>868</v>
      </c>
      <c r="C13" s="241"/>
      <c r="D13" s="241"/>
      <c r="E13" s="229"/>
      <c r="F13" s="229"/>
      <c r="G13" s="229"/>
      <c r="H13" s="229"/>
      <c r="I13" s="229"/>
      <c r="J13" s="229"/>
      <c r="K13" s="229"/>
      <c r="L13" s="229"/>
      <c r="M13" s="229"/>
      <c r="N13" s="229"/>
      <c r="O13" s="229"/>
      <c r="P13" s="229"/>
      <c r="Q13" s="229"/>
      <c r="R13" s="229"/>
      <c r="S13" s="229"/>
    </row>
    <row r="14" spans="1:19" s="224" customFormat="1" ht="14">
      <c r="A14" s="224" t="s">
        <v>869</v>
      </c>
      <c r="C14" s="245">
        <v>1.0349999999999999</v>
      </c>
      <c r="D14" s="245"/>
      <c r="E14" s="236"/>
      <c r="F14" s="236"/>
      <c r="G14" s="236"/>
      <c r="H14" s="236"/>
      <c r="I14" s="236"/>
      <c r="J14" s="236"/>
      <c r="K14" s="236"/>
      <c r="L14" s="236"/>
      <c r="M14" s="236"/>
      <c r="N14" s="236"/>
      <c r="O14" s="236"/>
      <c r="P14" s="236"/>
      <c r="Q14" s="236"/>
      <c r="R14" s="236"/>
      <c r="S14" s="236"/>
    </row>
    <row r="15" spans="1:19" s="233" customFormat="1" ht="14">
      <c r="A15" s="233" t="s">
        <v>870</v>
      </c>
      <c r="C15" s="185"/>
      <c r="D15" s="185"/>
      <c r="E15" s="233">
        <f>Application!W831</f>
        <v>132410</v>
      </c>
      <c r="F15" s="233">
        <f t="shared" ref="F15:S15" si="7">E15*$C$14</f>
        <v>137044.34999999998</v>
      </c>
      <c r="G15" s="233">
        <f t="shared" si="7"/>
        <v>141840.90224999996</v>
      </c>
      <c r="H15" s="233">
        <f t="shared" si="7"/>
        <v>146805.33382874995</v>
      </c>
      <c r="I15" s="233">
        <f t="shared" si="7"/>
        <v>151943.52051275619</v>
      </c>
      <c r="J15" s="233">
        <f t="shared" si="7"/>
        <v>157261.54373070266</v>
      </c>
      <c r="K15" s="233">
        <f t="shared" si="7"/>
        <v>162765.69776127723</v>
      </c>
      <c r="L15" s="233">
        <f t="shared" si="7"/>
        <v>168462.49718292191</v>
      </c>
      <c r="M15" s="233">
        <f t="shared" si="7"/>
        <v>174358.68458432416</v>
      </c>
      <c r="N15" s="233">
        <f t="shared" si="7"/>
        <v>180461.23854477549</v>
      </c>
      <c r="O15" s="233">
        <f t="shared" si="7"/>
        <v>186777.38189384263</v>
      </c>
      <c r="P15" s="233">
        <f t="shared" si="7"/>
        <v>193314.59026012709</v>
      </c>
      <c r="Q15" s="233">
        <f t="shared" si="7"/>
        <v>200080.60091923154</v>
      </c>
      <c r="R15" s="233">
        <f t="shared" si="7"/>
        <v>207083.42195140463</v>
      </c>
      <c r="S15" s="233">
        <f t="shared" si="7"/>
        <v>214331.34171970378</v>
      </c>
    </row>
    <row r="16" spans="1:19" s="224" customFormat="1" ht="14">
      <c r="A16" s="224" t="s">
        <v>346</v>
      </c>
      <c r="C16" s="241"/>
      <c r="D16" s="241"/>
      <c r="E16" s="236">
        <f>Application!W833</f>
        <v>122400</v>
      </c>
      <c r="F16" s="236">
        <f t="shared" ref="F16:R16" si="8">E16*$C$14</f>
        <v>126683.99999999999</v>
      </c>
      <c r="G16" s="236">
        <f t="shared" si="8"/>
        <v>131117.93999999997</v>
      </c>
      <c r="H16" s="236">
        <f t="shared" si="8"/>
        <v>135707.06789999997</v>
      </c>
      <c r="I16" s="236">
        <f t="shared" si="8"/>
        <v>140456.81527649995</v>
      </c>
      <c r="J16" s="236">
        <f t="shared" si="8"/>
        <v>145372.80381117744</v>
      </c>
      <c r="K16" s="236">
        <f t="shared" si="8"/>
        <v>150460.85194456863</v>
      </c>
      <c r="L16" s="236">
        <f t="shared" si="8"/>
        <v>155726.98176262851</v>
      </c>
      <c r="M16" s="236">
        <f t="shared" si="8"/>
        <v>161177.42612432048</v>
      </c>
      <c r="N16" s="236">
        <f t="shared" si="8"/>
        <v>166818.63603867168</v>
      </c>
      <c r="O16" s="236">
        <f t="shared" si="8"/>
        <v>172657.28830002519</v>
      </c>
      <c r="P16" s="236">
        <f t="shared" si="8"/>
        <v>178700.29339052606</v>
      </c>
      <c r="Q16" s="236">
        <f t="shared" si="8"/>
        <v>184954.80365919447</v>
      </c>
      <c r="R16" s="236">
        <f t="shared" si="8"/>
        <v>191428.22178726626</v>
      </c>
      <c r="S16" s="236">
        <f t="shared" ref="S16:S21" si="9">R16*$C$14</f>
        <v>198128.20954982057</v>
      </c>
    </row>
    <row r="17" spans="1:19" s="224" customFormat="1" ht="14">
      <c r="A17" s="224" t="s">
        <v>571</v>
      </c>
      <c r="C17" s="241"/>
      <c r="D17" s="241"/>
      <c r="E17" s="236">
        <f>Application!W839</f>
        <v>154320</v>
      </c>
      <c r="F17" s="236">
        <f t="shared" ref="F17:R17" si="10">E17*$C$14</f>
        <v>159721.19999999998</v>
      </c>
      <c r="G17" s="236">
        <f t="shared" si="10"/>
        <v>165311.44199999998</v>
      </c>
      <c r="H17" s="236">
        <f t="shared" si="10"/>
        <v>171097.34246999997</v>
      </c>
      <c r="I17" s="236">
        <f t="shared" si="10"/>
        <v>177085.74945644996</v>
      </c>
      <c r="J17" s="236">
        <f t="shared" si="10"/>
        <v>183283.75068742569</v>
      </c>
      <c r="K17" s="236">
        <f t="shared" si="10"/>
        <v>189698.68196148559</v>
      </c>
      <c r="L17" s="236">
        <f t="shared" si="10"/>
        <v>196338.13583013756</v>
      </c>
      <c r="M17" s="236">
        <f t="shared" si="10"/>
        <v>203209.97058419237</v>
      </c>
      <c r="N17" s="236">
        <f t="shared" si="10"/>
        <v>210322.31955463908</v>
      </c>
      <c r="O17" s="236">
        <f t="shared" si="10"/>
        <v>217683.60073905144</v>
      </c>
      <c r="P17" s="236">
        <f t="shared" si="10"/>
        <v>225302.52676491824</v>
      </c>
      <c r="Q17" s="236">
        <f t="shared" si="10"/>
        <v>233188.11520169035</v>
      </c>
      <c r="R17" s="236">
        <f t="shared" si="10"/>
        <v>241349.6992337495</v>
      </c>
      <c r="S17" s="236">
        <f t="shared" si="9"/>
        <v>249796.93870693073</v>
      </c>
    </row>
    <row r="18" spans="1:19" s="224" customFormat="1" ht="14">
      <c r="A18" s="224" t="s">
        <v>871</v>
      </c>
      <c r="C18" s="241"/>
      <c r="D18" s="241"/>
      <c r="E18" s="236">
        <f>Application!W846</f>
        <v>375370</v>
      </c>
      <c r="F18" s="236">
        <f t="shared" ref="F18:R18" si="11">E18*$C$14</f>
        <v>388507.94999999995</v>
      </c>
      <c r="G18" s="236">
        <f t="shared" si="11"/>
        <v>402105.72824999993</v>
      </c>
      <c r="H18" s="236">
        <f t="shared" si="11"/>
        <v>416179.42873874988</v>
      </c>
      <c r="I18" s="236">
        <f t="shared" si="11"/>
        <v>430745.70874460606</v>
      </c>
      <c r="J18" s="236">
        <f t="shared" si="11"/>
        <v>445821.80855066725</v>
      </c>
      <c r="K18" s="236">
        <f t="shared" si="11"/>
        <v>461425.57184994058</v>
      </c>
      <c r="L18" s="236">
        <f t="shared" si="11"/>
        <v>477575.46686468844</v>
      </c>
      <c r="M18" s="236">
        <f t="shared" si="11"/>
        <v>494290.6082049525</v>
      </c>
      <c r="N18" s="236">
        <f t="shared" si="11"/>
        <v>511590.77949212579</v>
      </c>
      <c r="O18" s="236">
        <f t="shared" si="11"/>
        <v>529496.45677435014</v>
      </c>
      <c r="P18" s="236">
        <f t="shared" si="11"/>
        <v>548028.8327614523</v>
      </c>
      <c r="Q18" s="236">
        <f t="shared" si="11"/>
        <v>567209.84190810309</v>
      </c>
      <c r="R18" s="236">
        <f t="shared" si="11"/>
        <v>587062.18637488666</v>
      </c>
      <c r="S18" s="236">
        <f t="shared" si="9"/>
        <v>607609.36289800762</v>
      </c>
    </row>
    <row r="19" spans="1:19" s="224" customFormat="1" ht="14">
      <c r="A19" s="224" t="s">
        <v>156</v>
      </c>
      <c r="C19" s="241"/>
      <c r="D19" s="241"/>
      <c r="E19" s="236">
        <f>Application!W847</f>
        <v>175993</v>
      </c>
      <c r="F19" s="236">
        <f t="shared" ref="F19:R19" si="12">E19*$C$14</f>
        <v>182152.75499999998</v>
      </c>
      <c r="G19" s="236">
        <f t="shared" si="12"/>
        <v>188528.10142499997</v>
      </c>
      <c r="H19" s="236">
        <f t="shared" si="12"/>
        <v>195126.58497487495</v>
      </c>
      <c r="I19" s="236">
        <f t="shared" si="12"/>
        <v>201956.01544899555</v>
      </c>
      <c r="J19" s="236">
        <f t="shared" si="12"/>
        <v>209024.47598971036</v>
      </c>
      <c r="K19" s="236">
        <f t="shared" si="12"/>
        <v>216340.33264935022</v>
      </c>
      <c r="L19" s="236">
        <f t="shared" si="12"/>
        <v>223912.24429207746</v>
      </c>
      <c r="M19" s="236">
        <f t="shared" si="12"/>
        <v>231749.17284230015</v>
      </c>
      <c r="N19" s="236">
        <f t="shared" si="12"/>
        <v>239860.39389178064</v>
      </c>
      <c r="O19" s="236">
        <f t="shared" si="12"/>
        <v>248255.50767799295</v>
      </c>
      <c r="P19" s="236">
        <f t="shared" si="12"/>
        <v>256944.45044672268</v>
      </c>
      <c r="Q19" s="236">
        <f t="shared" si="12"/>
        <v>265937.50621235796</v>
      </c>
      <c r="R19" s="236">
        <f t="shared" si="12"/>
        <v>275245.31892979046</v>
      </c>
      <c r="S19" s="236">
        <f t="shared" si="9"/>
        <v>284878.90509233309</v>
      </c>
    </row>
    <row r="20" spans="1:19" s="224" customFormat="1" ht="14">
      <c r="A20" s="224" t="s">
        <v>392</v>
      </c>
      <c r="C20" s="241"/>
      <c r="D20" s="241"/>
      <c r="E20" s="236">
        <f>Application!W856</f>
        <v>164642</v>
      </c>
      <c r="F20" s="236">
        <f t="shared" ref="F20:R20" si="13">E20*$C$14</f>
        <v>170404.47</v>
      </c>
      <c r="G20" s="236">
        <f t="shared" si="13"/>
        <v>176368.62644999998</v>
      </c>
      <c r="H20" s="236">
        <f t="shared" si="13"/>
        <v>182541.52837574997</v>
      </c>
      <c r="I20" s="236">
        <f t="shared" si="13"/>
        <v>188930.4818689012</v>
      </c>
      <c r="J20" s="236">
        <f t="shared" si="13"/>
        <v>195543.04873431273</v>
      </c>
      <c r="K20" s="236">
        <f t="shared" si="13"/>
        <v>202387.05544001368</v>
      </c>
      <c r="L20" s="236">
        <f t="shared" si="13"/>
        <v>209470.60238041414</v>
      </c>
      <c r="M20" s="236">
        <f t="shared" si="13"/>
        <v>216802.07346372862</v>
      </c>
      <c r="N20" s="236">
        <f t="shared" si="13"/>
        <v>224390.14603495909</v>
      </c>
      <c r="O20" s="236">
        <f t="shared" si="13"/>
        <v>232243.80114618264</v>
      </c>
      <c r="P20" s="236">
        <f t="shared" si="13"/>
        <v>240372.33418629901</v>
      </c>
      <c r="Q20" s="236">
        <f t="shared" si="13"/>
        <v>248785.36588281946</v>
      </c>
      <c r="R20" s="236">
        <f t="shared" si="13"/>
        <v>257492.85368871811</v>
      </c>
      <c r="S20" s="236">
        <f t="shared" si="9"/>
        <v>266505.10356782324</v>
      </c>
    </row>
    <row r="21" spans="1:19" s="224" customFormat="1" ht="14">
      <c r="A21" s="239" t="s">
        <v>2753</v>
      </c>
      <c r="B21" s="239"/>
      <c r="C21" s="241"/>
      <c r="D21" s="241"/>
      <c r="E21" s="240">
        <f>Application!W863</f>
        <v>800</v>
      </c>
      <c r="F21" s="240">
        <f t="shared" ref="F21:R21" si="14">E21*$C$14</f>
        <v>827.99999999999989</v>
      </c>
      <c r="G21" s="240">
        <f t="shared" si="14"/>
        <v>856.97999999999979</v>
      </c>
      <c r="H21" s="240">
        <f t="shared" si="14"/>
        <v>886.97429999999974</v>
      </c>
      <c r="I21" s="240">
        <f t="shared" si="14"/>
        <v>918.01840049999964</v>
      </c>
      <c r="J21" s="240">
        <f t="shared" si="14"/>
        <v>950.14904451749953</v>
      </c>
      <c r="K21" s="240">
        <f t="shared" si="14"/>
        <v>983.40426107561188</v>
      </c>
      <c r="L21" s="240">
        <f t="shared" si="14"/>
        <v>1017.8234102132582</v>
      </c>
      <c r="M21" s="240">
        <f t="shared" si="14"/>
        <v>1053.4472295707221</v>
      </c>
      <c r="N21" s="240">
        <f t="shared" si="14"/>
        <v>1090.3178826056974</v>
      </c>
      <c r="O21" s="240">
        <f t="shared" si="14"/>
        <v>1128.4790084968968</v>
      </c>
      <c r="P21" s="240">
        <f t="shared" si="14"/>
        <v>1167.975773794288</v>
      </c>
      <c r="Q21" s="240">
        <f t="shared" si="14"/>
        <v>1208.8549258770879</v>
      </c>
      <c r="R21" s="240">
        <f t="shared" si="14"/>
        <v>1251.1648482827859</v>
      </c>
      <c r="S21" s="240">
        <f t="shared" si="9"/>
        <v>1294.9556179726833</v>
      </c>
    </row>
    <row r="22" spans="1:19" s="237" customFormat="1" ht="14">
      <c r="A22" s="237" t="s">
        <v>872</v>
      </c>
      <c r="C22" s="241"/>
      <c r="D22" s="241"/>
      <c r="E22" s="237">
        <f t="shared" ref="E22:S22" si="15">SUM(E15:E21)</f>
        <v>1125935</v>
      </c>
      <c r="F22" s="237">
        <f t="shared" si="15"/>
        <v>1165342.7249999999</v>
      </c>
      <c r="G22" s="237">
        <f t="shared" si="15"/>
        <v>1206129.7203749998</v>
      </c>
      <c r="H22" s="237">
        <f t="shared" si="15"/>
        <v>1248344.2605881246</v>
      </c>
      <c r="I22" s="237">
        <f t="shared" si="15"/>
        <v>1292036.3097087091</v>
      </c>
      <c r="J22" s="237">
        <f t="shared" si="15"/>
        <v>1337257.5805485134</v>
      </c>
      <c r="K22" s="237">
        <f t="shared" si="15"/>
        <v>1384061.5958677116</v>
      </c>
      <c r="L22" s="237">
        <f t="shared" si="15"/>
        <v>1432503.7517230811</v>
      </c>
      <c r="M22" s="237">
        <f t="shared" si="15"/>
        <v>1482641.3830333888</v>
      </c>
      <c r="N22" s="237">
        <f t="shared" si="15"/>
        <v>1534533.8314395573</v>
      </c>
      <c r="O22" s="237">
        <f t="shared" si="15"/>
        <v>1588242.5155399421</v>
      </c>
      <c r="P22" s="237">
        <f t="shared" si="15"/>
        <v>1643831.0035838396</v>
      </c>
      <c r="Q22" s="237">
        <f t="shared" si="15"/>
        <v>1701365.0887092741</v>
      </c>
      <c r="R22" s="237">
        <f t="shared" si="15"/>
        <v>1760912.8668140983</v>
      </c>
      <c r="S22" s="237">
        <f t="shared" si="15"/>
        <v>1822544.8171525919</v>
      </c>
    </row>
    <row r="23" spans="1:19" s="224" customFormat="1" ht="14">
      <c r="C23" s="241"/>
      <c r="D23" s="241"/>
      <c r="E23" s="236"/>
      <c r="F23" s="236"/>
      <c r="G23" s="236"/>
      <c r="H23" s="236"/>
      <c r="I23" s="236"/>
      <c r="J23" s="236"/>
      <c r="K23" s="236"/>
      <c r="L23" s="236"/>
      <c r="M23" s="236"/>
      <c r="N23" s="236"/>
      <c r="O23" s="236"/>
      <c r="P23" s="236"/>
      <c r="Q23" s="236"/>
      <c r="R23" s="236"/>
      <c r="S23" s="236"/>
    </row>
    <row r="24" spans="1:19" s="224" customFormat="1" ht="14">
      <c r="A24" s="224" t="s">
        <v>1942</v>
      </c>
      <c r="C24" s="241"/>
      <c r="D24" s="241"/>
      <c r="E24" s="938"/>
      <c r="F24" s="236">
        <f t="shared" ref="F24:S24" si="16">E24*$C$24</f>
        <v>0</v>
      </c>
      <c r="G24" s="236">
        <f t="shared" si="16"/>
        <v>0</v>
      </c>
      <c r="H24" s="236">
        <f t="shared" si="16"/>
        <v>0</v>
      </c>
      <c r="I24" s="236">
        <f t="shared" si="16"/>
        <v>0</v>
      </c>
      <c r="J24" s="236">
        <f t="shared" si="16"/>
        <v>0</v>
      </c>
      <c r="K24" s="236">
        <f t="shared" si="16"/>
        <v>0</v>
      </c>
      <c r="L24" s="236">
        <f t="shared" si="16"/>
        <v>0</v>
      </c>
      <c r="M24" s="236">
        <f t="shared" si="16"/>
        <v>0</v>
      </c>
      <c r="N24" s="236">
        <f t="shared" si="16"/>
        <v>0</v>
      </c>
      <c r="O24" s="236">
        <f t="shared" si="16"/>
        <v>0</v>
      </c>
      <c r="P24" s="236">
        <f t="shared" si="16"/>
        <v>0</v>
      </c>
      <c r="Q24" s="236">
        <f t="shared" si="16"/>
        <v>0</v>
      </c>
      <c r="R24" s="236">
        <f t="shared" si="16"/>
        <v>0</v>
      </c>
      <c r="S24" s="236">
        <f t="shared" si="16"/>
        <v>0</v>
      </c>
    </row>
    <row r="25" spans="1:19" s="224" customFormat="1" ht="14">
      <c r="C25" s="241"/>
      <c r="D25" s="241"/>
      <c r="E25" s="236"/>
      <c r="F25" s="236"/>
      <c r="G25" s="236"/>
      <c r="H25" s="236"/>
      <c r="I25" s="236"/>
      <c r="J25" s="236"/>
      <c r="K25" s="236"/>
      <c r="L25" s="236"/>
      <c r="M25" s="236"/>
      <c r="N25" s="236"/>
      <c r="O25" s="236"/>
      <c r="P25" s="236"/>
      <c r="Q25" s="236"/>
      <c r="R25" s="236"/>
      <c r="S25" s="236"/>
    </row>
    <row r="26" spans="1:19" s="224" customFormat="1" ht="14">
      <c r="A26" s="224" t="s">
        <v>1301</v>
      </c>
      <c r="C26" s="245">
        <v>1.0349999999999999</v>
      </c>
      <c r="D26" s="245"/>
      <c r="E26" s="236">
        <f>Application!AC871</f>
        <v>0</v>
      </c>
      <c r="F26" s="236">
        <f t="shared" ref="F26:S26" si="17">E26*$C$26</f>
        <v>0</v>
      </c>
      <c r="G26" s="236">
        <f t="shared" si="17"/>
        <v>0</v>
      </c>
      <c r="H26" s="236">
        <f t="shared" si="17"/>
        <v>0</v>
      </c>
      <c r="I26" s="236">
        <f t="shared" si="17"/>
        <v>0</v>
      </c>
      <c r="J26" s="236">
        <f t="shared" si="17"/>
        <v>0</v>
      </c>
      <c r="K26" s="236">
        <f t="shared" si="17"/>
        <v>0</v>
      </c>
      <c r="L26" s="236">
        <f t="shared" si="17"/>
        <v>0</v>
      </c>
      <c r="M26" s="236">
        <f t="shared" si="17"/>
        <v>0</v>
      </c>
      <c r="N26" s="236">
        <f t="shared" si="17"/>
        <v>0</v>
      </c>
      <c r="O26" s="236">
        <f t="shared" si="17"/>
        <v>0</v>
      </c>
      <c r="P26" s="236">
        <f t="shared" si="17"/>
        <v>0</v>
      </c>
      <c r="Q26" s="236">
        <f t="shared" si="17"/>
        <v>0</v>
      </c>
      <c r="R26" s="236">
        <f t="shared" si="17"/>
        <v>0</v>
      </c>
      <c r="S26" s="236">
        <f t="shared" si="17"/>
        <v>0</v>
      </c>
    </row>
    <row r="27" spans="1:19" s="224" customFormat="1" ht="14">
      <c r="A27" s="224" t="s">
        <v>874</v>
      </c>
      <c r="C27" s="245">
        <v>1.0349999999999999</v>
      </c>
      <c r="D27" s="245"/>
      <c r="E27" s="236">
        <f>Application!AC872</f>
        <v>175000</v>
      </c>
      <c r="F27" s="236">
        <f t="shared" ref="F27:S27" si="18">E27*$C$27</f>
        <v>181125</v>
      </c>
      <c r="G27" s="236">
        <f t="shared" si="18"/>
        <v>187464.375</v>
      </c>
      <c r="H27" s="236">
        <f t="shared" si="18"/>
        <v>194025.62812499999</v>
      </c>
      <c r="I27" s="236">
        <f t="shared" si="18"/>
        <v>200816.52510937498</v>
      </c>
      <c r="J27" s="236">
        <f t="shared" si="18"/>
        <v>207845.10348820308</v>
      </c>
      <c r="K27" s="236">
        <f t="shared" si="18"/>
        <v>215119.68211029016</v>
      </c>
      <c r="L27" s="236">
        <f t="shared" si="18"/>
        <v>222648.8709841503</v>
      </c>
      <c r="M27" s="236">
        <f t="shared" si="18"/>
        <v>230441.58146859554</v>
      </c>
      <c r="N27" s="236">
        <f t="shared" si="18"/>
        <v>238507.03681999637</v>
      </c>
      <c r="O27" s="236">
        <f t="shared" si="18"/>
        <v>246854.78310869623</v>
      </c>
      <c r="P27" s="236">
        <f t="shared" si="18"/>
        <v>255494.70051750058</v>
      </c>
      <c r="Q27" s="236">
        <f t="shared" si="18"/>
        <v>264437.01503561309</v>
      </c>
      <c r="R27" s="236">
        <f t="shared" si="18"/>
        <v>273692.31056185951</v>
      </c>
      <c r="S27" s="236">
        <f t="shared" si="18"/>
        <v>283271.54143152456</v>
      </c>
    </row>
    <row r="28" spans="1:19" s="224" customFormat="1" ht="14">
      <c r="A28" s="224" t="s">
        <v>875</v>
      </c>
      <c r="C28" s="245"/>
      <c r="D28" s="245"/>
      <c r="E28" s="236">
        <f>Application!AC873</f>
        <v>68000</v>
      </c>
      <c r="F28" s="236">
        <f t="shared" ref="F28:S28" si="19">$E$28</f>
        <v>68000</v>
      </c>
      <c r="G28" s="236">
        <f t="shared" si="19"/>
        <v>68000</v>
      </c>
      <c r="H28" s="236">
        <f t="shared" si="19"/>
        <v>68000</v>
      </c>
      <c r="I28" s="236">
        <f t="shared" si="19"/>
        <v>68000</v>
      </c>
      <c r="J28" s="236">
        <f t="shared" si="19"/>
        <v>68000</v>
      </c>
      <c r="K28" s="236">
        <f t="shared" si="19"/>
        <v>68000</v>
      </c>
      <c r="L28" s="236">
        <f t="shared" si="19"/>
        <v>68000</v>
      </c>
      <c r="M28" s="236">
        <f t="shared" si="19"/>
        <v>68000</v>
      </c>
      <c r="N28" s="236">
        <f t="shared" si="19"/>
        <v>68000</v>
      </c>
      <c r="O28" s="236">
        <f t="shared" si="19"/>
        <v>68000</v>
      </c>
      <c r="P28" s="236">
        <f t="shared" si="19"/>
        <v>68000</v>
      </c>
      <c r="Q28" s="236">
        <f t="shared" si="19"/>
        <v>68000</v>
      </c>
      <c r="R28" s="236">
        <f t="shared" si="19"/>
        <v>68000</v>
      </c>
      <c r="S28" s="236">
        <f t="shared" si="19"/>
        <v>68000</v>
      </c>
    </row>
    <row r="29" spans="1:19" s="224" customFormat="1" ht="14">
      <c r="A29" s="224" t="s">
        <v>1940</v>
      </c>
      <c r="C29" s="245"/>
      <c r="D29" s="245"/>
      <c r="E29" s="236">
        <f>Application!AC874</f>
        <v>24823</v>
      </c>
      <c r="F29" s="236">
        <f t="shared" ref="F29:S29" si="20">$E$29</f>
        <v>24823</v>
      </c>
      <c r="G29" s="236">
        <f t="shared" si="20"/>
        <v>24823</v>
      </c>
      <c r="H29" s="236">
        <f t="shared" si="20"/>
        <v>24823</v>
      </c>
      <c r="I29" s="236">
        <f t="shared" si="20"/>
        <v>24823</v>
      </c>
      <c r="J29" s="236">
        <f t="shared" si="20"/>
        <v>24823</v>
      </c>
      <c r="K29" s="236">
        <f t="shared" si="20"/>
        <v>24823</v>
      </c>
      <c r="L29" s="236">
        <f t="shared" si="20"/>
        <v>24823</v>
      </c>
      <c r="M29" s="236">
        <f t="shared" si="20"/>
        <v>24823</v>
      </c>
      <c r="N29" s="236">
        <f t="shared" si="20"/>
        <v>24823</v>
      </c>
      <c r="O29" s="236">
        <f t="shared" si="20"/>
        <v>24823</v>
      </c>
      <c r="P29" s="236">
        <f t="shared" si="20"/>
        <v>24823</v>
      </c>
      <c r="Q29" s="236">
        <f t="shared" si="20"/>
        <v>24823</v>
      </c>
      <c r="R29" s="236">
        <f t="shared" si="20"/>
        <v>24823</v>
      </c>
      <c r="S29" s="236">
        <f t="shared" si="20"/>
        <v>24823</v>
      </c>
    </row>
    <row r="30" spans="1:19" s="224" customFormat="1" ht="14">
      <c r="A30" s="224" t="s">
        <v>873</v>
      </c>
      <c r="C30" s="245">
        <v>1.02</v>
      </c>
      <c r="D30" s="245"/>
      <c r="E30" s="236">
        <f>Application!AC875</f>
        <v>4483</v>
      </c>
      <c r="F30" s="236">
        <f t="shared" ref="F30:S30" si="21">E30*$C$30</f>
        <v>4572.66</v>
      </c>
      <c r="G30" s="236">
        <f t="shared" si="21"/>
        <v>4664.1131999999998</v>
      </c>
      <c r="H30" s="236">
        <f t="shared" si="21"/>
        <v>4757.3954640000002</v>
      </c>
      <c r="I30" s="236">
        <f t="shared" si="21"/>
        <v>4852.5433732800002</v>
      </c>
      <c r="J30" s="236">
        <f t="shared" si="21"/>
        <v>4949.5942407456005</v>
      </c>
      <c r="K30" s="236">
        <f t="shared" si="21"/>
        <v>5048.5861255605123</v>
      </c>
      <c r="L30" s="236">
        <f t="shared" si="21"/>
        <v>5149.5578480717222</v>
      </c>
      <c r="M30" s="236">
        <f t="shared" si="21"/>
        <v>5252.5490050331564</v>
      </c>
      <c r="N30" s="236">
        <f t="shared" si="21"/>
        <v>5357.5999851338192</v>
      </c>
      <c r="O30" s="236">
        <f t="shared" si="21"/>
        <v>5464.7519848364955</v>
      </c>
      <c r="P30" s="236">
        <f t="shared" si="21"/>
        <v>5574.0470245332253</v>
      </c>
      <c r="Q30" s="236">
        <f t="shared" si="21"/>
        <v>5685.5279650238899</v>
      </c>
      <c r="R30" s="236">
        <f t="shared" si="21"/>
        <v>5799.238524324368</v>
      </c>
      <c r="S30" s="236">
        <f t="shared" si="21"/>
        <v>5915.2232948108558</v>
      </c>
    </row>
    <row r="31" spans="1:19" s="224" customFormat="1" ht="14">
      <c r="A31" s="224" t="s">
        <v>1941</v>
      </c>
      <c r="C31" s="245">
        <v>1.02</v>
      </c>
      <c r="D31" s="245"/>
      <c r="E31" s="236">
        <f>Application!AC876</f>
        <v>0</v>
      </c>
      <c r="F31" s="236">
        <f t="shared" ref="F31:S31" si="22">E31*$C$31</f>
        <v>0</v>
      </c>
      <c r="G31" s="236">
        <f t="shared" si="22"/>
        <v>0</v>
      </c>
      <c r="H31" s="236">
        <f t="shared" si="22"/>
        <v>0</v>
      </c>
      <c r="I31" s="236">
        <f t="shared" si="22"/>
        <v>0</v>
      </c>
      <c r="J31" s="236">
        <f t="shared" si="22"/>
        <v>0</v>
      </c>
      <c r="K31" s="236">
        <f t="shared" si="22"/>
        <v>0</v>
      </c>
      <c r="L31" s="236">
        <f t="shared" si="22"/>
        <v>0</v>
      </c>
      <c r="M31" s="236">
        <f t="shared" si="22"/>
        <v>0</v>
      </c>
      <c r="N31" s="236">
        <f t="shared" si="22"/>
        <v>0</v>
      </c>
      <c r="O31" s="236">
        <f t="shared" si="22"/>
        <v>0</v>
      </c>
      <c r="P31" s="236">
        <f t="shared" si="22"/>
        <v>0</v>
      </c>
      <c r="Q31" s="236">
        <f t="shared" si="22"/>
        <v>0</v>
      </c>
      <c r="R31" s="236">
        <f t="shared" si="22"/>
        <v>0</v>
      </c>
      <c r="S31" s="236">
        <f t="shared" si="22"/>
        <v>0</v>
      </c>
    </row>
    <row r="32" spans="1:19" s="224" customFormat="1" ht="14">
      <c r="A32" s="224" t="str">
        <f>Application!C877</f>
        <v>Other (Specify):</v>
      </c>
      <c r="C32" s="331">
        <v>1.0349999999999999</v>
      </c>
      <c r="D32" s="331"/>
      <c r="E32" s="236">
        <f>Application!AC877</f>
        <v>0</v>
      </c>
      <c r="F32" s="236">
        <f t="shared" ref="F32:S32" si="23">E32*$C$32</f>
        <v>0</v>
      </c>
      <c r="G32" s="236">
        <f t="shared" si="23"/>
        <v>0</v>
      </c>
      <c r="H32" s="236">
        <f t="shared" si="23"/>
        <v>0</v>
      </c>
      <c r="I32" s="236">
        <f t="shared" si="23"/>
        <v>0</v>
      </c>
      <c r="J32" s="236">
        <f t="shared" si="23"/>
        <v>0</v>
      </c>
      <c r="K32" s="236">
        <f t="shared" si="23"/>
        <v>0</v>
      </c>
      <c r="L32" s="236">
        <f t="shared" si="23"/>
        <v>0</v>
      </c>
      <c r="M32" s="236">
        <f t="shared" si="23"/>
        <v>0</v>
      </c>
      <c r="N32" s="236">
        <f t="shared" si="23"/>
        <v>0</v>
      </c>
      <c r="O32" s="236">
        <f t="shared" si="23"/>
        <v>0</v>
      </c>
      <c r="P32" s="236">
        <f t="shared" si="23"/>
        <v>0</v>
      </c>
      <c r="Q32" s="236">
        <f t="shared" si="23"/>
        <v>0</v>
      </c>
      <c r="R32" s="236">
        <f t="shared" si="23"/>
        <v>0</v>
      </c>
      <c r="S32" s="236">
        <f t="shared" si="23"/>
        <v>0</v>
      </c>
    </row>
    <row r="33" spans="1:19" s="224" customFormat="1" ht="14">
      <c r="A33" s="224" t="str">
        <f>Application!C878</f>
        <v>Other (Specify):</v>
      </c>
      <c r="C33" s="331">
        <v>1.0349999999999999</v>
      </c>
      <c r="D33" s="331"/>
      <c r="E33" s="236">
        <f>Application!AC878</f>
        <v>0</v>
      </c>
      <c r="F33" s="236">
        <f t="shared" ref="F33:S33" si="24">E33*$C$33</f>
        <v>0</v>
      </c>
      <c r="G33" s="236">
        <f t="shared" si="24"/>
        <v>0</v>
      </c>
      <c r="H33" s="236">
        <f t="shared" si="24"/>
        <v>0</v>
      </c>
      <c r="I33" s="236">
        <f t="shared" si="24"/>
        <v>0</v>
      </c>
      <c r="J33" s="236">
        <f t="shared" si="24"/>
        <v>0</v>
      </c>
      <c r="K33" s="236">
        <f t="shared" si="24"/>
        <v>0</v>
      </c>
      <c r="L33" s="236">
        <f t="shared" si="24"/>
        <v>0</v>
      </c>
      <c r="M33" s="236">
        <f t="shared" si="24"/>
        <v>0</v>
      </c>
      <c r="N33" s="236">
        <f t="shared" si="24"/>
        <v>0</v>
      </c>
      <c r="O33" s="236">
        <f t="shared" si="24"/>
        <v>0</v>
      </c>
      <c r="P33" s="236">
        <f t="shared" si="24"/>
        <v>0</v>
      </c>
      <c r="Q33" s="236">
        <f t="shared" si="24"/>
        <v>0</v>
      </c>
      <c r="R33" s="236">
        <f t="shared" si="24"/>
        <v>0</v>
      </c>
      <c r="S33" s="236">
        <f t="shared" si="24"/>
        <v>0</v>
      </c>
    </row>
    <row r="34" spans="1:19" s="224" customFormat="1" ht="14">
      <c r="C34" s="234"/>
      <c r="D34" s="234"/>
      <c r="E34" s="236"/>
      <c r="F34" s="236"/>
      <c r="G34" s="236"/>
      <c r="H34" s="236"/>
      <c r="I34" s="236"/>
      <c r="J34" s="236"/>
      <c r="K34" s="236"/>
      <c r="L34" s="236"/>
      <c r="M34" s="236"/>
      <c r="N34" s="236"/>
      <c r="O34" s="236"/>
      <c r="P34" s="236"/>
      <c r="Q34" s="236"/>
      <c r="R34" s="236"/>
      <c r="S34" s="236"/>
    </row>
    <row r="35" spans="1:19" s="237" customFormat="1" ht="14">
      <c r="A35" s="237" t="s">
        <v>179</v>
      </c>
      <c r="C35" s="238"/>
      <c r="D35" s="238"/>
      <c r="E35" s="237">
        <f t="shared" ref="E35:S35" si="25">SUM(E22:E33)</f>
        <v>1398241</v>
      </c>
      <c r="F35" s="237">
        <f t="shared" si="25"/>
        <v>1443863.3849999998</v>
      </c>
      <c r="G35" s="237">
        <f t="shared" si="25"/>
        <v>1491081.2085749998</v>
      </c>
      <c r="H35" s="237">
        <f t="shared" si="25"/>
        <v>1539950.2841771247</v>
      </c>
      <c r="I35" s="237">
        <f t="shared" si="25"/>
        <v>1590528.378191364</v>
      </c>
      <c r="J35" s="237">
        <f t="shared" si="25"/>
        <v>1642875.2782774621</v>
      </c>
      <c r="K35" s="237">
        <f t="shared" si="25"/>
        <v>1697052.8641035622</v>
      </c>
      <c r="L35" s="237">
        <f t="shared" si="25"/>
        <v>1753125.1805553031</v>
      </c>
      <c r="M35" s="237">
        <f t="shared" si="25"/>
        <v>1811158.5135070176</v>
      </c>
      <c r="N35" s="237">
        <f t="shared" si="25"/>
        <v>1871221.4682446874</v>
      </c>
      <c r="O35" s="237">
        <f t="shared" si="25"/>
        <v>1933385.0506334747</v>
      </c>
      <c r="P35" s="237">
        <f t="shared" si="25"/>
        <v>1997722.7511258733</v>
      </c>
      <c r="Q35" s="237">
        <f t="shared" si="25"/>
        <v>2064310.6317099112</v>
      </c>
      <c r="R35" s="237">
        <f t="shared" si="25"/>
        <v>2133227.4159002821</v>
      </c>
      <c r="S35" s="237">
        <f t="shared" si="25"/>
        <v>2204554.5818789271</v>
      </c>
    </row>
    <row r="36" spans="1:19" s="224" customFormat="1" ht="14">
      <c r="C36" s="234"/>
      <c r="D36" s="234"/>
      <c r="E36" s="236"/>
      <c r="F36" s="236"/>
      <c r="G36" s="236"/>
      <c r="H36" s="236"/>
      <c r="I36" s="236"/>
      <c r="J36" s="236"/>
      <c r="K36" s="236"/>
      <c r="L36" s="236"/>
      <c r="M36" s="236"/>
      <c r="N36" s="236"/>
      <c r="O36" s="236"/>
      <c r="P36" s="236"/>
      <c r="Q36" s="236"/>
      <c r="R36" s="236"/>
      <c r="S36" s="236"/>
    </row>
    <row r="37" spans="1:19" s="237" customFormat="1" ht="14">
      <c r="A37" s="237" t="s">
        <v>876</v>
      </c>
      <c r="C37" s="238"/>
      <c r="D37" s="238"/>
      <c r="E37" s="237">
        <f t="shared" ref="E37:S37" si="26">E11-E35</f>
        <v>1527524.2654399998</v>
      </c>
      <c r="F37" s="237">
        <f t="shared" si="26"/>
        <v>1555046.0120759998</v>
      </c>
      <c r="G37" s="237">
        <f t="shared" si="26"/>
        <v>1582800.9234279001</v>
      </c>
      <c r="H37" s="237">
        <f t="shared" si="26"/>
        <v>1610778.9011258476</v>
      </c>
      <c r="I37" s="237">
        <f t="shared" si="26"/>
        <v>1638969.0367441815</v>
      </c>
      <c r="J37" s="237">
        <f t="shared" si="26"/>
        <v>1667359.5720314721</v>
      </c>
      <c r="K37" s="237">
        <f t="shared" si="26"/>
        <v>1695937.8574630953</v>
      </c>
      <c r="L37" s="237">
        <f t="shared" si="26"/>
        <v>1724690.3090505209</v>
      </c>
      <c r="M37" s="237">
        <f t="shared" si="26"/>
        <v>1753602.3633389513</v>
      </c>
      <c r="N37" s="237">
        <f t="shared" si="26"/>
        <v>1782658.4305224305</v>
      </c>
      <c r="O37" s="237">
        <f t="shared" si="26"/>
        <v>1811841.8456028211</v>
      </c>
      <c r="P37" s="237">
        <f t="shared" si="26"/>
        <v>1841134.8175163299</v>
      </c>
      <c r="Q37" s="237">
        <f t="shared" si="26"/>
        <v>1870518.3761483461</v>
      </c>
      <c r="R37" s="237">
        <f t="shared" si="26"/>
        <v>1899972.3171544312</v>
      </c>
      <c r="S37" s="237">
        <f t="shared" si="26"/>
        <v>1929475.1445021541</v>
      </c>
    </row>
    <row r="38" spans="1:19" s="224" customFormat="1" ht="14">
      <c r="C38" s="234"/>
      <c r="D38" s="234"/>
      <c r="E38" s="236"/>
      <c r="F38" s="236"/>
      <c r="G38" s="236"/>
      <c r="H38" s="236"/>
      <c r="I38" s="236"/>
      <c r="J38" s="236"/>
      <c r="K38" s="236"/>
      <c r="L38" s="236"/>
      <c r="M38" s="236"/>
      <c r="N38" s="236"/>
      <c r="O38" s="236"/>
      <c r="P38" s="236"/>
      <c r="Q38" s="236"/>
      <c r="R38" s="236"/>
      <c r="S38" s="236"/>
    </row>
    <row r="39" spans="1:19" s="224" customFormat="1" ht="14">
      <c r="A39" s="1243" t="s">
        <v>889</v>
      </c>
      <c r="C39" s="234"/>
      <c r="D39" s="234"/>
      <c r="E39" s="236"/>
      <c r="F39" s="236"/>
      <c r="G39" s="236"/>
      <c r="H39" s="236"/>
      <c r="I39" s="236"/>
      <c r="J39" s="236"/>
      <c r="K39" s="236"/>
      <c r="L39" s="236"/>
      <c r="M39" s="236"/>
      <c r="N39" s="236"/>
      <c r="O39" s="236"/>
      <c r="P39" s="236"/>
      <c r="Q39" s="236"/>
      <c r="R39" s="236"/>
      <c r="S39" s="236"/>
    </row>
    <row r="40" spans="1:19" s="224" customFormat="1" ht="14">
      <c r="A40" s="1244" t="str">
        <f>Application!C623</f>
        <v>CCRC TE Perm Loan Tranche A</v>
      </c>
      <c r="C40" s="234"/>
      <c r="D40" s="234"/>
      <c r="E40" s="236">
        <f>Application!AF623</f>
        <v>974653</v>
      </c>
      <c r="F40" s="236">
        <f t="shared" ref="F40:S40" si="27">$E$40</f>
        <v>974653</v>
      </c>
      <c r="G40" s="236">
        <f t="shared" si="27"/>
        <v>974653</v>
      </c>
      <c r="H40" s="236">
        <f t="shared" si="27"/>
        <v>974653</v>
      </c>
      <c r="I40" s="236">
        <f t="shared" si="27"/>
        <v>974653</v>
      </c>
      <c r="J40" s="236">
        <f t="shared" si="27"/>
        <v>974653</v>
      </c>
      <c r="K40" s="236">
        <f t="shared" si="27"/>
        <v>974653</v>
      </c>
      <c r="L40" s="236">
        <f t="shared" si="27"/>
        <v>974653</v>
      </c>
      <c r="M40" s="236">
        <f t="shared" si="27"/>
        <v>974653</v>
      </c>
      <c r="N40" s="236">
        <f t="shared" si="27"/>
        <v>974653</v>
      </c>
      <c r="O40" s="236">
        <f t="shared" si="27"/>
        <v>974653</v>
      </c>
      <c r="P40" s="236">
        <f t="shared" si="27"/>
        <v>974653</v>
      </c>
      <c r="Q40" s="236">
        <f t="shared" si="27"/>
        <v>974653</v>
      </c>
      <c r="R40" s="236">
        <f t="shared" si="27"/>
        <v>974653</v>
      </c>
      <c r="S40" s="236">
        <f t="shared" si="27"/>
        <v>974653</v>
      </c>
    </row>
    <row r="41" spans="1:19" s="224" customFormat="1" ht="14">
      <c r="A41" s="1244" t="str">
        <f>Application!C624</f>
        <v>CCRC TE Perm Loan Tranche B</v>
      </c>
      <c r="C41" s="234"/>
      <c r="D41" s="234"/>
      <c r="E41" s="236">
        <f>Application!AF624</f>
        <v>301196</v>
      </c>
      <c r="F41" s="236">
        <f t="shared" ref="F41:S41" si="28">$E$41</f>
        <v>301196</v>
      </c>
      <c r="G41" s="236">
        <f t="shared" si="28"/>
        <v>301196</v>
      </c>
      <c r="H41" s="236">
        <f t="shared" si="28"/>
        <v>301196</v>
      </c>
      <c r="I41" s="236">
        <f t="shared" si="28"/>
        <v>301196</v>
      </c>
      <c r="J41" s="236">
        <f t="shared" si="28"/>
        <v>301196</v>
      </c>
      <c r="K41" s="236">
        <f t="shared" si="28"/>
        <v>301196</v>
      </c>
      <c r="L41" s="236">
        <f t="shared" si="28"/>
        <v>301196</v>
      </c>
      <c r="M41" s="236">
        <f t="shared" si="28"/>
        <v>301196</v>
      </c>
      <c r="N41" s="236">
        <f t="shared" si="28"/>
        <v>301196</v>
      </c>
      <c r="O41" s="236">
        <f t="shared" si="28"/>
        <v>301196</v>
      </c>
      <c r="P41" s="236">
        <f t="shared" si="28"/>
        <v>301196</v>
      </c>
      <c r="Q41" s="236">
        <f t="shared" si="28"/>
        <v>301196</v>
      </c>
      <c r="R41" s="236">
        <f t="shared" si="28"/>
        <v>301196</v>
      </c>
      <c r="S41" s="236">
        <f t="shared" si="28"/>
        <v>301196</v>
      </c>
    </row>
    <row r="42" spans="1:19" s="224" customFormat="1" ht="14">
      <c r="A42" s="1244" t="str">
        <f>Application!C625</f>
        <v>HCD - AHSC</v>
      </c>
      <c r="C42" s="234"/>
      <c r="D42" s="234"/>
      <c r="E42" s="240">
        <f>Application!AF625</f>
        <v>49140</v>
      </c>
      <c r="F42" s="240">
        <f t="shared" ref="F42:S42" si="29">$E$42</f>
        <v>49140</v>
      </c>
      <c r="G42" s="240">
        <f t="shared" si="29"/>
        <v>49140</v>
      </c>
      <c r="H42" s="240">
        <f t="shared" si="29"/>
        <v>49140</v>
      </c>
      <c r="I42" s="240">
        <f t="shared" si="29"/>
        <v>49140</v>
      </c>
      <c r="J42" s="240">
        <f t="shared" si="29"/>
        <v>49140</v>
      </c>
      <c r="K42" s="240">
        <f t="shared" si="29"/>
        <v>49140</v>
      </c>
      <c r="L42" s="240">
        <f t="shared" si="29"/>
        <v>49140</v>
      </c>
      <c r="M42" s="240">
        <f t="shared" si="29"/>
        <v>49140</v>
      </c>
      <c r="N42" s="240">
        <f t="shared" si="29"/>
        <v>49140</v>
      </c>
      <c r="O42" s="240">
        <f t="shared" si="29"/>
        <v>49140</v>
      </c>
      <c r="P42" s="240">
        <f t="shared" si="29"/>
        <v>49140</v>
      </c>
      <c r="Q42" s="240">
        <f t="shared" si="29"/>
        <v>49140</v>
      </c>
      <c r="R42" s="240">
        <f t="shared" si="29"/>
        <v>49140</v>
      </c>
      <c r="S42" s="240">
        <f t="shared" si="29"/>
        <v>49140</v>
      </c>
    </row>
    <row r="43" spans="1:19" s="237" customFormat="1" ht="14">
      <c r="A43" s="237" t="s">
        <v>877</v>
      </c>
      <c r="C43" s="238"/>
      <c r="D43" s="238"/>
      <c r="E43" s="237">
        <f t="shared" ref="E43:S43" si="30">SUM(E40:E42)</f>
        <v>1324989</v>
      </c>
      <c r="F43" s="237">
        <f t="shared" si="30"/>
        <v>1324989</v>
      </c>
      <c r="G43" s="237">
        <f t="shared" si="30"/>
        <v>1324989</v>
      </c>
      <c r="H43" s="237">
        <f t="shared" si="30"/>
        <v>1324989</v>
      </c>
      <c r="I43" s="237">
        <f t="shared" si="30"/>
        <v>1324989</v>
      </c>
      <c r="J43" s="237">
        <f t="shared" si="30"/>
        <v>1324989</v>
      </c>
      <c r="K43" s="237">
        <f t="shared" si="30"/>
        <v>1324989</v>
      </c>
      <c r="L43" s="237">
        <f t="shared" si="30"/>
        <v>1324989</v>
      </c>
      <c r="M43" s="237">
        <f t="shared" si="30"/>
        <v>1324989</v>
      </c>
      <c r="N43" s="237">
        <f t="shared" si="30"/>
        <v>1324989</v>
      </c>
      <c r="O43" s="237">
        <f t="shared" si="30"/>
        <v>1324989</v>
      </c>
      <c r="P43" s="237">
        <f t="shared" si="30"/>
        <v>1324989</v>
      </c>
      <c r="Q43" s="237">
        <f t="shared" si="30"/>
        <v>1324989</v>
      </c>
      <c r="R43" s="237">
        <f t="shared" si="30"/>
        <v>1324989</v>
      </c>
      <c r="S43" s="237">
        <f t="shared" si="30"/>
        <v>1324989</v>
      </c>
    </row>
    <row r="44" spans="1:19" s="224" customFormat="1" ht="14">
      <c r="C44" s="234"/>
      <c r="D44" s="234"/>
      <c r="E44" s="236"/>
      <c r="F44" s="236"/>
      <c r="G44" s="236"/>
      <c r="H44" s="236"/>
      <c r="I44" s="236"/>
      <c r="J44" s="236"/>
      <c r="K44" s="236"/>
      <c r="L44" s="236"/>
      <c r="M44" s="236"/>
      <c r="N44" s="236"/>
      <c r="O44" s="236"/>
      <c r="P44" s="236"/>
      <c r="Q44" s="236"/>
      <c r="R44" s="236"/>
      <c r="S44" s="236"/>
    </row>
    <row r="45" spans="1:19" s="237" customFormat="1" ht="14">
      <c r="A45" s="237" t="s">
        <v>878</v>
      </c>
      <c r="C45" s="238"/>
      <c r="D45" s="238"/>
      <c r="E45" s="237">
        <f t="shared" ref="E45:S45" si="31">E37-E43</f>
        <v>202535.26543999976</v>
      </c>
      <c r="F45" s="237">
        <f t="shared" si="31"/>
        <v>230057.01207599975</v>
      </c>
      <c r="G45" s="237">
        <f t="shared" si="31"/>
        <v>257811.92342790007</v>
      </c>
      <c r="H45" s="237">
        <f t="shared" si="31"/>
        <v>285789.90112584759</v>
      </c>
      <c r="I45" s="237">
        <f t="shared" si="31"/>
        <v>313980.03674418153</v>
      </c>
      <c r="J45" s="237">
        <f t="shared" si="31"/>
        <v>342370.57203147211</v>
      </c>
      <c r="K45" s="237">
        <f t="shared" si="31"/>
        <v>370948.85746309534</v>
      </c>
      <c r="L45" s="237">
        <f t="shared" si="31"/>
        <v>399701.30905052088</v>
      </c>
      <c r="M45" s="237">
        <f t="shared" si="31"/>
        <v>428613.36333895125</v>
      </c>
      <c r="N45" s="237">
        <f t="shared" si="31"/>
        <v>457669.43052243046</v>
      </c>
      <c r="O45" s="237">
        <f t="shared" si="31"/>
        <v>486852.84560282109</v>
      </c>
      <c r="P45" s="237">
        <f t="shared" si="31"/>
        <v>516145.81751632993</v>
      </c>
      <c r="Q45" s="237">
        <f t="shared" si="31"/>
        <v>545529.37614834611</v>
      </c>
      <c r="R45" s="237">
        <f t="shared" si="31"/>
        <v>574983.31715443125</v>
      </c>
      <c r="S45" s="237">
        <f t="shared" si="31"/>
        <v>604486.14450215409</v>
      </c>
    </row>
    <row r="46" spans="1:19" s="224" customFormat="1" ht="14">
      <c r="C46" s="234"/>
      <c r="D46" s="234"/>
      <c r="E46" s="236"/>
      <c r="F46" s="236"/>
      <c r="G46" s="236"/>
      <c r="H46" s="236"/>
      <c r="I46" s="236"/>
      <c r="J46" s="236"/>
      <c r="K46" s="236"/>
      <c r="L46" s="236"/>
      <c r="M46" s="236"/>
      <c r="N46" s="236"/>
      <c r="O46" s="236"/>
      <c r="P46" s="236"/>
      <c r="Q46" s="236"/>
      <c r="R46" s="236"/>
      <c r="S46" s="236"/>
    </row>
    <row r="47" spans="1:19" s="1245" customFormat="1" ht="14">
      <c r="A47" s="1245" t="s">
        <v>880</v>
      </c>
      <c r="C47" s="234"/>
      <c r="D47" s="234"/>
      <c r="E47" s="1245">
        <f t="shared" ref="E47:S47" si="32">E45/(E4+E6+E8)</f>
        <v>6.5715871802059886E-2</v>
      </c>
      <c r="F47" s="1245">
        <f t="shared" si="32"/>
        <v>7.2825123504859132E-2</v>
      </c>
      <c r="G47" s="1245">
        <f t="shared" si="32"/>
        <v>7.9620497779617369E-2</v>
      </c>
      <c r="H47" s="1245">
        <f t="shared" si="32"/>
        <v>8.6108277600492195E-2</v>
      </c>
      <c r="I47" s="1245">
        <f t="shared" si="32"/>
        <v>9.2294579317297579E-2</v>
      </c>
      <c r="J47" s="1245">
        <f t="shared" si="32"/>
        <v>9.8185356588917944E-2</v>
      </c>
      <c r="K47" s="1245">
        <f t="shared" si="32"/>
        <v>0.1037864042195083</v>
      </c>
      <c r="L47" s="1245">
        <f t="shared" si="32"/>
        <v>0.10910336189984661</v>
      </c>
      <c r="M47" s="1245">
        <f t="shared" si="32"/>
        <v>0.11414171785613102</v>
      </c>
      <c r="N47" s="1245">
        <f t="shared" si="32"/>
        <v>0.11890681240847376</v>
      </c>
      <c r="O47" s="1245">
        <f t="shared" si="32"/>
        <v>0.12340384144127486</v>
      </c>
      <c r="P47" s="1245">
        <f t="shared" si="32"/>
        <v>0.12763785978761852</v>
      </c>
      <c r="Q47" s="1245">
        <f t="shared" si="32"/>
        <v>0.13161378452976996</v>
      </c>
      <c r="R47" s="1245">
        <f t="shared" si="32"/>
        <v>0.13533639821781271</v>
      </c>
      <c r="S47" s="1245">
        <f t="shared" si="32"/>
        <v>0.13881035200840103</v>
      </c>
    </row>
    <row r="48" spans="1:19" s="1245" customFormat="1" ht="14">
      <c r="A48" s="1245" t="s">
        <v>881</v>
      </c>
      <c r="C48" s="234"/>
      <c r="D48" s="234"/>
      <c r="E48" s="1245">
        <f t="shared" ref="E48:S48" si="33">E45/E43</f>
        <v>0.15285807311607852</v>
      </c>
      <c r="F48" s="1245">
        <f t="shared" si="33"/>
        <v>0.17362937509367984</v>
      </c>
      <c r="G48" s="1245">
        <f t="shared" si="33"/>
        <v>0.1945766519026951</v>
      </c>
      <c r="H48" s="1245">
        <f t="shared" si="33"/>
        <v>0.21569228206864177</v>
      </c>
      <c r="I48" s="1245">
        <f t="shared" si="33"/>
        <v>0.23696803274908812</v>
      </c>
      <c r="J48" s="1245">
        <f t="shared" si="33"/>
        <v>0.25839502971833889</v>
      </c>
      <c r="K48" s="1245">
        <f t="shared" si="33"/>
        <v>0.27996372608609982</v>
      </c>
      <c r="L48" s="1245">
        <f t="shared" si="33"/>
        <v>0.30166386970044345</v>
      </c>
      <c r="M48" s="1245">
        <f t="shared" si="33"/>
        <v>0.32348446918348095</v>
      </c>
      <c r="N48" s="1245">
        <f t="shared" si="33"/>
        <v>0.3454137585462449</v>
      </c>
      <c r="O48" s="1245">
        <f t="shared" si="33"/>
        <v>0.36743916032723373</v>
      </c>
      <c r="P48" s="1245">
        <f t="shared" si="33"/>
        <v>0.38954724719701816</v>
      </c>
      <c r="Q48" s="1245">
        <f t="shared" si="33"/>
        <v>0.41172370196910774</v>
      </c>
      <c r="R48" s="1245">
        <f t="shared" si="33"/>
        <v>0.43395327595506927</v>
      </c>
      <c r="S48" s="1245">
        <f t="shared" si="33"/>
        <v>0.45621974559951373</v>
      </c>
    </row>
    <row r="49" spans="1:20" s="1246" customFormat="1" ht="14">
      <c r="A49" s="1246" t="s">
        <v>879</v>
      </c>
      <c r="C49" s="1247"/>
      <c r="D49" s="1247"/>
      <c r="E49" s="1246">
        <f t="shared" ref="E49:S49" si="34">E37/E43</f>
        <v>1.1528580731160785</v>
      </c>
      <c r="F49" s="1246">
        <f t="shared" si="34"/>
        <v>1.1736293750936799</v>
      </c>
      <c r="G49" s="1246">
        <f t="shared" si="34"/>
        <v>1.194576651902695</v>
      </c>
      <c r="H49" s="1246">
        <f t="shared" si="34"/>
        <v>1.2156922820686418</v>
      </c>
      <c r="I49" s="1246">
        <f t="shared" si="34"/>
        <v>1.2369680327490882</v>
      </c>
      <c r="J49" s="1246">
        <f t="shared" si="34"/>
        <v>1.2583950297183388</v>
      </c>
      <c r="K49" s="1246">
        <f t="shared" si="34"/>
        <v>1.2799637260860999</v>
      </c>
      <c r="L49" s="1246">
        <f t="shared" si="34"/>
        <v>1.3016638697004435</v>
      </c>
      <c r="M49" s="1246">
        <f t="shared" si="34"/>
        <v>1.3234844691834811</v>
      </c>
      <c r="N49" s="1246">
        <f t="shared" si="34"/>
        <v>1.3454137585462449</v>
      </c>
      <c r="O49" s="1246">
        <f t="shared" si="34"/>
        <v>1.3674391603272338</v>
      </c>
      <c r="P49" s="1246">
        <f t="shared" si="34"/>
        <v>1.3895472471970183</v>
      </c>
      <c r="Q49" s="1246">
        <f t="shared" si="34"/>
        <v>1.4117237019691078</v>
      </c>
      <c r="R49" s="1246">
        <f t="shared" si="34"/>
        <v>1.4339532759550693</v>
      </c>
      <c r="S49" s="1246">
        <f t="shared" si="34"/>
        <v>1.4562197455995136</v>
      </c>
    </row>
    <row r="50" spans="1:20" s="224" customFormat="1" ht="14">
      <c r="A50" s="1248"/>
      <c r="B50" s="1248"/>
      <c r="C50" s="1249"/>
      <c r="D50" s="1249"/>
      <c r="E50" s="240"/>
      <c r="F50" s="240"/>
      <c r="G50" s="240"/>
      <c r="H50" s="240"/>
      <c r="I50" s="240"/>
      <c r="J50" s="240"/>
      <c r="K50" s="240"/>
      <c r="L50" s="240"/>
      <c r="M50" s="240"/>
      <c r="N50" s="240"/>
      <c r="O50" s="240"/>
      <c r="P50" s="240"/>
      <c r="Q50" s="240"/>
      <c r="R50" s="240"/>
      <c r="S50" s="240"/>
    </row>
    <row r="51" spans="1:20" s="3" customFormat="1">
      <c r="A51" s="3" t="s">
        <v>891</v>
      </c>
      <c r="C51" s="1250"/>
      <c r="D51" s="1250"/>
      <c r="E51" s="986"/>
      <c r="F51" s="986"/>
      <c r="G51" s="986"/>
      <c r="H51" s="986"/>
      <c r="I51" s="986"/>
      <c r="J51" s="986"/>
      <c r="K51" s="986"/>
      <c r="L51" s="986"/>
      <c r="M51" s="986"/>
      <c r="N51" s="986"/>
      <c r="O51" s="986"/>
      <c r="P51" s="986"/>
      <c r="Q51" s="986"/>
      <c r="R51" s="986"/>
      <c r="S51" s="986"/>
    </row>
    <row r="52" spans="1:20" s="3" customFormat="1">
      <c r="A52" s="1270" t="s">
        <v>1327</v>
      </c>
      <c r="B52" s="1270"/>
      <c r="C52" s="1270"/>
      <c r="D52" s="118"/>
      <c r="E52" s="986"/>
      <c r="F52" s="986"/>
      <c r="G52" s="986"/>
      <c r="H52" s="986"/>
      <c r="I52" s="986"/>
      <c r="J52" s="986"/>
      <c r="K52" s="986"/>
      <c r="L52" s="986"/>
      <c r="M52" s="986"/>
      <c r="N52" s="986"/>
      <c r="O52" s="986"/>
      <c r="P52" s="986"/>
      <c r="Q52" s="986"/>
      <c r="R52" s="986"/>
      <c r="S52" s="986"/>
    </row>
    <row r="53" spans="1:20" s="987" customFormat="1">
      <c r="A53" s="987" t="s">
        <v>883</v>
      </c>
      <c r="C53" s="1251"/>
      <c r="D53" s="1255"/>
      <c r="F53" s="986">
        <f t="shared" ref="F53:S53" si="35">E53*$C$53</f>
        <v>0</v>
      </c>
      <c r="G53" s="986">
        <f t="shared" si="35"/>
        <v>0</v>
      </c>
      <c r="H53" s="986">
        <f t="shared" si="35"/>
        <v>0</v>
      </c>
      <c r="I53" s="986">
        <f t="shared" si="35"/>
        <v>0</v>
      </c>
      <c r="J53" s="986">
        <f t="shared" si="35"/>
        <v>0</v>
      </c>
      <c r="K53" s="986">
        <f t="shared" si="35"/>
        <v>0</v>
      </c>
      <c r="L53" s="986">
        <f t="shared" si="35"/>
        <v>0</v>
      </c>
      <c r="M53" s="986">
        <f t="shared" si="35"/>
        <v>0</v>
      </c>
      <c r="N53" s="986">
        <f t="shared" si="35"/>
        <v>0</v>
      </c>
      <c r="O53" s="986">
        <f t="shared" si="35"/>
        <v>0</v>
      </c>
      <c r="P53" s="986">
        <f t="shared" si="35"/>
        <v>0</v>
      </c>
      <c r="Q53" s="986">
        <f t="shared" si="35"/>
        <v>0</v>
      </c>
      <c r="R53" s="986">
        <f t="shared" si="35"/>
        <v>0</v>
      </c>
      <c r="S53" s="986">
        <f t="shared" si="35"/>
        <v>0</v>
      </c>
    </row>
    <row r="54" spans="1:20" s="3" customFormat="1">
      <c r="A54" s="3" t="s">
        <v>884</v>
      </c>
      <c r="C54" s="1252"/>
      <c r="D54" s="1252"/>
      <c r="E54" s="986"/>
      <c r="F54" s="986">
        <f t="shared" ref="F54:R54" si="36">E54*$C$53</f>
        <v>0</v>
      </c>
      <c r="G54" s="986">
        <f t="shared" si="36"/>
        <v>0</v>
      </c>
      <c r="H54" s="986">
        <f t="shared" si="36"/>
        <v>0</v>
      </c>
      <c r="I54" s="986">
        <f t="shared" si="36"/>
        <v>0</v>
      </c>
      <c r="J54" s="986">
        <f t="shared" si="36"/>
        <v>0</v>
      </c>
      <c r="K54" s="986">
        <f t="shared" si="36"/>
        <v>0</v>
      </c>
      <c r="L54" s="986">
        <f t="shared" si="36"/>
        <v>0</v>
      </c>
      <c r="M54" s="986">
        <f t="shared" si="36"/>
        <v>0</v>
      </c>
      <c r="N54" s="986">
        <f t="shared" si="36"/>
        <v>0</v>
      </c>
      <c r="O54" s="986">
        <f t="shared" si="36"/>
        <v>0</v>
      </c>
      <c r="P54" s="986">
        <f t="shared" si="36"/>
        <v>0</v>
      </c>
      <c r="Q54" s="986">
        <f t="shared" si="36"/>
        <v>0</v>
      </c>
      <c r="R54" s="986">
        <f t="shared" si="36"/>
        <v>0</v>
      </c>
      <c r="S54" s="986">
        <f t="shared" ref="S54:S57" si="37">R54*$C$53</f>
        <v>0</v>
      </c>
      <c r="T54" s="986"/>
    </row>
    <row r="55" spans="1:20" s="3" customFormat="1">
      <c r="A55" s="3" t="s">
        <v>885</v>
      </c>
      <c r="C55" s="1252"/>
      <c r="D55" s="1252"/>
      <c r="E55" s="986"/>
      <c r="F55" s="986">
        <f t="shared" ref="F55:R55" si="38">E55*$C$53</f>
        <v>0</v>
      </c>
      <c r="G55" s="986">
        <f t="shared" si="38"/>
        <v>0</v>
      </c>
      <c r="H55" s="986">
        <f t="shared" si="38"/>
        <v>0</v>
      </c>
      <c r="I55" s="986">
        <f t="shared" si="38"/>
        <v>0</v>
      </c>
      <c r="J55" s="986">
        <f t="shared" si="38"/>
        <v>0</v>
      </c>
      <c r="K55" s="986">
        <f t="shared" si="38"/>
        <v>0</v>
      </c>
      <c r="L55" s="986">
        <f t="shared" si="38"/>
        <v>0</v>
      </c>
      <c r="M55" s="986">
        <f t="shared" si="38"/>
        <v>0</v>
      </c>
      <c r="N55" s="986">
        <f t="shared" si="38"/>
        <v>0</v>
      </c>
      <c r="O55" s="986">
        <f t="shared" si="38"/>
        <v>0</v>
      </c>
      <c r="P55" s="986">
        <f t="shared" si="38"/>
        <v>0</v>
      </c>
      <c r="Q55" s="986">
        <f t="shared" si="38"/>
        <v>0</v>
      </c>
      <c r="R55" s="986">
        <f t="shared" si="38"/>
        <v>0</v>
      </c>
      <c r="S55" s="986">
        <f t="shared" si="37"/>
        <v>0</v>
      </c>
      <c r="T55" s="986"/>
    </row>
    <row r="56" spans="1:20" s="3" customFormat="1">
      <c r="C56" s="1252"/>
      <c r="D56" s="1252"/>
      <c r="E56" s="986"/>
      <c r="F56" s="986">
        <f t="shared" ref="F56:R56" si="39">E56*$C$53</f>
        <v>0</v>
      </c>
      <c r="G56" s="986">
        <f t="shared" si="39"/>
        <v>0</v>
      </c>
      <c r="H56" s="986">
        <f t="shared" si="39"/>
        <v>0</v>
      </c>
      <c r="I56" s="986">
        <f t="shared" si="39"/>
        <v>0</v>
      </c>
      <c r="J56" s="986">
        <f t="shared" si="39"/>
        <v>0</v>
      </c>
      <c r="K56" s="986">
        <f t="shared" si="39"/>
        <v>0</v>
      </c>
      <c r="L56" s="986">
        <f t="shared" si="39"/>
        <v>0</v>
      </c>
      <c r="M56" s="986">
        <f t="shared" si="39"/>
        <v>0</v>
      </c>
      <c r="N56" s="986">
        <f t="shared" si="39"/>
        <v>0</v>
      </c>
      <c r="O56" s="986">
        <f t="shared" si="39"/>
        <v>0</v>
      </c>
      <c r="P56" s="986">
        <f t="shared" si="39"/>
        <v>0</v>
      </c>
      <c r="Q56" s="986">
        <f t="shared" si="39"/>
        <v>0</v>
      </c>
      <c r="R56" s="986">
        <f t="shared" si="39"/>
        <v>0</v>
      </c>
      <c r="S56" s="986">
        <f t="shared" si="37"/>
        <v>0</v>
      </c>
      <c r="T56" s="986"/>
    </row>
    <row r="57" spans="1:20" s="3" customFormat="1">
      <c r="C57" s="1252"/>
      <c r="D57" s="1252"/>
      <c r="E57" s="1253"/>
      <c r="F57" s="1253">
        <f t="shared" ref="F57:R57" si="40">E57*$C$53</f>
        <v>0</v>
      </c>
      <c r="G57" s="1253">
        <f t="shared" si="40"/>
        <v>0</v>
      </c>
      <c r="H57" s="1253">
        <f t="shared" si="40"/>
        <v>0</v>
      </c>
      <c r="I57" s="1253">
        <f t="shared" si="40"/>
        <v>0</v>
      </c>
      <c r="J57" s="1253">
        <f t="shared" si="40"/>
        <v>0</v>
      </c>
      <c r="K57" s="1253">
        <f t="shared" si="40"/>
        <v>0</v>
      </c>
      <c r="L57" s="1253">
        <f t="shared" si="40"/>
        <v>0</v>
      </c>
      <c r="M57" s="1253">
        <f t="shared" si="40"/>
        <v>0</v>
      </c>
      <c r="N57" s="1253">
        <f t="shared" si="40"/>
        <v>0</v>
      </c>
      <c r="O57" s="1253">
        <f t="shared" si="40"/>
        <v>0</v>
      </c>
      <c r="P57" s="1253">
        <f t="shared" si="40"/>
        <v>0</v>
      </c>
      <c r="Q57" s="1253">
        <f t="shared" si="40"/>
        <v>0</v>
      </c>
      <c r="R57" s="1253">
        <f t="shared" si="40"/>
        <v>0</v>
      </c>
      <c r="S57" s="1253">
        <f t="shared" si="37"/>
        <v>0</v>
      </c>
      <c r="T57" s="986"/>
    </row>
    <row r="58" spans="1:20" s="3" customFormat="1">
      <c r="A58" s="987" t="s">
        <v>882</v>
      </c>
      <c r="C58" s="1250"/>
      <c r="D58" s="1250"/>
      <c r="E58" s="986">
        <f t="shared" ref="E58:S58" si="41">SUM(E53:E57)</f>
        <v>0</v>
      </c>
      <c r="F58" s="986">
        <f t="shared" si="41"/>
        <v>0</v>
      </c>
      <c r="G58" s="986">
        <f t="shared" si="41"/>
        <v>0</v>
      </c>
      <c r="H58" s="986">
        <f t="shared" si="41"/>
        <v>0</v>
      </c>
      <c r="I58" s="986">
        <f t="shared" si="41"/>
        <v>0</v>
      </c>
      <c r="J58" s="986">
        <f t="shared" si="41"/>
        <v>0</v>
      </c>
      <c r="K58" s="986">
        <f t="shared" si="41"/>
        <v>0</v>
      </c>
      <c r="L58" s="986">
        <f t="shared" si="41"/>
        <v>0</v>
      </c>
      <c r="M58" s="986">
        <f t="shared" si="41"/>
        <v>0</v>
      </c>
      <c r="N58" s="986">
        <f t="shared" si="41"/>
        <v>0</v>
      </c>
      <c r="O58" s="986">
        <f t="shared" si="41"/>
        <v>0</v>
      </c>
      <c r="P58" s="986">
        <f t="shared" si="41"/>
        <v>0</v>
      </c>
      <c r="Q58" s="986">
        <f t="shared" si="41"/>
        <v>0</v>
      </c>
      <c r="R58" s="986">
        <f t="shared" si="41"/>
        <v>0</v>
      </c>
      <c r="S58" s="986">
        <f t="shared" si="41"/>
        <v>0</v>
      </c>
      <c r="T58" s="986"/>
    </row>
    <row r="59" spans="1:20" s="3" customFormat="1" ht="12.75" customHeight="1">
      <c r="A59" s="987"/>
      <c r="C59" s="1250"/>
      <c r="D59" s="1250"/>
      <c r="E59" s="986"/>
      <c r="F59" s="986"/>
      <c r="G59" s="986"/>
      <c r="H59" s="986"/>
      <c r="I59" s="986"/>
      <c r="J59" s="986"/>
      <c r="K59" s="986"/>
      <c r="L59" s="986"/>
      <c r="M59" s="986"/>
      <c r="N59" s="986"/>
      <c r="O59" s="986"/>
      <c r="P59" s="986"/>
      <c r="Q59" s="986"/>
      <c r="R59" s="986"/>
      <c r="S59" s="986"/>
      <c r="T59" s="986"/>
    </row>
    <row r="60" spans="1:20" s="987" customFormat="1">
      <c r="A60" s="987" t="s">
        <v>887</v>
      </c>
      <c r="C60" s="988"/>
      <c r="D60" s="988"/>
      <c r="E60" s="987">
        <f t="shared" ref="E60:S60" si="42">E45-E58</f>
        <v>202535.26543999976</v>
      </c>
      <c r="F60" s="987">
        <f t="shared" si="42"/>
        <v>230057.01207599975</v>
      </c>
      <c r="G60" s="987">
        <f t="shared" si="42"/>
        <v>257811.92342790007</v>
      </c>
      <c r="H60" s="987">
        <f t="shared" si="42"/>
        <v>285789.90112584759</v>
      </c>
      <c r="I60" s="987">
        <f t="shared" si="42"/>
        <v>313980.03674418153</v>
      </c>
      <c r="J60" s="987">
        <f t="shared" si="42"/>
        <v>342370.57203147211</v>
      </c>
      <c r="K60" s="987">
        <f t="shared" si="42"/>
        <v>370948.85746309534</v>
      </c>
      <c r="L60" s="987">
        <f t="shared" si="42"/>
        <v>399701.30905052088</v>
      </c>
      <c r="M60" s="987">
        <f t="shared" si="42"/>
        <v>428613.36333895125</v>
      </c>
      <c r="N60" s="987">
        <f t="shared" si="42"/>
        <v>457669.43052243046</v>
      </c>
      <c r="O60" s="987">
        <f t="shared" si="42"/>
        <v>486852.84560282109</v>
      </c>
      <c r="P60" s="987">
        <f t="shared" si="42"/>
        <v>516145.81751632993</v>
      </c>
      <c r="Q60" s="987">
        <f t="shared" si="42"/>
        <v>545529.37614834611</v>
      </c>
      <c r="R60" s="987">
        <f t="shared" si="42"/>
        <v>574983.31715443125</v>
      </c>
      <c r="S60" s="987">
        <f t="shared" si="42"/>
        <v>604486.14450215409</v>
      </c>
    </row>
    <row r="61" spans="1:20" s="3" customFormat="1" ht="8.25" customHeight="1">
      <c r="C61" s="1250"/>
      <c r="D61" s="1250"/>
      <c r="E61" s="986"/>
      <c r="F61" s="986"/>
      <c r="G61" s="986"/>
      <c r="H61" s="986"/>
      <c r="I61" s="986"/>
      <c r="J61" s="986"/>
      <c r="K61" s="986"/>
      <c r="L61" s="986"/>
      <c r="M61" s="986"/>
      <c r="N61" s="986"/>
      <c r="O61" s="986"/>
      <c r="P61" s="986"/>
      <c r="Q61" s="986"/>
      <c r="R61" s="986"/>
      <c r="S61" s="986"/>
      <c r="T61" s="986"/>
    </row>
    <row r="62" spans="1:20" s="987" customFormat="1">
      <c r="A62" s="987" t="s">
        <v>886</v>
      </c>
      <c r="C62" s="1254">
        <v>0.5</v>
      </c>
      <c r="D62" s="1254"/>
      <c r="E62" s="987">
        <f t="shared" ref="E62:S62" si="43">E60*$C$62</f>
        <v>101267.63271999988</v>
      </c>
      <c r="F62" s="987">
        <f t="shared" si="43"/>
        <v>115028.50603799988</v>
      </c>
      <c r="G62" s="987">
        <f t="shared" si="43"/>
        <v>128905.96171395003</v>
      </c>
      <c r="H62" s="987">
        <f t="shared" si="43"/>
        <v>142894.9505629238</v>
      </c>
      <c r="I62" s="987">
        <f t="shared" si="43"/>
        <v>156990.01837209077</v>
      </c>
      <c r="J62" s="987">
        <f t="shared" si="43"/>
        <v>171185.28601573606</v>
      </c>
      <c r="K62" s="987">
        <f t="shared" si="43"/>
        <v>185474.42873154767</v>
      </c>
      <c r="L62" s="987">
        <f t="shared" si="43"/>
        <v>199850.65452526044</v>
      </c>
      <c r="M62" s="987">
        <f t="shared" si="43"/>
        <v>214306.68166947563</v>
      </c>
      <c r="N62" s="987">
        <f t="shared" si="43"/>
        <v>228834.71526121523</v>
      </c>
      <c r="O62" s="987">
        <f t="shared" si="43"/>
        <v>243426.42280141055</v>
      </c>
      <c r="P62" s="987">
        <f t="shared" si="43"/>
        <v>258072.90875816497</v>
      </c>
      <c r="Q62" s="987">
        <f t="shared" si="43"/>
        <v>272764.68807417306</v>
      </c>
      <c r="R62" s="987">
        <f t="shared" si="43"/>
        <v>287491.65857721562</v>
      </c>
      <c r="S62" s="987">
        <f t="shared" si="43"/>
        <v>302243.07225107704</v>
      </c>
    </row>
    <row r="63" spans="1:20" s="987" customFormat="1">
      <c r="A63" s="1270" t="s">
        <v>1327</v>
      </c>
      <c r="B63" s="1270"/>
      <c r="C63" s="1270"/>
      <c r="D63" s="118"/>
    </row>
    <row r="64" spans="1:20" s="3" customFormat="1" ht="8.25" customHeight="1">
      <c r="C64" s="1250"/>
      <c r="D64" s="1250"/>
      <c r="E64" s="986"/>
      <c r="F64" s="986"/>
      <c r="G64" s="986"/>
      <c r="H64" s="986"/>
      <c r="I64" s="986"/>
      <c r="J64" s="986"/>
      <c r="K64" s="986"/>
      <c r="L64" s="986"/>
      <c r="M64" s="986"/>
      <c r="N64" s="986"/>
      <c r="O64" s="986"/>
      <c r="P64" s="986"/>
      <c r="Q64" s="986"/>
      <c r="R64" s="986"/>
      <c r="S64" s="986"/>
      <c r="T64" s="986"/>
    </row>
    <row r="65" spans="1:20" s="3" customFormat="1">
      <c r="A65" s="3" t="s">
        <v>890</v>
      </c>
      <c r="C65" s="1254">
        <v>0.25</v>
      </c>
      <c r="D65" s="1254"/>
      <c r="E65" s="986"/>
      <c r="F65" s="986"/>
      <c r="G65" s="986"/>
      <c r="H65" s="986"/>
      <c r="I65" s="986"/>
      <c r="J65" s="986"/>
      <c r="K65" s="986"/>
      <c r="L65" s="986"/>
      <c r="M65" s="986"/>
      <c r="N65" s="986"/>
      <c r="O65" s="986"/>
      <c r="P65" s="986"/>
      <c r="Q65" s="986"/>
      <c r="R65" s="986"/>
      <c r="S65" s="986"/>
      <c r="T65" s="986"/>
    </row>
    <row r="66" spans="1:20" s="987" customFormat="1">
      <c r="C66" s="1251"/>
      <c r="D66" s="1255"/>
      <c r="E66" s="987">
        <f>$E60*$C$65</f>
        <v>50633.816359999939</v>
      </c>
      <c r="F66" s="986">
        <f t="shared" ref="F66:S66" si="44">F60*$C$65</f>
        <v>57514.253018999938</v>
      </c>
      <c r="G66" s="986">
        <f t="shared" si="44"/>
        <v>64452.980856975017</v>
      </c>
      <c r="H66" s="986">
        <f t="shared" si="44"/>
        <v>71447.475281461899</v>
      </c>
      <c r="I66" s="986">
        <f t="shared" si="44"/>
        <v>78495.009186045383</v>
      </c>
      <c r="J66" s="986">
        <f t="shared" si="44"/>
        <v>85592.643007868028</v>
      </c>
      <c r="K66" s="986">
        <f t="shared" si="44"/>
        <v>92737.214365773834</v>
      </c>
      <c r="L66" s="986">
        <f t="shared" si="44"/>
        <v>99925.327262630221</v>
      </c>
      <c r="M66" s="986">
        <f t="shared" si="44"/>
        <v>107153.34083473781</v>
      </c>
      <c r="N66" s="986">
        <f t="shared" si="44"/>
        <v>114417.35763060761</v>
      </c>
      <c r="O66" s="986">
        <f t="shared" si="44"/>
        <v>121713.21140070527</v>
      </c>
      <c r="P66" s="986">
        <f t="shared" si="44"/>
        <v>129036.45437908248</v>
      </c>
      <c r="Q66" s="986">
        <f t="shared" si="44"/>
        <v>136382.34403708653</v>
      </c>
      <c r="R66" s="986">
        <f t="shared" si="44"/>
        <v>143745.82928860781</v>
      </c>
      <c r="S66" s="986">
        <f t="shared" si="44"/>
        <v>151121.53612553852</v>
      </c>
    </row>
    <row r="67" spans="1:20" s="986" customFormat="1">
      <c r="C67" s="989"/>
      <c r="D67" s="989"/>
      <c r="E67" s="987">
        <f>$E60*$C$65</f>
        <v>50633.816359999939</v>
      </c>
      <c r="F67" s="986">
        <f t="shared" ref="F67:S67" si="45">F60*$C$65</f>
        <v>57514.253018999938</v>
      </c>
      <c r="G67" s="986">
        <f t="shared" si="45"/>
        <v>64452.980856975017</v>
      </c>
      <c r="H67" s="986">
        <f t="shared" si="45"/>
        <v>71447.475281461899</v>
      </c>
      <c r="I67" s="986">
        <f t="shared" si="45"/>
        <v>78495.009186045383</v>
      </c>
      <c r="J67" s="986">
        <f t="shared" si="45"/>
        <v>85592.643007868028</v>
      </c>
      <c r="K67" s="986">
        <f t="shared" si="45"/>
        <v>92737.214365773834</v>
      </c>
      <c r="L67" s="986">
        <f t="shared" si="45"/>
        <v>99925.327262630221</v>
      </c>
      <c r="M67" s="986">
        <f t="shared" si="45"/>
        <v>107153.34083473781</v>
      </c>
      <c r="N67" s="986">
        <f t="shared" si="45"/>
        <v>114417.35763060761</v>
      </c>
      <c r="O67" s="986">
        <f t="shared" si="45"/>
        <v>121713.21140070527</v>
      </c>
      <c r="P67" s="986">
        <f t="shared" si="45"/>
        <v>129036.45437908248</v>
      </c>
      <c r="Q67" s="986">
        <f t="shared" si="45"/>
        <v>136382.34403708653</v>
      </c>
      <c r="R67" s="986">
        <f t="shared" si="45"/>
        <v>143745.82928860781</v>
      </c>
      <c r="S67" s="986">
        <f t="shared" si="45"/>
        <v>151121.53612553852</v>
      </c>
    </row>
    <row r="68" spans="1:20" s="986" customFormat="1">
      <c r="C68" s="989"/>
      <c r="D68" s="989"/>
      <c r="F68" s="986">
        <f t="shared" ref="F68:R68" si="46">E68*$C$66</f>
        <v>0</v>
      </c>
      <c r="G68" s="986">
        <f t="shared" si="46"/>
        <v>0</v>
      </c>
      <c r="H68" s="986">
        <f t="shared" si="46"/>
        <v>0</v>
      </c>
      <c r="I68" s="986">
        <f t="shared" si="46"/>
        <v>0</v>
      </c>
      <c r="J68" s="986">
        <f t="shared" si="46"/>
        <v>0</v>
      </c>
      <c r="K68" s="986">
        <f t="shared" si="46"/>
        <v>0</v>
      </c>
      <c r="L68" s="986">
        <f t="shared" si="46"/>
        <v>0</v>
      </c>
      <c r="M68" s="986">
        <f t="shared" si="46"/>
        <v>0</v>
      </c>
      <c r="N68" s="986">
        <f t="shared" si="46"/>
        <v>0</v>
      </c>
      <c r="O68" s="986">
        <f t="shared" si="46"/>
        <v>0</v>
      </c>
      <c r="P68" s="986">
        <f t="shared" si="46"/>
        <v>0</v>
      </c>
      <c r="Q68" s="986">
        <f t="shared" si="46"/>
        <v>0</v>
      </c>
      <c r="R68" s="986">
        <f t="shared" si="46"/>
        <v>0</v>
      </c>
      <c r="S68" s="986">
        <f t="shared" ref="S68:S69" si="47">R68*$C$66</f>
        <v>0</v>
      </c>
    </row>
    <row r="69" spans="1:20" s="986" customFormat="1">
      <c r="C69" s="989"/>
      <c r="D69" s="989"/>
      <c r="E69" s="1253"/>
      <c r="F69" s="1253">
        <f t="shared" ref="F69:R69" si="48">E69*$C$66</f>
        <v>0</v>
      </c>
      <c r="G69" s="1253">
        <f t="shared" si="48"/>
        <v>0</v>
      </c>
      <c r="H69" s="1253">
        <f t="shared" si="48"/>
        <v>0</v>
      </c>
      <c r="I69" s="1253">
        <f t="shared" si="48"/>
        <v>0</v>
      </c>
      <c r="J69" s="1253">
        <f t="shared" si="48"/>
        <v>0</v>
      </c>
      <c r="K69" s="1253">
        <f t="shared" si="48"/>
        <v>0</v>
      </c>
      <c r="L69" s="1253">
        <f t="shared" si="48"/>
        <v>0</v>
      </c>
      <c r="M69" s="1253">
        <f t="shared" si="48"/>
        <v>0</v>
      </c>
      <c r="N69" s="1253">
        <f t="shared" si="48"/>
        <v>0</v>
      </c>
      <c r="O69" s="1253">
        <f t="shared" si="48"/>
        <v>0</v>
      </c>
      <c r="P69" s="1253">
        <f t="shared" si="48"/>
        <v>0</v>
      </c>
      <c r="Q69" s="1253">
        <f t="shared" si="48"/>
        <v>0</v>
      </c>
      <c r="R69" s="1253">
        <f t="shared" si="48"/>
        <v>0</v>
      </c>
      <c r="S69" s="1253">
        <f t="shared" si="47"/>
        <v>0</v>
      </c>
    </row>
    <row r="70" spans="1:20" s="986" customFormat="1">
      <c r="A70" s="987" t="s">
        <v>882</v>
      </c>
      <c r="C70" s="989"/>
      <c r="D70" s="989"/>
      <c r="E70" s="986">
        <f t="shared" ref="E70:S70" si="49">SUM(E66:E69)</f>
        <v>101267.63271999988</v>
      </c>
      <c r="F70" s="986">
        <f t="shared" si="49"/>
        <v>115028.50603799988</v>
      </c>
      <c r="G70" s="986">
        <f t="shared" si="49"/>
        <v>128905.96171395003</v>
      </c>
      <c r="H70" s="986">
        <f t="shared" si="49"/>
        <v>142894.9505629238</v>
      </c>
      <c r="I70" s="986">
        <f t="shared" si="49"/>
        <v>156990.01837209077</v>
      </c>
      <c r="J70" s="986">
        <f t="shared" si="49"/>
        <v>171185.28601573606</v>
      </c>
      <c r="K70" s="986">
        <f t="shared" si="49"/>
        <v>185474.42873154767</v>
      </c>
      <c r="L70" s="986">
        <f t="shared" si="49"/>
        <v>199850.65452526044</v>
      </c>
      <c r="M70" s="986">
        <f t="shared" si="49"/>
        <v>214306.68166947563</v>
      </c>
      <c r="N70" s="986">
        <f t="shared" si="49"/>
        <v>228834.71526121523</v>
      </c>
      <c r="O70" s="986">
        <f t="shared" si="49"/>
        <v>243426.42280141055</v>
      </c>
      <c r="P70" s="986">
        <f t="shared" si="49"/>
        <v>258072.90875816497</v>
      </c>
      <c r="Q70" s="986">
        <f t="shared" si="49"/>
        <v>272764.68807417306</v>
      </c>
      <c r="R70" s="986">
        <f t="shared" si="49"/>
        <v>287491.65857721562</v>
      </c>
      <c r="S70" s="986">
        <f t="shared" si="49"/>
        <v>302243.07225107704</v>
      </c>
    </row>
    <row r="71" spans="1:20" s="986" customFormat="1">
      <c r="A71" s="987"/>
      <c r="C71" s="989"/>
      <c r="D71" s="989"/>
    </row>
    <row r="72" spans="1:20" s="986" customFormat="1">
      <c r="A72" s="987" t="s">
        <v>1984</v>
      </c>
      <c r="C72" s="989"/>
      <c r="D72" s="989"/>
      <c r="E72" s="987">
        <f t="shared" ref="E72:S72" si="50">E60-E62-E70</f>
        <v>0</v>
      </c>
      <c r="F72" s="987">
        <f t="shared" si="50"/>
        <v>0</v>
      </c>
      <c r="G72" s="987">
        <f t="shared" si="50"/>
        <v>0</v>
      </c>
      <c r="H72" s="987">
        <f t="shared" si="50"/>
        <v>0</v>
      </c>
      <c r="I72" s="987">
        <f t="shared" si="50"/>
        <v>0</v>
      </c>
      <c r="J72" s="987">
        <f t="shared" si="50"/>
        <v>0</v>
      </c>
      <c r="K72" s="987">
        <f t="shared" si="50"/>
        <v>0</v>
      </c>
      <c r="L72" s="987">
        <f t="shared" si="50"/>
        <v>0</v>
      </c>
      <c r="M72" s="987">
        <f t="shared" si="50"/>
        <v>0</v>
      </c>
      <c r="N72" s="987">
        <f t="shared" si="50"/>
        <v>0</v>
      </c>
      <c r="O72" s="987">
        <f t="shared" si="50"/>
        <v>0</v>
      </c>
      <c r="P72" s="987">
        <f t="shared" si="50"/>
        <v>0</v>
      </c>
      <c r="Q72" s="987">
        <f t="shared" si="50"/>
        <v>0</v>
      </c>
      <c r="R72" s="987">
        <f t="shared" si="50"/>
        <v>0</v>
      </c>
      <c r="S72" s="987">
        <f t="shared" si="50"/>
        <v>0</v>
      </c>
    </row>
    <row r="73" spans="1:20" s="986" customFormat="1" ht="13">
      <c r="A73" s="555"/>
      <c r="C73" s="989"/>
      <c r="D73" s="989"/>
    </row>
    <row r="74" spans="1:20" s="232" customFormat="1" ht="13">
      <c r="A74" s="555"/>
      <c r="C74" s="192"/>
      <c r="D74" s="192"/>
    </row>
    <row r="75" spans="1:20" s="232" customFormat="1">
      <c r="A75" s="986" t="s">
        <v>1983</v>
      </c>
      <c r="C75" s="192"/>
      <c r="D75" s="192"/>
    </row>
    <row r="76" spans="1:20" s="232" customFormat="1">
      <c r="C76" s="192"/>
      <c r="D76" s="192"/>
    </row>
    <row r="77" spans="1:20" s="242" customFormat="1" ht="30" customHeight="1">
      <c r="A77" s="2540" t="s">
        <v>1982</v>
      </c>
      <c r="B77" s="2540"/>
      <c r="C77" s="2540"/>
      <c r="D77" s="2540"/>
      <c r="E77" s="2540"/>
      <c r="F77" s="2540"/>
      <c r="G77" s="2540"/>
      <c r="H77" s="2540"/>
      <c r="I77" s="2540"/>
      <c r="J77" s="2540"/>
      <c r="K77" s="2540"/>
      <c r="L77" s="2540"/>
      <c r="M77" s="2540"/>
      <c r="N77" s="2540"/>
      <c r="O77" s="2540"/>
      <c r="P77" s="2540"/>
      <c r="Q77" s="2540"/>
      <c r="R77" s="2540"/>
      <c r="S77" s="2540"/>
    </row>
    <row r="78" spans="1:20" s="229" customFormat="1">
      <c r="C78" s="231"/>
      <c r="D78" s="231"/>
    </row>
    <row r="79" spans="1:20" s="229" customFormat="1">
      <c r="C79" s="231"/>
      <c r="D79" s="231"/>
    </row>
    <row r="80" spans="1:20" s="229" customFormat="1">
      <c r="C80" s="231"/>
      <c r="D80" s="231"/>
    </row>
    <row r="81" spans="3:4" s="229" customFormat="1">
      <c r="C81" s="231"/>
      <c r="D81" s="231"/>
    </row>
    <row r="82" spans="3:4" s="229" customFormat="1">
      <c r="C82" s="231"/>
      <c r="D82" s="231"/>
    </row>
    <row r="83" spans="3:4" s="229" customFormat="1">
      <c r="C83" s="231"/>
      <c r="D83" s="231"/>
    </row>
    <row r="84" spans="3:4" s="229" customFormat="1">
      <c r="C84" s="231"/>
      <c r="D84" s="231"/>
    </row>
    <row r="85" spans="3:4" s="229" customFormat="1">
      <c r="C85" s="231"/>
      <c r="D85" s="231"/>
    </row>
    <row r="86" spans="3:4" s="229" customFormat="1">
      <c r="C86" s="231"/>
      <c r="D86" s="231"/>
    </row>
    <row r="87" spans="3:4" s="229" customFormat="1">
      <c r="C87" s="231"/>
      <c r="D87" s="231"/>
    </row>
    <row r="88" spans="3:4" s="229" customFormat="1">
      <c r="C88" s="231"/>
      <c r="D88" s="231"/>
    </row>
    <row r="89" spans="3:4" s="229" customFormat="1">
      <c r="C89" s="231"/>
      <c r="D89" s="231"/>
    </row>
    <row r="90" spans="3:4" s="229" customFormat="1">
      <c r="C90" s="231"/>
      <c r="D90" s="231"/>
    </row>
    <row r="91" spans="3:4" s="229" customFormat="1">
      <c r="C91" s="231"/>
      <c r="D91" s="231"/>
    </row>
    <row r="92" spans="3:4" s="229" customFormat="1">
      <c r="C92" s="231"/>
      <c r="D92" s="231"/>
    </row>
    <row r="93" spans="3:4" s="229" customFormat="1">
      <c r="C93" s="231"/>
      <c r="D93" s="231"/>
    </row>
    <row r="94" spans="3:4" s="229" customFormat="1">
      <c r="C94" s="231"/>
      <c r="D94" s="231"/>
    </row>
    <row r="95" spans="3:4" s="229" customFormat="1">
      <c r="C95" s="231"/>
      <c r="D95" s="231"/>
    </row>
    <row r="96" spans="3:4" s="229" customFormat="1">
      <c r="C96" s="231"/>
      <c r="D96" s="231"/>
    </row>
    <row r="97" spans="3:4" s="229" customFormat="1">
      <c r="C97" s="231"/>
      <c r="D97" s="231"/>
    </row>
    <row r="98" spans="3:4" s="229" customFormat="1">
      <c r="C98" s="231"/>
      <c r="D98" s="231"/>
    </row>
    <row r="99" spans="3:4" s="229" customFormat="1">
      <c r="C99" s="231"/>
      <c r="D99" s="231"/>
    </row>
    <row r="100" spans="3:4" s="229" customFormat="1">
      <c r="C100" s="231"/>
      <c r="D100" s="231"/>
    </row>
    <row r="101" spans="3:4" s="229" customFormat="1">
      <c r="C101" s="231"/>
      <c r="D101" s="231"/>
    </row>
    <row r="102" spans="3:4" s="229" customFormat="1">
      <c r="C102" s="231"/>
      <c r="D102" s="231"/>
    </row>
    <row r="103" spans="3:4" s="229" customFormat="1">
      <c r="C103" s="231"/>
      <c r="D103" s="231"/>
    </row>
    <row r="104" spans="3:4" s="229" customFormat="1">
      <c r="C104" s="231"/>
      <c r="D104" s="231"/>
    </row>
    <row r="105" spans="3:4" s="229" customFormat="1">
      <c r="C105" s="231"/>
      <c r="D105" s="231"/>
    </row>
    <row r="106" spans="3:4" s="229" customFormat="1">
      <c r="C106" s="231"/>
      <c r="D106" s="231"/>
    </row>
    <row r="107" spans="3:4" s="229" customFormat="1">
      <c r="C107" s="231"/>
      <c r="D107" s="231"/>
    </row>
    <row r="108" spans="3:4" s="229" customFormat="1">
      <c r="C108" s="231"/>
      <c r="D108" s="231"/>
    </row>
    <row r="109" spans="3:4" s="229" customFormat="1">
      <c r="C109" s="231"/>
      <c r="D109" s="231"/>
    </row>
    <row r="110" spans="3:4" s="229" customFormat="1">
      <c r="C110" s="231"/>
      <c r="D110" s="231"/>
    </row>
    <row r="111" spans="3:4" s="229" customFormat="1">
      <c r="C111" s="231"/>
      <c r="D111" s="231"/>
    </row>
    <row r="112" spans="3:4" s="229" customFormat="1">
      <c r="C112" s="231"/>
      <c r="D112" s="231"/>
    </row>
    <row r="113" spans="3:4" s="229" customFormat="1">
      <c r="C113" s="231"/>
      <c r="D113" s="231"/>
    </row>
    <row r="114" spans="3:4" s="229" customFormat="1">
      <c r="C114" s="231"/>
      <c r="D114" s="231"/>
    </row>
    <row r="115" spans="3:4" s="229" customFormat="1">
      <c r="C115" s="231"/>
      <c r="D115" s="231"/>
    </row>
    <row r="116" spans="3:4" s="229" customFormat="1">
      <c r="C116" s="231"/>
      <c r="D116" s="231"/>
    </row>
    <row r="117" spans="3:4" s="229" customFormat="1">
      <c r="C117" s="231"/>
      <c r="D117" s="231"/>
    </row>
    <row r="118" spans="3:4" s="229" customFormat="1">
      <c r="C118" s="231"/>
      <c r="D118" s="231"/>
    </row>
    <row r="119" spans="3:4" s="229" customFormat="1">
      <c r="C119" s="231"/>
      <c r="D119" s="231"/>
    </row>
    <row r="120" spans="3:4" s="229" customFormat="1">
      <c r="C120" s="231"/>
      <c r="D120" s="231"/>
    </row>
    <row r="121" spans="3:4" s="229" customFormat="1">
      <c r="C121" s="231"/>
      <c r="D121" s="231"/>
    </row>
    <row r="122" spans="3:4" s="229" customFormat="1">
      <c r="C122" s="231"/>
      <c r="D122" s="231"/>
    </row>
    <row r="123" spans="3:4" s="229" customFormat="1">
      <c r="C123" s="231"/>
      <c r="D123" s="231"/>
    </row>
    <row r="124" spans="3:4" s="229" customFormat="1">
      <c r="C124" s="231"/>
      <c r="D124" s="231"/>
    </row>
    <row r="125" spans="3:4" s="229" customFormat="1">
      <c r="C125" s="231"/>
      <c r="D125" s="231"/>
    </row>
    <row r="126" spans="3:4" s="229" customFormat="1">
      <c r="C126" s="231"/>
      <c r="D126" s="231"/>
    </row>
    <row r="127" spans="3:4" s="229" customFormat="1">
      <c r="C127" s="231"/>
      <c r="D127" s="231"/>
    </row>
    <row r="128" spans="3:4" s="229" customFormat="1">
      <c r="C128" s="231"/>
      <c r="D128" s="231"/>
    </row>
    <row r="129" spans="3:4" s="229" customFormat="1">
      <c r="C129" s="231"/>
      <c r="D129" s="231"/>
    </row>
    <row r="130" spans="3:4" s="229" customFormat="1">
      <c r="C130" s="231"/>
      <c r="D130" s="231"/>
    </row>
    <row r="131" spans="3:4" s="229" customFormat="1">
      <c r="C131" s="231"/>
      <c r="D131" s="231"/>
    </row>
    <row r="132" spans="3:4" s="229" customFormat="1">
      <c r="C132" s="231"/>
      <c r="D132" s="231"/>
    </row>
    <row r="133" spans="3:4" s="229" customFormat="1">
      <c r="C133" s="231"/>
      <c r="D133" s="231"/>
    </row>
    <row r="134" spans="3:4" s="229" customFormat="1">
      <c r="C134" s="231"/>
      <c r="D134" s="231"/>
    </row>
    <row r="135" spans="3:4" s="229" customFormat="1">
      <c r="C135" s="231"/>
      <c r="D135" s="231"/>
    </row>
    <row r="136" spans="3:4" s="229" customFormat="1">
      <c r="C136" s="231"/>
      <c r="D136" s="231"/>
    </row>
    <row r="137" spans="3:4" s="229" customFormat="1">
      <c r="C137" s="231"/>
      <c r="D137" s="231"/>
    </row>
    <row r="138" spans="3:4" s="229" customFormat="1">
      <c r="C138" s="231"/>
      <c r="D138" s="231"/>
    </row>
    <row r="139" spans="3:4" s="229" customFormat="1">
      <c r="C139" s="231"/>
      <c r="D139" s="231"/>
    </row>
    <row r="140" spans="3:4" s="229" customFormat="1">
      <c r="C140" s="231"/>
      <c r="D140" s="231"/>
    </row>
    <row r="141" spans="3:4" s="229" customFormat="1">
      <c r="C141" s="231"/>
      <c r="D141" s="231"/>
    </row>
    <row r="142" spans="3:4" s="229" customFormat="1">
      <c r="C142" s="231"/>
      <c r="D142" s="231"/>
    </row>
    <row r="143" spans="3:4" s="229" customFormat="1">
      <c r="C143" s="231"/>
      <c r="D143" s="231"/>
    </row>
    <row r="144" spans="3:4" s="229" customFormat="1">
      <c r="C144" s="231"/>
      <c r="D144" s="231"/>
    </row>
    <row r="145" spans="3:4" s="229" customFormat="1">
      <c r="C145" s="231"/>
      <c r="D145" s="231"/>
    </row>
    <row r="146" spans="3:4" s="229" customFormat="1">
      <c r="C146" s="231"/>
      <c r="D146" s="231"/>
    </row>
    <row r="147" spans="3:4" s="229" customFormat="1">
      <c r="C147" s="231"/>
      <c r="D147" s="231"/>
    </row>
    <row r="148" spans="3:4" s="229" customFormat="1">
      <c r="C148" s="231"/>
      <c r="D148" s="231"/>
    </row>
    <row r="149" spans="3:4" s="229" customFormat="1">
      <c r="C149" s="231"/>
      <c r="D149" s="231"/>
    </row>
    <row r="150" spans="3:4" s="229" customFormat="1">
      <c r="C150" s="231"/>
      <c r="D150" s="231"/>
    </row>
    <row r="151" spans="3:4" s="229" customFormat="1">
      <c r="C151" s="231"/>
      <c r="D151" s="231"/>
    </row>
    <row r="152" spans="3:4" s="229" customFormat="1">
      <c r="C152" s="231"/>
      <c r="D152" s="231"/>
    </row>
    <row r="153" spans="3:4" s="229" customFormat="1">
      <c r="C153" s="231"/>
      <c r="D153" s="231"/>
    </row>
    <row r="154" spans="3:4" s="229" customFormat="1">
      <c r="C154" s="231"/>
      <c r="D154" s="231"/>
    </row>
    <row r="155" spans="3:4" s="229" customFormat="1">
      <c r="C155" s="231"/>
      <c r="D155" s="231"/>
    </row>
    <row r="156" spans="3:4" s="229" customFormat="1">
      <c r="C156" s="231"/>
      <c r="D156" s="231"/>
    </row>
    <row r="157" spans="3:4" s="229" customFormat="1">
      <c r="C157" s="231"/>
      <c r="D157" s="231"/>
    </row>
    <row r="158" spans="3:4" s="229" customFormat="1">
      <c r="C158" s="231"/>
      <c r="D158" s="231"/>
    </row>
    <row r="159" spans="3:4" s="229" customFormat="1">
      <c r="C159" s="231"/>
      <c r="D159" s="231"/>
    </row>
    <row r="160" spans="3:4" s="229" customFormat="1">
      <c r="C160" s="231"/>
      <c r="D160" s="231"/>
    </row>
    <row r="161" spans="3:4" s="229" customFormat="1">
      <c r="C161" s="231"/>
      <c r="D161" s="231"/>
    </row>
    <row r="162" spans="3:4" s="229" customFormat="1">
      <c r="C162" s="231"/>
      <c r="D162" s="231"/>
    </row>
    <row r="163" spans="3:4" s="229" customFormat="1">
      <c r="C163" s="231"/>
      <c r="D163" s="231"/>
    </row>
    <row r="164" spans="3:4" s="229" customFormat="1">
      <c r="C164" s="231"/>
      <c r="D164" s="231"/>
    </row>
    <row r="165" spans="3:4" s="229" customFormat="1">
      <c r="C165" s="231"/>
      <c r="D165" s="231"/>
    </row>
    <row r="166" spans="3:4" s="229" customFormat="1">
      <c r="C166" s="231"/>
      <c r="D166" s="231"/>
    </row>
    <row r="167" spans="3:4" s="229" customFormat="1">
      <c r="C167" s="231"/>
      <c r="D167" s="231"/>
    </row>
    <row r="168" spans="3:4" s="229" customFormat="1">
      <c r="C168" s="231"/>
      <c r="D168" s="231"/>
    </row>
    <row r="169" spans="3:4" s="229" customFormat="1">
      <c r="C169" s="231"/>
      <c r="D169" s="231"/>
    </row>
    <row r="170" spans="3:4" s="229" customFormat="1">
      <c r="C170" s="231"/>
      <c r="D170" s="231"/>
    </row>
    <row r="171" spans="3:4" s="229" customFormat="1">
      <c r="C171" s="231"/>
      <c r="D171" s="231"/>
    </row>
    <row r="172" spans="3:4" s="229" customFormat="1">
      <c r="C172" s="231"/>
      <c r="D172" s="231"/>
    </row>
    <row r="173" spans="3:4" s="229" customFormat="1">
      <c r="C173" s="231"/>
      <c r="D173" s="231"/>
    </row>
    <row r="174" spans="3:4" s="229" customFormat="1">
      <c r="C174" s="231"/>
      <c r="D174" s="231"/>
    </row>
    <row r="175" spans="3:4" s="229" customFormat="1">
      <c r="C175" s="231"/>
      <c r="D175" s="231"/>
    </row>
    <row r="176" spans="3:4" s="229" customFormat="1">
      <c r="C176" s="231"/>
      <c r="D176" s="231"/>
    </row>
    <row r="177" spans="3:4" s="229" customFormat="1">
      <c r="C177" s="231"/>
      <c r="D177" s="231"/>
    </row>
    <row r="178" spans="3:4" s="229" customFormat="1">
      <c r="C178" s="231"/>
      <c r="D178" s="231"/>
    </row>
    <row r="179" spans="3:4" s="229" customFormat="1">
      <c r="C179" s="231"/>
      <c r="D179" s="231"/>
    </row>
    <row r="180" spans="3:4" s="229" customFormat="1">
      <c r="C180" s="231"/>
      <c r="D180" s="231"/>
    </row>
    <row r="181" spans="3:4" s="229" customFormat="1">
      <c r="C181" s="231"/>
      <c r="D181" s="231"/>
    </row>
    <row r="182" spans="3:4" s="229" customFormat="1">
      <c r="C182" s="231"/>
      <c r="D182" s="231"/>
    </row>
    <row r="183" spans="3:4" s="229" customFormat="1">
      <c r="C183" s="231"/>
      <c r="D183" s="231"/>
    </row>
    <row r="184" spans="3:4" s="229" customFormat="1">
      <c r="C184" s="231"/>
      <c r="D184" s="231"/>
    </row>
    <row r="185" spans="3:4" s="229" customFormat="1">
      <c r="C185" s="231"/>
      <c r="D185" s="231"/>
    </row>
    <row r="186" spans="3:4" s="229" customFormat="1">
      <c r="C186" s="231"/>
      <c r="D186" s="231"/>
    </row>
    <row r="187" spans="3:4" s="229" customFormat="1">
      <c r="C187" s="231"/>
      <c r="D187" s="231"/>
    </row>
    <row r="188" spans="3:4" s="229" customFormat="1">
      <c r="C188" s="231"/>
      <c r="D188" s="231"/>
    </row>
    <row r="189" spans="3:4" s="229" customFormat="1">
      <c r="C189" s="231"/>
      <c r="D189" s="231"/>
    </row>
    <row r="190" spans="3:4" s="229" customFormat="1">
      <c r="C190" s="231"/>
      <c r="D190" s="231"/>
    </row>
    <row r="191" spans="3:4" s="229" customFormat="1">
      <c r="C191" s="231"/>
      <c r="D191" s="231"/>
    </row>
    <row r="192" spans="3:4" s="229" customFormat="1">
      <c r="C192" s="231"/>
      <c r="D192" s="231"/>
    </row>
    <row r="193" spans="3:4" s="229" customFormat="1">
      <c r="C193" s="231"/>
      <c r="D193" s="231"/>
    </row>
    <row r="194" spans="3:4" s="229" customFormat="1">
      <c r="C194" s="231"/>
      <c r="D194" s="231"/>
    </row>
    <row r="195" spans="3:4" s="229" customFormat="1">
      <c r="C195" s="231"/>
      <c r="D195" s="231"/>
    </row>
    <row r="196" spans="3:4" s="229" customFormat="1">
      <c r="C196" s="231"/>
      <c r="D196" s="231"/>
    </row>
    <row r="197" spans="3:4" s="229" customFormat="1">
      <c r="C197" s="231"/>
      <c r="D197" s="231"/>
    </row>
    <row r="198" spans="3:4" s="229" customFormat="1">
      <c r="C198" s="231"/>
      <c r="D198" s="231"/>
    </row>
    <row r="199" spans="3:4" s="229" customFormat="1">
      <c r="C199" s="231"/>
      <c r="D199" s="231"/>
    </row>
    <row r="200" spans="3:4" s="229" customFormat="1">
      <c r="C200" s="231"/>
      <c r="D200" s="231"/>
    </row>
    <row r="201" spans="3:4" s="229" customFormat="1">
      <c r="C201" s="231"/>
      <c r="D201" s="231"/>
    </row>
    <row r="202" spans="3:4" s="229" customFormat="1">
      <c r="C202" s="231"/>
      <c r="D202" s="231"/>
    </row>
    <row r="203" spans="3:4" s="229" customFormat="1">
      <c r="C203" s="231"/>
      <c r="D203" s="231"/>
    </row>
    <row r="204" spans="3:4" s="229" customFormat="1">
      <c r="C204" s="231"/>
      <c r="D204" s="231"/>
    </row>
    <row r="205" spans="3:4" s="229" customFormat="1">
      <c r="C205" s="231"/>
      <c r="D205" s="231"/>
    </row>
    <row r="206" spans="3:4" s="229" customFormat="1">
      <c r="C206" s="231"/>
      <c r="D206" s="231"/>
    </row>
    <row r="207" spans="3:4" s="229" customFormat="1">
      <c r="C207" s="231"/>
      <c r="D207" s="231"/>
    </row>
    <row r="208" spans="3:4" s="229" customFormat="1">
      <c r="C208" s="231"/>
      <c r="D208" s="231"/>
    </row>
    <row r="209" spans="3:4" s="229" customFormat="1">
      <c r="C209" s="231"/>
      <c r="D209" s="231"/>
    </row>
    <row r="210" spans="3:4" s="229" customFormat="1">
      <c r="C210" s="231"/>
      <c r="D210" s="231"/>
    </row>
    <row r="211" spans="3:4" s="229" customFormat="1">
      <c r="C211" s="231"/>
      <c r="D211" s="231"/>
    </row>
    <row r="212" spans="3:4" s="229" customFormat="1">
      <c r="C212" s="231"/>
      <c r="D212" s="231"/>
    </row>
    <row r="213" spans="3:4" s="229" customFormat="1">
      <c r="C213" s="231"/>
      <c r="D213" s="231"/>
    </row>
    <row r="214" spans="3:4" s="229" customFormat="1">
      <c r="C214" s="231"/>
      <c r="D214" s="231"/>
    </row>
    <row r="215" spans="3:4" s="229" customFormat="1">
      <c r="C215" s="231"/>
      <c r="D215" s="231"/>
    </row>
    <row r="216" spans="3:4" s="229" customFormat="1">
      <c r="C216" s="231"/>
      <c r="D216" s="231"/>
    </row>
    <row r="217" spans="3:4" s="229" customFormat="1">
      <c r="C217" s="231"/>
      <c r="D217" s="23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52:C52"/>
    <mergeCell ref="A63:C63"/>
    <mergeCell ref="A77:S77"/>
  </mergeCells>
  <dataValidations count="1">
    <dataValidation type="list" allowBlank="1" showInputMessage="1" showErrorMessage="1" sqref="A52:D52 A63:D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6328125" hidden="1"/>
  </cols>
  <sheetData>
    <row r="1" spans="1:1" ht="46.5">
      <c r="A1" s="328" t="s">
        <v>1011</v>
      </c>
    </row>
    <row r="2" spans="1:1" ht="15.5">
      <c r="A2" s="329"/>
    </row>
    <row r="3" spans="1:1" ht="15.5">
      <c r="A3" s="330" t="s">
        <v>1006</v>
      </c>
    </row>
    <row r="4" spans="1:1" ht="15.5">
      <c r="A4" s="330" t="s">
        <v>1007</v>
      </c>
    </row>
    <row r="5" spans="1:1" ht="15.5">
      <c r="A5" s="330" t="s">
        <v>1008</v>
      </c>
    </row>
    <row r="6" spans="1:1" ht="15.5">
      <c r="A6" s="330" t="s">
        <v>1010</v>
      </c>
    </row>
    <row r="7" spans="1:1" ht="15.5">
      <c r="A7" s="330" t="s">
        <v>1009</v>
      </c>
    </row>
    <row r="8" spans="1:1" ht="15.5">
      <c r="A8" s="366" t="s">
        <v>1085</v>
      </c>
    </row>
    <row r="9" spans="1:1" ht="15.5">
      <c r="A9" s="330"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6328125" style="217" customWidth="1"/>
    <col min="2" max="4" width="14.6328125" style="217" customWidth="1"/>
    <col min="5" max="5" width="50.6328125" style="217" customWidth="1"/>
    <col min="6" max="6" width="9.08984375" style="217" customWidth="1"/>
    <col min="7" max="253" width="0" style="217" hidden="1" customWidth="1"/>
    <col min="254" max="16384" width="9.08984375" style="217" hidden="1"/>
  </cols>
  <sheetData>
    <row r="1" spans="1:7" s="287" customFormat="1" ht="18" customHeight="1">
      <c r="A1" s="539" t="s">
        <v>1361</v>
      </c>
      <c r="D1" s="292"/>
    </row>
    <row r="2" spans="1:7" s="287" customFormat="1" ht="13">
      <c r="A2" s="270" t="s">
        <v>922</v>
      </c>
      <c r="B2" s="272"/>
      <c r="C2" s="272"/>
      <c r="D2" s="269"/>
      <c r="E2" s="273"/>
      <c r="F2" s="272"/>
    </row>
    <row r="3" spans="1:7" s="371" customFormat="1" ht="80.25" customHeight="1">
      <c r="A3" s="289"/>
      <c r="B3" s="274" t="s">
        <v>923</v>
      </c>
      <c r="C3" s="274" t="s">
        <v>924</v>
      </c>
      <c r="D3" s="274" t="s">
        <v>925</v>
      </c>
      <c r="E3" s="271" t="s">
        <v>926</v>
      </c>
      <c r="F3" s="271"/>
      <c r="G3" s="374"/>
    </row>
    <row r="4" spans="1:7" s="372" customFormat="1" ht="13">
      <c r="A4" s="275" t="s">
        <v>26</v>
      </c>
      <c r="B4" s="275"/>
      <c r="C4" s="275"/>
      <c r="D4" s="275"/>
      <c r="E4" s="294"/>
      <c r="F4" s="275"/>
      <c r="G4" s="375"/>
    </row>
    <row r="5" spans="1:7" s="372" customFormat="1">
      <c r="A5" s="387" t="s">
        <v>27</v>
      </c>
      <c r="B5" s="277">
        <f>'Sources and Uses Budget'!$C4</f>
        <v>99</v>
      </c>
      <c r="C5" s="277">
        <f>'Sources and Uses Budget'!$C4</f>
        <v>99</v>
      </c>
      <c r="D5" s="281">
        <f>C5-B5</f>
        <v>0</v>
      </c>
      <c r="E5" s="279"/>
      <c r="F5" s="278"/>
      <c r="G5" s="375"/>
    </row>
    <row r="6" spans="1:7" s="372" customFormat="1">
      <c r="A6" s="387" t="s">
        <v>28</v>
      </c>
      <c r="B6" s="277">
        <f>'Sources and Uses Budget'!$C5</f>
        <v>0</v>
      </c>
      <c r="C6" s="277">
        <f>'Sources and Uses Budget'!$C5</f>
        <v>0</v>
      </c>
      <c r="D6" s="281">
        <f t="shared" ref="D6:D77" si="0">C6-B6</f>
        <v>0</v>
      </c>
      <c r="E6" s="279"/>
      <c r="F6" s="278"/>
      <c r="G6" s="375"/>
    </row>
    <row r="7" spans="1:7" s="372" customFormat="1">
      <c r="A7" s="387" t="s">
        <v>29</v>
      </c>
      <c r="B7" s="277">
        <f>'Sources and Uses Budget'!$C6</f>
        <v>60000</v>
      </c>
      <c r="C7" s="277">
        <f>'Sources and Uses Budget'!$C6</f>
        <v>60000</v>
      </c>
      <c r="D7" s="281">
        <f t="shared" si="0"/>
        <v>0</v>
      </c>
      <c r="E7" s="279"/>
      <c r="F7" s="278"/>
      <c r="G7" s="375"/>
    </row>
    <row r="8" spans="1:7" s="372" customFormat="1">
      <c r="A8" s="387" t="s">
        <v>98</v>
      </c>
      <c r="B8" s="277">
        <f>'Sources and Uses Budget'!$C7</f>
        <v>0</v>
      </c>
      <c r="C8" s="277">
        <f>'Sources and Uses Budget'!$C7</f>
        <v>0</v>
      </c>
      <c r="D8" s="281">
        <f t="shared" si="0"/>
        <v>0</v>
      </c>
      <c r="E8" s="279"/>
      <c r="F8" s="278"/>
      <c r="G8" s="375"/>
    </row>
    <row r="9" spans="1:7" s="372" customFormat="1">
      <c r="A9" s="388" t="s">
        <v>603</v>
      </c>
      <c r="B9" s="281">
        <f>SUM(B5:B8)</f>
        <v>60099</v>
      </c>
      <c r="C9" s="281">
        <f>SUM(C5:C8)</f>
        <v>60099</v>
      </c>
      <c r="D9" s="281">
        <f t="shared" si="0"/>
        <v>0</v>
      </c>
      <c r="E9" s="279"/>
      <c r="F9" s="278"/>
      <c r="G9" s="375"/>
    </row>
    <row r="10" spans="1:7" s="372" customFormat="1">
      <c r="A10" s="387" t="s">
        <v>604</v>
      </c>
      <c r="B10" s="277">
        <f>'Sources and Uses Budget'!$C9</f>
        <v>0</v>
      </c>
      <c r="C10" s="277">
        <f>'Sources and Uses Budget'!$C9</f>
        <v>0</v>
      </c>
      <c r="D10" s="281">
        <f t="shared" si="0"/>
        <v>0</v>
      </c>
      <c r="E10" s="279"/>
      <c r="F10" s="278"/>
      <c r="G10" s="375"/>
    </row>
    <row r="11" spans="1:7" s="372" customFormat="1">
      <c r="A11" s="387" t="s">
        <v>605</v>
      </c>
      <c r="B11" s="277">
        <f>'Sources and Uses Budget'!$C10</f>
        <v>2342777</v>
      </c>
      <c r="C11" s="277">
        <f>'Sources and Uses Budget'!$C10</f>
        <v>2342777</v>
      </c>
      <c r="D11" s="281">
        <f t="shared" si="0"/>
        <v>0</v>
      </c>
      <c r="E11" s="279"/>
      <c r="F11" s="278"/>
      <c r="G11" s="375"/>
    </row>
    <row r="12" spans="1:7" s="372" customFormat="1">
      <c r="A12" s="388" t="s">
        <v>606</v>
      </c>
      <c r="B12" s="281">
        <f>SUM(B10:B11)</f>
        <v>2342777</v>
      </c>
      <c r="C12" s="281">
        <f>SUM(C10:C11)</f>
        <v>2342777</v>
      </c>
      <c r="D12" s="281">
        <f t="shared" si="0"/>
        <v>0</v>
      </c>
      <c r="E12" s="279"/>
      <c r="F12" s="278"/>
      <c r="G12" s="375"/>
    </row>
    <row r="13" spans="1:7" s="372" customFormat="1">
      <c r="A13" s="388" t="s">
        <v>85</v>
      </c>
      <c r="B13" s="281">
        <f>SUM(B9+B12)</f>
        <v>2402876</v>
      </c>
      <c r="C13" s="281">
        <f>SUM(C9+C12)</f>
        <v>2402876</v>
      </c>
      <c r="D13" s="281">
        <f t="shared" si="0"/>
        <v>0</v>
      </c>
      <c r="E13" s="279"/>
      <c r="F13" s="278"/>
      <c r="G13" s="375"/>
    </row>
    <row r="14" spans="1:7" s="372" customFormat="1">
      <c r="A14" s="389" t="s">
        <v>936</v>
      </c>
      <c r="B14" s="277">
        <f>'Sources and Uses Budget'!$C13</f>
        <v>110000</v>
      </c>
      <c r="C14" s="277">
        <f>'Sources and Uses Budget'!$C13</f>
        <v>110000</v>
      </c>
      <c r="D14" s="281">
        <f t="shared" si="0"/>
        <v>0</v>
      </c>
      <c r="E14" s="279"/>
      <c r="F14" s="278"/>
      <c r="G14" s="375"/>
    </row>
    <row r="15" spans="1:7" s="372" customFormat="1" ht="23">
      <c r="A15" s="387" t="s">
        <v>937</v>
      </c>
      <c r="B15" s="277">
        <f>'Sources and Uses Budget'!$C14</f>
        <v>0</v>
      </c>
      <c r="C15" s="277">
        <f>'Sources and Uses Budget'!$C14</f>
        <v>0</v>
      </c>
      <c r="D15" s="281">
        <f t="shared" si="0"/>
        <v>0</v>
      </c>
      <c r="E15" s="279"/>
      <c r="F15" s="278"/>
      <c r="G15" s="375"/>
    </row>
    <row r="16" spans="1:7" s="372" customFormat="1">
      <c r="A16" s="387" t="s">
        <v>1303</v>
      </c>
      <c r="B16" s="277">
        <f>'Sources and Uses Budget'!$C15</f>
        <v>0</v>
      </c>
      <c r="C16" s="277">
        <f>'Sources and Uses Budget'!$C15</f>
        <v>0</v>
      </c>
      <c r="D16" s="281">
        <f t="shared" si="0"/>
        <v>0</v>
      </c>
      <c r="E16" s="279"/>
      <c r="F16" s="278"/>
      <c r="G16" s="375"/>
    </row>
    <row r="17" spans="1:7" s="372" customFormat="1" ht="13">
      <c r="A17" s="275" t="s">
        <v>607</v>
      </c>
      <c r="B17" s="275"/>
      <c r="C17" s="275"/>
      <c r="D17" s="275"/>
      <c r="E17" s="294"/>
      <c r="F17" s="275"/>
      <c r="G17" s="375"/>
    </row>
    <row r="18" spans="1:7" s="372" customFormat="1">
      <c r="A18" s="145" t="s">
        <v>608</v>
      </c>
      <c r="B18" s="277">
        <f>'Sources and Uses Budget'!$C17</f>
        <v>0</v>
      </c>
      <c r="C18" s="277">
        <f>'Sources and Uses Budget'!$C17</f>
        <v>0</v>
      </c>
      <c r="D18" s="281">
        <f t="shared" si="0"/>
        <v>0</v>
      </c>
      <c r="E18" s="279"/>
      <c r="F18" s="278"/>
      <c r="G18" s="375"/>
    </row>
    <row r="19" spans="1:7" s="372" customFormat="1">
      <c r="A19" s="145" t="s">
        <v>609</v>
      </c>
      <c r="B19" s="277">
        <f>'Sources and Uses Budget'!$C18</f>
        <v>0</v>
      </c>
      <c r="C19" s="277">
        <f>'Sources and Uses Budget'!$C18</f>
        <v>0</v>
      </c>
      <c r="D19" s="281">
        <f t="shared" si="0"/>
        <v>0</v>
      </c>
      <c r="E19" s="279"/>
      <c r="F19" s="278"/>
      <c r="G19" s="375"/>
    </row>
    <row r="20" spans="1:7" s="372" customFormat="1">
      <c r="A20" s="145" t="s">
        <v>610</v>
      </c>
      <c r="B20" s="277">
        <f>'Sources and Uses Budget'!$C19</f>
        <v>0</v>
      </c>
      <c r="C20" s="277">
        <f>'Sources and Uses Budget'!$C19</f>
        <v>0</v>
      </c>
      <c r="D20" s="281">
        <f t="shared" si="0"/>
        <v>0</v>
      </c>
      <c r="E20" s="279"/>
      <c r="F20" s="278"/>
      <c r="G20" s="375"/>
    </row>
    <row r="21" spans="1:7" s="372" customFormat="1">
      <c r="A21" s="145" t="s">
        <v>138</v>
      </c>
      <c r="B21" s="277">
        <f>'Sources and Uses Budget'!$C20</f>
        <v>0</v>
      </c>
      <c r="C21" s="277">
        <f>'Sources and Uses Budget'!$C20</f>
        <v>0</v>
      </c>
      <c r="D21" s="281">
        <f t="shared" si="0"/>
        <v>0</v>
      </c>
      <c r="E21" s="279"/>
      <c r="F21" s="278"/>
      <c r="G21" s="375"/>
    </row>
    <row r="22" spans="1:7" s="372" customFormat="1">
      <c r="A22" s="145" t="s">
        <v>139</v>
      </c>
      <c r="B22" s="277">
        <f>'Sources and Uses Budget'!$C21</f>
        <v>0</v>
      </c>
      <c r="C22" s="277">
        <f>'Sources and Uses Budget'!$C21</f>
        <v>0</v>
      </c>
      <c r="D22" s="281">
        <f t="shared" si="0"/>
        <v>0</v>
      </c>
      <c r="E22" s="279"/>
      <c r="F22" s="278"/>
      <c r="G22" s="375"/>
    </row>
    <row r="23" spans="1:7" s="372" customFormat="1">
      <c r="A23" s="145" t="s">
        <v>140</v>
      </c>
      <c r="B23" s="277">
        <f>'Sources and Uses Budget'!$C22</f>
        <v>0</v>
      </c>
      <c r="C23" s="277">
        <f>'Sources and Uses Budget'!$C22</f>
        <v>0</v>
      </c>
      <c r="D23" s="281">
        <f t="shared" si="0"/>
        <v>0</v>
      </c>
      <c r="E23" s="279"/>
      <c r="F23" s="278"/>
      <c r="G23" s="375"/>
    </row>
    <row r="24" spans="1:7" s="372" customFormat="1">
      <c r="A24" s="145" t="s">
        <v>141</v>
      </c>
      <c r="B24" s="277">
        <f>'Sources and Uses Budget'!$C23</f>
        <v>0</v>
      </c>
      <c r="C24" s="277">
        <f>'Sources and Uses Budget'!$C23</f>
        <v>0</v>
      </c>
      <c r="D24" s="281">
        <f t="shared" si="0"/>
        <v>0</v>
      </c>
      <c r="E24" s="279"/>
      <c r="F24" s="278"/>
      <c r="G24" s="375"/>
    </row>
    <row r="25" spans="1:7" s="372" customFormat="1">
      <c r="A25" s="534" t="s">
        <v>1821</v>
      </c>
      <c r="B25" s="277">
        <f>'Sources and Uses Budget'!$C24</f>
        <v>0</v>
      </c>
      <c r="C25" s="277">
        <f>'Sources and Uses Budget'!$C24</f>
        <v>0</v>
      </c>
      <c r="D25" s="281">
        <f t="shared" si="0"/>
        <v>0</v>
      </c>
      <c r="E25" s="279"/>
      <c r="F25" s="278"/>
      <c r="G25" s="375"/>
    </row>
    <row r="26" spans="1:7" s="372" customFormat="1">
      <c r="A26" s="155" t="str">
        <f>'Sources and Uses Budget'!A25</f>
        <v>Other: (Specify)</v>
      </c>
      <c r="B26" s="277">
        <f>'Sources and Uses Budget'!$C25</f>
        <v>0</v>
      </c>
      <c r="C26" s="277">
        <f>'Sources and Uses Budget'!$C25</f>
        <v>0</v>
      </c>
      <c r="D26" s="281">
        <f t="shared" si="0"/>
        <v>0</v>
      </c>
      <c r="E26" s="279"/>
      <c r="F26" s="278"/>
      <c r="G26" s="375"/>
    </row>
    <row r="27" spans="1:7" s="372" customFormat="1" ht="13">
      <c r="A27" s="1037" t="s">
        <v>134</v>
      </c>
      <c r="B27" s="281">
        <f>SUM(B18:B26)</f>
        <v>0</v>
      </c>
      <c r="C27" s="281">
        <f>SUM(C18:C26)</f>
        <v>0</v>
      </c>
      <c r="D27" s="281">
        <f>SUM(D18:D26)</f>
        <v>0</v>
      </c>
      <c r="E27" s="279"/>
      <c r="F27" s="278"/>
      <c r="G27" s="375"/>
    </row>
    <row r="28" spans="1:7" s="372" customFormat="1" ht="13">
      <c r="A28" s="282" t="s">
        <v>142</v>
      </c>
      <c r="B28" s="277">
        <f>'Sources and Uses Budget'!$C$27</f>
        <v>0</v>
      </c>
      <c r="C28" s="277">
        <f>'Sources and Uses Budget'!$C$27</f>
        <v>0</v>
      </c>
      <c r="D28" s="281">
        <f t="shared" si="0"/>
        <v>0</v>
      </c>
      <c r="E28" s="279"/>
      <c r="F28" s="278"/>
      <c r="G28" s="375"/>
    </row>
    <row r="29" spans="1:7" s="372" customFormat="1" ht="13">
      <c r="A29" s="275" t="s">
        <v>143</v>
      </c>
      <c r="B29" s="275"/>
      <c r="C29" s="275"/>
      <c r="D29" s="275"/>
      <c r="E29" s="294"/>
      <c r="F29" s="275"/>
      <c r="G29" s="375"/>
    </row>
    <row r="30" spans="1:7" s="372" customFormat="1">
      <c r="A30" s="145" t="s">
        <v>608</v>
      </c>
      <c r="B30" s="277">
        <f>'Sources and Uses Budget'!$C29</f>
        <v>3951762</v>
      </c>
      <c r="C30" s="277">
        <f>'Sources and Uses Budget'!$C29</f>
        <v>3951762</v>
      </c>
      <c r="D30" s="281">
        <f t="shared" si="0"/>
        <v>0</v>
      </c>
      <c r="E30" s="279"/>
      <c r="F30" s="278"/>
      <c r="G30" s="375"/>
    </row>
    <row r="31" spans="1:7" s="372" customFormat="1">
      <c r="A31" s="145" t="s">
        <v>609</v>
      </c>
      <c r="B31" s="277">
        <f>'Sources and Uses Budget'!$C30</f>
        <v>82846243</v>
      </c>
      <c r="C31" s="277">
        <f>'Sources and Uses Budget'!$C30</f>
        <v>82846243</v>
      </c>
      <c r="D31" s="281">
        <f t="shared" si="0"/>
        <v>0</v>
      </c>
      <c r="E31" s="279"/>
      <c r="F31" s="278"/>
      <c r="G31" s="375"/>
    </row>
    <row r="32" spans="1:7" s="372" customFormat="1">
      <c r="A32" s="145" t="s">
        <v>610</v>
      </c>
      <c r="B32" s="277">
        <f>'Sources and Uses Budget'!$C31</f>
        <v>4105528</v>
      </c>
      <c r="C32" s="277">
        <f>'Sources and Uses Budget'!$C31</f>
        <v>4105528</v>
      </c>
      <c r="D32" s="281">
        <f t="shared" si="0"/>
        <v>0</v>
      </c>
      <c r="E32" s="279"/>
      <c r="F32" s="278"/>
      <c r="G32" s="375"/>
    </row>
    <row r="33" spans="1:7" s="372" customFormat="1">
      <c r="A33" s="145" t="s">
        <v>138</v>
      </c>
      <c r="B33" s="277">
        <f>'Sources and Uses Budget'!$C32</f>
        <v>3514646</v>
      </c>
      <c r="C33" s="277">
        <f>'Sources and Uses Budget'!$C32</f>
        <v>3514646</v>
      </c>
      <c r="D33" s="281">
        <f t="shared" si="0"/>
        <v>0</v>
      </c>
      <c r="E33" s="279"/>
      <c r="F33" s="278"/>
      <c r="G33" s="375"/>
    </row>
    <row r="34" spans="1:7" s="372" customFormat="1">
      <c r="A34" s="145" t="s">
        <v>139</v>
      </c>
      <c r="B34" s="277">
        <f>'Sources and Uses Budget'!$C33</f>
        <v>0</v>
      </c>
      <c r="C34" s="277">
        <f>'Sources and Uses Budget'!$C33</f>
        <v>0</v>
      </c>
      <c r="D34" s="281">
        <f t="shared" si="0"/>
        <v>0</v>
      </c>
      <c r="E34" s="279"/>
      <c r="F34" s="278"/>
      <c r="G34" s="375"/>
    </row>
    <row r="35" spans="1:7" s="372" customFormat="1">
      <c r="A35" s="145" t="s">
        <v>140</v>
      </c>
      <c r="B35" s="277">
        <f>'Sources and Uses Budget'!$C34</f>
        <v>0</v>
      </c>
      <c r="C35" s="277">
        <f>'Sources and Uses Budget'!$C34</f>
        <v>0</v>
      </c>
      <c r="D35" s="281">
        <f t="shared" si="0"/>
        <v>0</v>
      </c>
      <c r="E35" s="279"/>
      <c r="F35" s="278"/>
      <c r="G35" s="375"/>
    </row>
    <row r="36" spans="1:7" s="372" customFormat="1">
      <c r="A36" s="145" t="s">
        <v>141</v>
      </c>
      <c r="B36" s="277">
        <f>'Sources and Uses Budget'!$C35</f>
        <v>2291037</v>
      </c>
      <c r="C36" s="277">
        <f>'Sources and Uses Budget'!$C35</f>
        <v>2291037</v>
      </c>
      <c r="D36" s="281">
        <f t="shared" si="0"/>
        <v>0</v>
      </c>
      <c r="E36" s="279"/>
      <c r="F36" s="278"/>
      <c r="G36" s="375"/>
    </row>
    <row r="37" spans="1:7" s="372" customFormat="1">
      <c r="A37" s="295" t="s">
        <v>1821</v>
      </c>
      <c r="B37" s="277">
        <f>'Sources and Uses Budget'!$C36</f>
        <v>0</v>
      </c>
      <c r="C37" s="277">
        <f>'Sources and Uses Budget'!$C36</f>
        <v>0</v>
      </c>
      <c r="D37" s="281"/>
      <c r="E37" s="279"/>
      <c r="F37" s="278"/>
      <c r="G37" s="375"/>
    </row>
    <row r="38" spans="1:7" s="372" customFormat="1">
      <c r="A38" s="155" t="str">
        <f>'Sources and Uses Budget'!A37</f>
        <v>Other: (Specify)</v>
      </c>
      <c r="B38" s="277">
        <f>'Sources and Uses Budget'!$C37</f>
        <v>0</v>
      </c>
      <c r="C38" s="277">
        <f>'Sources and Uses Budget'!$C37</f>
        <v>0</v>
      </c>
      <c r="D38" s="281">
        <f t="shared" si="0"/>
        <v>0</v>
      </c>
      <c r="E38" s="279"/>
      <c r="F38" s="278"/>
      <c r="G38" s="375"/>
    </row>
    <row r="39" spans="1:7" s="372" customFormat="1" ht="13">
      <c r="A39" s="282" t="s">
        <v>144</v>
      </c>
      <c r="B39" s="281">
        <f>SUM(B30:B38)</f>
        <v>96709216</v>
      </c>
      <c r="C39" s="281">
        <f>SUM(C30:C38)</f>
        <v>96709216</v>
      </c>
      <c r="D39" s="281">
        <f t="shared" si="0"/>
        <v>0</v>
      </c>
      <c r="E39" s="279"/>
      <c r="F39" s="278"/>
      <c r="G39" s="375"/>
    </row>
    <row r="40" spans="1:7" s="372" customFormat="1" ht="13">
      <c r="A40" s="275" t="s">
        <v>145</v>
      </c>
      <c r="B40" s="275"/>
      <c r="C40" s="275"/>
      <c r="D40" s="275"/>
      <c r="E40" s="294"/>
      <c r="F40" s="275"/>
      <c r="G40" s="375"/>
    </row>
    <row r="41" spans="1:7" s="372" customFormat="1">
      <c r="A41" s="280" t="s">
        <v>146</v>
      </c>
      <c r="B41" s="277">
        <f>'Sources and Uses Budget'!$C40</f>
        <v>2112089</v>
      </c>
      <c r="C41" s="277">
        <f>'Sources and Uses Budget'!$C40</f>
        <v>2112089</v>
      </c>
      <c r="D41" s="281">
        <f t="shared" si="0"/>
        <v>0</v>
      </c>
      <c r="E41" s="279"/>
      <c r="F41" s="278"/>
      <c r="G41" s="375"/>
    </row>
    <row r="42" spans="1:7" s="372" customFormat="1">
      <c r="A42" s="280" t="s">
        <v>147</v>
      </c>
      <c r="B42" s="277">
        <f>'Sources and Uses Budget'!$C41</f>
        <v>690000</v>
      </c>
      <c r="C42" s="277">
        <f>'Sources and Uses Budget'!$C41</f>
        <v>690000</v>
      </c>
      <c r="D42" s="281">
        <f t="shared" si="0"/>
        <v>0</v>
      </c>
      <c r="E42" s="279"/>
      <c r="F42" s="278"/>
      <c r="G42" s="375"/>
    </row>
    <row r="43" spans="1:7" s="372" customFormat="1" ht="13">
      <c r="A43" s="282" t="s">
        <v>148</v>
      </c>
      <c r="B43" s="281">
        <f>SUM(B41:B42)</f>
        <v>2802089</v>
      </c>
      <c r="C43" s="281">
        <f>SUM(C41:C42)</f>
        <v>2802089</v>
      </c>
      <c r="D43" s="281">
        <f t="shared" si="0"/>
        <v>0</v>
      </c>
      <c r="E43" s="279"/>
      <c r="F43" s="278"/>
      <c r="G43" s="375"/>
    </row>
    <row r="44" spans="1:7" s="372" customFormat="1" ht="13">
      <c r="A44" s="282" t="s">
        <v>149</v>
      </c>
      <c r="B44" s="277">
        <f>'Sources and Uses Budget'!$C43</f>
        <v>609370</v>
      </c>
      <c r="C44" s="277">
        <f>'Sources and Uses Budget'!$C43</f>
        <v>609370</v>
      </c>
      <c r="D44" s="281">
        <f t="shared" si="0"/>
        <v>0</v>
      </c>
      <c r="E44" s="279"/>
      <c r="F44" s="278"/>
      <c r="G44" s="375"/>
    </row>
    <row r="45" spans="1:7" s="372" customFormat="1" ht="12" customHeight="1">
      <c r="A45" s="275" t="s">
        <v>150</v>
      </c>
      <c r="B45" s="275"/>
      <c r="C45" s="275"/>
      <c r="D45" s="275"/>
      <c r="E45" s="294"/>
      <c r="F45" s="275"/>
      <c r="G45" s="375"/>
    </row>
    <row r="46" spans="1:7" s="372" customFormat="1">
      <c r="A46" s="145" t="s">
        <v>151</v>
      </c>
      <c r="B46" s="277">
        <f>'Sources and Uses Budget'!$C45</f>
        <v>8954443</v>
      </c>
      <c r="C46" s="277">
        <f>'Sources and Uses Budget'!$C45</f>
        <v>8954443</v>
      </c>
      <c r="D46" s="281">
        <f t="shared" si="0"/>
        <v>0</v>
      </c>
      <c r="E46" s="279"/>
      <c r="F46" s="278"/>
      <c r="G46" s="375"/>
    </row>
    <row r="47" spans="1:7" s="372" customFormat="1">
      <c r="A47" s="145" t="s">
        <v>152</v>
      </c>
      <c r="B47" s="277">
        <f>'Sources and Uses Budget'!$C46</f>
        <v>1116354</v>
      </c>
      <c r="C47" s="277">
        <f>'Sources and Uses Budget'!$C46</f>
        <v>1116354</v>
      </c>
      <c r="D47" s="281">
        <f t="shared" si="0"/>
        <v>0</v>
      </c>
      <c r="E47" s="279"/>
      <c r="F47" s="278"/>
      <c r="G47" s="375"/>
    </row>
    <row r="48" spans="1:7" s="372" customFormat="1" ht="12" customHeight="1">
      <c r="A48" s="198" t="s">
        <v>153</v>
      </c>
      <c r="B48" s="277">
        <f>'Sources and Uses Budget'!$C47</f>
        <v>0</v>
      </c>
      <c r="C48" s="277">
        <f>'Sources and Uses Budget'!$C47</f>
        <v>0</v>
      </c>
      <c r="D48" s="281">
        <f t="shared" si="0"/>
        <v>0</v>
      </c>
      <c r="E48" s="279"/>
      <c r="F48" s="278"/>
      <c r="G48" s="375"/>
    </row>
    <row r="49" spans="1:7" s="372" customFormat="1">
      <c r="A49" s="145" t="s">
        <v>154</v>
      </c>
      <c r="B49" s="277">
        <f>'Sources and Uses Budget'!$C48</f>
        <v>0</v>
      </c>
      <c r="C49" s="277">
        <f>'Sources and Uses Budget'!$C48</f>
        <v>0</v>
      </c>
      <c r="D49" s="281">
        <f t="shared" si="0"/>
        <v>0</v>
      </c>
      <c r="E49" s="279"/>
      <c r="F49" s="278"/>
      <c r="G49" s="375"/>
    </row>
    <row r="50" spans="1:7" s="372" customFormat="1">
      <c r="A50" s="145" t="s">
        <v>57</v>
      </c>
      <c r="B50" s="277">
        <f>'Sources and Uses Budget'!$C49</f>
        <v>310615</v>
      </c>
      <c r="C50" s="277">
        <f>'Sources and Uses Budget'!$C49</f>
        <v>310615</v>
      </c>
      <c r="D50" s="281">
        <f t="shared" si="0"/>
        <v>0</v>
      </c>
      <c r="E50" s="279"/>
      <c r="F50" s="278"/>
      <c r="G50" s="375"/>
    </row>
    <row r="51" spans="1:7" s="372" customFormat="1">
      <c r="A51" s="145" t="s">
        <v>157</v>
      </c>
      <c r="B51" s="277">
        <f>'Sources and Uses Budget'!$C50</f>
        <v>100000</v>
      </c>
      <c r="C51" s="277">
        <f>'Sources and Uses Budget'!$C50</f>
        <v>100000</v>
      </c>
      <c r="D51" s="281">
        <f t="shared" si="0"/>
        <v>0</v>
      </c>
      <c r="E51" s="279"/>
      <c r="F51" s="278"/>
      <c r="G51" s="375"/>
    </row>
    <row r="52" spans="1:7" s="372" customFormat="1">
      <c r="A52" s="295" t="s">
        <v>155</v>
      </c>
      <c r="B52" s="277">
        <f>'Sources and Uses Budget'!$C51</f>
        <v>0</v>
      </c>
      <c r="C52" s="277">
        <f>'Sources and Uses Budget'!$C51</f>
        <v>0</v>
      </c>
      <c r="D52" s="281">
        <f t="shared" si="0"/>
        <v>0</v>
      </c>
      <c r="E52" s="279"/>
      <c r="F52" s="278"/>
      <c r="G52" s="375"/>
    </row>
    <row r="53" spans="1:7" s="372" customFormat="1">
      <c r="A53" s="145" t="s">
        <v>156</v>
      </c>
      <c r="B53" s="277">
        <f>'Sources and Uses Budget'!$C52</f>
        <v>1468687</v>
      </c>
      <c r="C53" s="277">
        <f>'Sources and Uses Budget'!$C52</f>
        <v>1468687</v>
      </c>
      <c r="D53" s="281">
        <f t="shared" si="0"/>
        <v>0</v>
      </c>
      <c r="E53" s="279"/>
      <c r="F53" s="278"/>
      <c r="G53" s="375"/>
    </row>
    <row r="54" spans="1:7" s="372" customFormat="1">
      <c r="A54" s="155" t="str">
        <f>'Sources and Uses Budget'!A53</f>
        <v>Accrued/Deferred Interest</v>
      </c>
      <c r="B54" s="277">
        <f>'Sources and Uses Budget'!$C53</f>
        <v>1154519</v>
      </c>
      <c r="C54" s="277">
        <f>'Sources and Uses Budget'!$C53</f>
        <v>1154519</v>
      </c>
      <c r="D54" s="281">
        <f t="shared" si="0"/>
        <v>0</v>
      </c>
      <c r="E54" s="279"/>
      <c r="F54" s="278"/>
      <c r="G54" s="375"/>
    </row>
    <row r="55" spans="1:7" s="373" customFormat="1" ht="13">
      <c r="A55" s="282" t="s">
        <v>158</v>
      </c>
      <c r="B55" s="284">
        <f>SUM(B46:B54)</f>
        <v>13104618</v>
      </c>
      <c r="C55" s="284">
        <f>SUM(C46:C54)</f>
        <v>13104618</v>
      </c>
      <c r="D55" s="281">
        <f t="shared" si="0"/>
        <v>0</v>
      </c>
      <c r="E55" s="279"/>
      <c r="F55" s="278"/>
      <c r="G55" s="376"/>
    </row>
    <row r="56" spans="1:7" s="372" customFormat="1" ht="13">
      <c r="A56" s="275" t="s">
        <v>420</v>
      </c>
      <c r="B56" s="275"/>
      <c r="C56" s="275"/>
      <c r="D56" s="275"/>
      <c r="E56" s="294"/>
      <c r="F56" s="275"/>
      <c r="G56" s="375"/>
    </row>
    <row r="57" spans="1:7" s="372" customFormat="1">
      <c r="A57" s="280" t="s">
        <v>159</v>
      </c>
      <c r="B57" s="277">
        <f>'Sources and Uses Budget'!$C56</f>
        <v>188210</v>
      </c>
      <c r="C57" s="277">
        <f>'Sources and Uses Budget'!$C56</f>
        <v>188210</v>
      </c>
      <c r="D57" s="281">
        <f t="shared" si="0"/>
        <v>0</v>
      </c>
      <c r="E57" s="279"/>
      <c r="F57" s="278"/>
      <c r="G57" s="375"/>
    </row>
    <row r="58" spans="1:7" s="372" customFormat="1" ht="12" customHeight="1">
      <c r="A58" s="280" t="s">
        <v>153</v>
      </c>
      <c r="B58" s="277">
        <f>'Sources and Uses Budget'!$C57</f>
        <v>0</v>
      </c>
      <c r="C58" s="277">
        <f>'Sources and Uses Budget'!$C57</f>
        <v>0</v>
      </c>
      <c r="D58" s="281">
        <f t="shared" si="0"/>
        <v>0</v>
      </c>
      <c r="E58" s="279"/>
      <c r="F58" s="278"/>
      <c r="G58" s="375"/>
    </row>
    <row r="59" spans="1:7" s="372" customFormat="1">
      <c r="A59" s="280" t="s">
        <v>157</v>
      </c>
      <c r="B59" s="277">
        <f>'Sources and Uses Budget'!$C58</f>
        <v>25000</v>
      </c>
      <c r="C59" s="277">
        <f>'Sources and Uses Budget'!$C58</f>
        <v>25000</v>
      </c>
      <c r="D59" s="281">
        <f t="shared" si="0"/>
        <v>0</v>
      </c>
      <c r="E59" s="279"/>
      <c r="F59" s="278"/>
      <c r="G59" s="375"/>
    </row>
    <row r="60" spans="1:7" s="372" customFormat="1">
      <c r="A60" s="280" t="s">
        <v>155</v>
      </c>
      <c r="B60" s="277">
        <f>'Sources and Uses Budget'!$C59</f>
        <v>0</v>
      </c>
      <c r="C60" s="277">
        <f>'Sources and Uses Budget'!$C59</f>
        <v>0</v>
      </c>
      <c r="D60" s="281">
        <f t="shared" si="0"/>
        <v>0</v>
      </c>
      <c r="E60" s="279"/>
      <c r="F60" s="278"/>
      <c r="G60" s="375"/>
    </row>
    <row r="61" spans="1:7" s="372" customFormat="1">
      <c r="A61" s="280" t="s">
        <v>156</v>
      </c>
      <c r="B61" s="277">
        <f>'Sources and Uses Budget'!$C60</f>
        <v>0</v>
      </c>
      <c r="C61" s="277">
        <f>'Sources and Uses Budget'!$C60</f>
        <v>0</v>
      </c>
      <c r="D61" s="281">
        <f t="shared" si="0"/>
        <v>0</v>
      </c>
      <c r="E61" s="279"/>
      <c r="F61" s="278"/>
      <c r="G61" s="375"/>
    </row>
    <row r="62" spans="1:7" s="372" customFormat="1">
      <c r="A62" s="1038" t="str">
        <f>'Sources and Uses Budget'!A61</f>
        <v>Perm Loan Legal (Borrower/Lender)</v>
      </c>
      <c r="B62" s="277">
        <f>'Sources and Uses Budget'!$C61</f>
        <v>50000</v>
      </c>
      <c r="C62" s="277">
        <f>'Sources and Uses Budget'!$C61</f>
        <v>50000</v>
      </c>
      <c r="D62" s="281">
        <f t="shared" si="0"/>
        <v>0</v>
      </c>
      <c r="E62" s="279"/>
      <c r="F62" s="278"/>
      <c r="G62" s="375"/>
    </row>
    <row r="63" spans="1:7" s="372" customFormat="1" ht="14" customHeight="1">
      <c r="A63" s="282" t="s">
        <v>303</v>
      </c>
      <c r="B63" s="281">
        <f>SUM(B57:B62)</f>
        <v>263210</v>
      </c>
      <c r="C63" s="281">
        <f>SUM(C57:C62)</f>
        <v>263210</v>
      </c>
      <c r="D63" s="281">
        <f t="shared" si="0"/>
        <v>0</v>
      </c>
      <c r="E63" s="279"/>
      <c r="F63" s="278"/>
      <c r="G63" s="375"/>
    </row>
    <row r="64" spans="1:7" s="372" customFormat="1" ht="13">
      <c r="A64" s="285" t="s">
        <v>304</v>
      </c>
      <c r="B64" s="281">
        <f>SUM(B9+B12+B14+B15+B17+B26+B28+B39+B43+B44+B55+B63)</f>
        <v>116001379</v>
      </c>
      <c r="C64" s="281">
        <f>SUM(C9+C12+C14+C15+C17+C26+C28+C39+C43+C44+C55+C63)</f>
        <v>116001379</v>
      </c>
      <c r="D64" s="281">
        <f t="shared" si="0"/>
        <v>0</v>
      </c>
      <c r="E64" s="279"/>
      <c r="F64" s="278"/>
      <c r="G64" s="375"/>
    </row>
    <row r="65" spans="1:7" s="372" customFormat="1" ht="24">
      <c r="A65" s="141" t="s">
        <v>1825</v>
      </c>
      <c r="B65" s="275"/>
      <c r="C65" s="275"/>
      <c r="D65" s="275"/>
      <c r="E65" s="294"/>
      <c r="F65" s="275"/>
      <c r="G65" s="375"/>
    </row>
    <row r="66" spans="1:7" s="372" customFormat="1">
      <c r="A66" s="145" t="s">
        <v>172</v>
      </c>
      <c r="B66" s="277">
        <f>'Sources and Uses Budget'!$C65</f>
        <v>85000</v>
      </c>
      <c r="C66" s="277">
        <f>'Sources and Uses Budget'!$C65</f>
        <v>85000</v>
      </c>
      <c r="D66" s="281">
        <f t="shared" si="0"/>
        <v>0</v>
      </c>
      <c r="E66" s="279"/>
      <c r="F66" s="278"/>
      <c r="G66" s="375"/>
    </row>
    <row r="67" spans="1:7" s="372" customFormat="1" ht="23">
      <c r="A67" s="295" t="s">
        <v>1822</v>
      </c>
      <c r="B67" s="277">
        <f>'Sources and Uses Budget'!$C66</f>
        <v>0</v>
      </c>
      <c r="C67" s="277">
        <f>'Sources and Uses Budget'!$C66</f>
        <v>0</v>
      </c>
      <c r="D67" s="281"/>
      <c r="E67" s="279"/>
      <c r="F67" s="278"/>
      <c r="G67" s="375"/>
    </row>
    <row r="68" spans="1:7" s="372" customFormat="1" ht="23">
      <c r="A68" s="295" t="s">
        <v>1823</v>
      </c>
      <c r="B68" s="277">
        <f>'Sources and Uses Budget'!$C67</f>
        <v>0</v>
      </c>
      <c r="C68" s="277">
        <f>'Sources and Uses Budget'!$C67</f>
        <v>0</v>
      </c>
      <c r="D68" s="281"/>
      <c r="E68" s="279"/>
      <c r="F68" s="278"/>
      <c r="G68" s="375"/>
    </row>
    <row r="69" spans="1:7" s="372" customFormat="1">
      <c r="A69" s="295" t="s">
        <v>1829</v>
      </c>
      <c r="B69" s="277">
        <f>'Sources and Uses Budget'!$C68</f>
        <v>0</v>
      </c>
      <c r="C69" s="277">
        <f>'Sources and Uses Budget'!$C68</f>
        <v>0</v>
      </c>
      <c r="D69" s="281"/>
      <c r="E69" s="279"/>
      <c r="F69" s="278"/>
      <c r="G69" s="375"/>
    </row>
    <row r="70" spans="1:7" s="372" customFormat="1">
      <c r="A70" s="155" t="str">
        <f>'Sources and Uses Budget'!A69</f>
        <v>Borrower Construction Legal</v>
      </c>
      <c r="B70" s="277">
        <f>'Sources and Uses Budget'!$C69</f>
        <v>50000</v>
      </c>
      <c r="C70" s="277">
        <f>'Sources and Uses Budget'!$C69</f>
        <v>50000</v>
      </c>
      <c r="D70" s="281">
        <f t="shared" si="0"/>
        <v>0</v>
      </c>
      <c r="E70" s="279"/>
      <c r="F70" s="278"/>
      <c r="G70" s="375"/>
    </row>
    <row r="71" spans="1:7" s="372" customFormat="1">
      <c r="A71" s="149" t="s">
        <v>1826</v>
      </c>
      <c r="B71" s="281">
        <f>SUM(B66:B70)</f>
        <v>135000</v>
      </c>
      <c r="C71" s="281">
        <f>SUM(C66:C70)</f>
        <v>135000</v>
      </c>
      <c r="D71" s="281">
        <f t="shared" si="0"/>
        <v>0</v>
      </c>
      <c r="E71" s="279"/>
      <c r="F71" s="278"/>
      <c r="G71" s="375"/>
    </row>
    <row r="72" spans="1:7" s="372" customFormat="1" ht="13">
      <c r="A72" s="275" t="s">
        <v>612</v>
      </c>
      <c r="B72" s="275"/>
      <c r="C72" s="275"/>
      <c r="D72" s="275"/>
      <c r="E72" s="294"/>
      <c r="F72" s="275"/>
      <c r="G72" s="375"/>
    </row>
    <row r="73" spans="1:7" s="372" customFormat="1">
      <c r="A73" s="280" t="s">
        <v>613</v>
      </c>
      <c r="B73" s="277">
        <f>'Sources and Uses Budget'!$C72</f>
        <v>0</v>
      </c>
      <c r="C73" s="277">
        <f>'Sources and Uses Budget'!$C72</f>
        <v>0</v>
      </c>
      <c r="D73" s="281">
        <f t="shared" si="0"/>
        <v>0</v>
      </c>
      <c r="E73" s="279"/>
      <c r="F73" s="278"/>
      <c r="G73" s="375"/>
    </row>
    <row r="74" spans="1:7" s="372" customFormat="1">
      <c r="A74" s="280" t="s">
        <v>614</v>
      </c>
      <c r="B74" s="277">
        <f>'Sources and Uses Budget'!$C73</f>
        <v>350000</v>
      </c>
      <c r="C74" s="277">
        <f>'Sources and Uses Budget'!$C73</f>
        <v>350000</v>
      </c>
      <c r="D74" s="281">
        <f t="shared" si="0"/>
        <v>0</v>
      </c>
      <c r="E74" s="279"/>
      <c r="F74" s="278"/>
      <c r="G74" s="375"/>
    </row>
    <row r="75" spans="1:7" s="372" customFormat="1">
      <c r="A75" s="300" t="s">
        <v>1040</v>
      </c>
      <c r="B75" s="277">
        <f>'Sources and Uses Budget'!$C74</f>
        <v>0</v>
      </c>
      <c r="C75" s="277">
        <f>'Sources and Uses Budget'!$C74</f>
        <v>0</v>
      </c>
      <c r="D75" s="281">
        <f t="shared" si="0"/>
        <v>0</v>
      </c>
      <c r="E75" s="279"/>
      <c r="F75" s="278"/>
      <c r="G75" s="375"/>
    </row>
    <row r="76" spans="1:7" s="372" customFormat="1">
      <c r="A76" s="280" t="s">
        <v>615</v>
      </c>
      <c r="B76" s="277">
        <f>'Sources and Uses Budget'!$C75</f>
        <v>687805</v>
      </c>
      <c r="C76" s="277">
        <f>'Sources and Uses Budget'!$C75</f>
        <v>687805</v>
      </c>
      <c r="D76" s="281">
        <f t="shared" si="0"/>
        <v>0</v>
      </c>
      <c r="E76" s="279"/>
      <c r="F76" s="278"/>
      <c r="G76" s="375"/>
    </row>
    <row r="77" spans="1:7" s="372" customFormat="1">
      <c r="A77" s="283" t="s">
        <v>34</v>
      </c>
      <c r="B77" s="277">
        <f>'Sources and Uses Budget'!$C76</f>
        <v>0</v>
      </c>
      <c r="C77" s="277">
        <f>'Sources and Uses Budget'!$C76</f>
        <v>0</v>
      </c>
      <c r="D77" s="281">
        <f t="shared" si="0"/>
        <v>0</v>
      </c>
      <c r="E77" s="279"/>
      <c r="F77" s="278"/>
      <c r="G77" s="375"/>
    </row>
    <row r="78" spans="1:7" s="372" customFormat="1" ht="13">
      <c r="A78" s="282" t="s">
        <v>616</v>
      </c>
      <c r="B78" s="281">
        <f>SUM(B73:B77)</f>
        <v>1037805</v>
      </c>
      <c r="C78" s="281">
        <f>SUM(C73:C77)</f>
        <v>1037805</v>
      </c>
      <c r="D78" s="281">
        <f t="shared" ref="D78:D106" si="1">C78-B78</f>
        <v>0</v>
      </c>
      <c r="E78" s="279"/>
      <c r="F78" s="278"/>
      <c r="G78" s="375"/>
    </row>
    <row r="79" spans="1:7" s="372" customFormat="1" ht="13">
      <c r="A79" s="275" t="s">
        <v>1353</v>
      </c>
      <c r="B79" s="275"/>
      <c r="C79" s="275"/>
      <c r="D79" s="275"/>
      <c r="E79" s="294"/>
      <c r="F79" s="275"/>
      <c r="G79" s="375"/>
    </row>
    <row r="80" spans="1:7" s="372" customFormat="1">
      <c r="A80" s="536" t="s">
        <v>1355</v>
      </c>
      <c r="B80" s="277">
        <f>'Sources and Uses Budget'!$C79</f>
        <v>4952600</v>
      </c>
      <c r="C80" s="277">
        <f>'Sources and Uses Budget'!$C79</f>
        <v>4952600</v>
      </c>
      <c r="D80" s="281">
        <f t="shared" si="1"/>
        <v>0</v>
      </c>
      <c r="E80" s="279"/>
      <c r="F80" s="278"/>
      <c r="G80" s="375"/>
    </row>
    <row r="81" spans="1:7" s="372" customFormat="1">
      <c r="A81" s="536" t="s">
        <v>58</v>
      </c>
      <c r="B81" s="277">
        <f>'Sources and Uses Budget'!$C80</f>
        <v>765000</v>
      </c>
      <c r="C81" s="277">
        <f>'Sources and Uses Budget'!$C80</f>
        <v>765000</v>
      </c>
      <c r="D81" s="281">
        <f>C81-B81</f>
        <v>0</v>
      </c>
      <c r="E81" s="279"/>
      <c r="F81" s="278"/>
      <c r="G81" s="375"/>
    </row>
    <row r="82" spans="1:7" s="372" customFormat="1" ht="13">
      <c r="A82" s="282" t="s">
        <v>1352</v>
      </c>
      <c r="B82" s="281">
        <f>SUM(B80:B81)</f>
        <v>5717600</v>
      </c>
      <c r="C82" s="281">
        <f>SUM(C80:C81)</f>
        <v>5717600</v>
      </c>
      <c r="D82" s="281">
        <f t="shared" si="1"/>
        <v>0</v>
      </c>
      <c r="E82" s="279"/>
      <c r="F82" s="278"/>
      <c r="G82" s="375"/>
    </row>
    <row r="83" spans="1:7" s="372" customFormat="1" ht="13">
      <c r="A83" s="275" t="s">
        <v>790</v>
      </c>
      <c r="B83" s="275"/>
      <c r="C83" s="275"/>
      <c r="D83" s="275"/>
      <c r="E83" s="294"/>
      <c r="F83" s="275"/>
      <c r="G83" s="375"/>
    </row>
    <row r="84" spans="1:7" s="372" customFormat="1" ht="14" customHeight="1">
      <c r="A84" s="280" t="s">
        <v>791</v>
      </c>
      <c r="B84" s="277">
        <f>'Sources and Uses Budget'!$C83</f>
        <v>123365</v>
      </c>
      <c r="C84" s="277">
        <f>'Sources and Uses Budget'!$C83</f>
        <v>123365</v>
      </c>
      <c r="D84" s="281">
        <f t="shared" si="1"/>
        <v>0</v>
      </c>
      <c r="E84" s="279"/>
      <c r="F84" s="278"/>
      <c r="G84" s="375"/>
    </row>
    <row r="85" spans="1:7" s="372" customFormat="1">
      <c r="A85" s="280" t="s">
        <v>792</v>
      </c>
      <c r="B85" s="277">
        <f>'Sources and Uses Budget'!$C84</f>
        <v>181565</v>
      </c>
      <c r="C85" s="277">
        <f>'Sources and Uses Budget'!$C84</f>
        <v>181565</v>
      </c>
      <c r="D85" s="281">
        <f t="shared" si="1"/>
        <v>0</v>
      </c>
      <c r="E85" s="279"/>
      <c r="F85" s="278"/>
      <c r="G85" s="375"/>
    </row>
    <row r="86" spans="1:7" s="372" customFormat="1">
      <c r="A86" s="280" t="s">
        <v>793</v>
      </c>
      <c r="B86" s="277">
        <f>'Sources and Uses Budget'!$C85</f>
        <v>5086799</v>
      </c>
      <c r="C86" s="277">
        <f>'Sources and Uses Budget'!$C85</f>
        <v>5086799</v>
      </c>
      <c r="D86" s="281">
        <f t="shared" si="1"/>
        <v>0</v>
      </c>
      <c r="E86" s="279"/>
      <c r="F86" s="278"/>
      <c r="G86" s="375"/>
    </row>
    <row r="87" spans="1:7" s="372" customFormat="1">
      <c r="A87" s="280" t="s">
        <v>794</v>
      </c>
      <c r="B87" s="277">
        <f>'Sources and Uses Budget'!$C86</f>
        <v>1015899</v>
      </c>
      <c r="C87" s="277">
        <f>'Sources and Uses Budget'!$C86</f>
        <v>1015899</v>
      </c>
      <c r="D87" s="281">
        <f t="shared" si="1"/>
        <v>0</v>
      </c>
      <c r="E87" s="279"/>
      <c r="F87" s="278"/>
      <c r="G87" s="375"/>
    </row>
    <row r="88" spans="1:7" s="372" customFormat="1">
      <c r="A88" s="280" t="s">
        <v>795</v>
      </c>
      <c r="B88" s="277">
        <f>'Sources and Uses Budget'!$C87</f>
        <v>0</v>
      </c>
      <c r="C88" s="277">
        <f>'Sources and Uses Budget'!$C87</f>
        <v>0</v>
      </c>
      <c r="D88" s="281">
        <f t="shared" si="1"/>
        <v>0</v>
      </c>
      <c r="E88" s="279"/>
      <c r="F88" s="278"/>
      <c r="G88" s="375"/>
    </row>
    <row r="89" spans="1:7" s="372" customFormat="1">
      <c r="A89" s="280" t="s">
        <v>796</v>
      </c>
      <c r="B89" s="277">
        <f>'Sources and Uses Budget'!$C88</f>
        <v>400000</v>
      </c>
      <c r="C89" s="277">
        <f>'Sources and Uses Budget'!$C88</f>
        <v>400000</v>
      </c>
      <c r="D89" s="281">
        <f t="shared" si="1"/>
        <v>0</v>
      </c>
      <c r="E89" s="279"/>
      <c r="F89" s="278"/>
      <c r="G89" s="375"/>
    </row>
    <row r="90" spans="1:7" s="372" customFormat="1">
      <c r="A90" s="280" t="s">
        <v>797</v>
      </c>
      <c r="B90" s="277">
        <f>'Sources and Uses Budget'!$C89</f>
        <v>272000</v>
      </c>
      <c r="C90" s="277">
        <f>'Sources and Uses Budget'!$C89</f>
        <v>272000</v>
      </c>
      <c r="D90" s="281">
        <f t="shared" si="1"/>
        <v>0</v>
      </c>
      <c r="E90" s="279"/>
      <c r="F90" s="278"/>
      <c r="G90" s="375"/>
    </row>
    <row r="91" spans="1:7" s="372" customFormat="1">
      <c r="A91" s="280" t="s">
        <v>798</v>
      </c>
      <c r="B91" s="277">
        <f>'Sources and Uses Budget'!$C90</f>
        <v>15000</v>
      </c>
      <c r="C91" s="277">
        <f>'Sources and Uses Budget'!$C90</f>
        <v>15000</v>
      </c>
      <c r="D91" s="281">
        <f t="shared" si="1"/>
        <v>0</v>
      </c>
      <c r="E91" s="279"/>
      <c r="F91" s="278"/>
      <c r="G91" s="375"/>
    </row>
    <row r="92" spans="1:7" s="372" customFormat="1">
      <c r="A92" s="280" t="s">
        <v>374</v>
      </c>
      <c r="B92" s="277">
        <f>'Sources and Uses Budget'!$C91</f>
        <v>0</v>
      </c>
      <c r="C92" s="277">
        <f>'Sources and Uses Budget'!$C91</f>
        <v>0</v>
      </c>
      <c r="D92" s="281">
        <f t="shared" si="1"/>
        <v>0</v>
      </c>
      <c r="E92" s="279"/>
      <c r="F92" s="278"/>
      <c r="G92" s="375"/>
    </row>
    <row r="93" spans="1:7" s="372" customFormat="1">
      <c r="A93" s="536" t="s">
        <v>1354</v>
      </c>
      <c r="B93" s="277">
        <f>'Sources and Uses Budget'!$C92</f>
        <v>15000</v>
      </c>
      <c r="C93" s="277">
        <f>'Sources and Uses Budget'!$C92</f>
        <v>15000</v>
      </c>
      <c r="D93" s="281">
        <f t="shared" si="1"/>
        <v>0</v>
      </c>
      <c r="E93" s="279"/>
      <c r="F93" s="278"/>
      <c r="G93" s="375"/>
    </row>
    <row r="94" spans="1:7" s="372" customFormat="1">
      <c r="A94" s="283" t="s">
        <v>34</v>
      </c>
      <c r="B94" s="277">
        <f>'Sources and Uses Budget'!$C93</f>
        <v>216675</v>
      </c>
      <c r="C94" s="277">
        <f>'Sources and Uses Budget'!$C93</f>
        <v>216675</v>
      </c>
      <c r="D94" s="281">
        <f t="shared" si="1"/>
        <v>0</v>
      </c>
      <c r="E94" s="279"/>
      <c r="F94" s="278"/>
      <c r="G94" s="375"/>
    </row>
    <row r="95" spans="1:7" s="372" customFormat="1">
      <c r="A95" s="283" t="s">
        <v>34</v>
      </c>
      <c r="B95" s="277">
        <f>'Sources and Uses Budget'!$C94</f>
        <v>50000</v>
      </c>
      <c r="C95" s="277">
        <f>'Sources and Uses Budget'!$C94</f>
        <v>50000</v>
      </c>
      <c r="D95" s="281">
        <f t="shared" si="1"/>
        <v>0</v>
      </c>
      <c r="E95" s="279"/>
      <c r="F95" s="278"/>
      <c r="G95" s="375"/>
    </row>
    <row r="96" spans="1:7" s="372" customFormat="1">
      <c r="A96" s="283" t="s">
        <v>34</v>
      </c>
      <c r="B96" s="277">
        <f>'Sources and Uses Budget'!$C95</f>
        <v>3330452</v>
      </c>
      <c r="C96" s="277">
        <f>'Sources and Uses Budget'!$C95</f>
        <v>3330452</v>
      </c>
      <c r="D96" s="281">
        <f t="shared" si="1"/>
        <v>0</v>
      </c>
      <c r="E96" s="279"/>
      <c r="F96" s="278"/>
      <c r="G96" s="375"/>
    </row>
    <row r="97" spans="1:7" s="372" customFormat="1" ht="13">
      <c r="A97" s="282" t="s">
        <v>799</v>
      </c>
      <c r="B97" s="281">
        <f>SUM(B84:B96)</f>
        <v>10706755</v>
      </c>
      <c r="C97" s="281">
        <f>SUM(C84:C96)</f>
        <v>10706755</v>
      </c>
      <c r="D97" s="281">
        <f t="shared" si="1"/>
        <v>0</v>
      </c>
      <c r="E97" s="279"/>
      <c r="F97" s="278"/>
      <c r="G97" s="375"/>
    </row>
    <row r="98" spans="1:7" s="372" customFormat="1" ht="13">
      <c r="A98" s="282" t="s">
        <v>800</v>
      </c>
      <c r="B98" s="281">
        <f>SUM(B64+B71+B78+B82+B97)</f>
        <v>133598539</v>
      </c>
      <c r="C98" s="281">
        <f>SUM(C64+C71+C78+C82+C97)</f>
        <v>133598539</v>
      </c>
      <c r="D98" s="281">
        <f t="shared" si="1"/>
        <v>0</v>
      </c>
      <c r="E98" s="279"/>
      <c r="F98" s="278"/>
      <c r="G98" s="375"/>
    </row>
    <row r="99" spans="1:7" s="372" customFormat="1" ht="13">
      <c r="A99" s="275" t="s">
        <v>801</v>
      </c>
      <c r="B99" s="275"/>
      <c r="C99" s="275"/>
      <c r="D99" s="275"/>
      <c r="E99" s="294"/>
      <c r="F99" s="275"/>
      <c r="G99" s="375"/>
    </row>
    <row r="100" spans="1:7" s="372" customFormat="1">
      <c r="A100" s="145" t="s">
        <v>802</v>
      </c>
      <c r="B100" s="277">
        <f>'Sources and Uses Budget'!$C99</f>
        <v>6950527</v>
      </c>
      <c r="C100" s="277">
        <f>'Sources and Uses Budget'!$C99</f>
        <v>6950527</v>
      </c>
      <c r="D100" s="281">
        <f t="shared" si="1"/>
        <v>0</v>
      </c>
      <c r="E100" s="279"/>
      <c r="F100" s="278"/>
      <c r="G100" s="375"/>
    </row>
    <row r="101" spans="1:7" s="372" customFormat="1">
      <c r="A101" s="295" t="s">
        <v>1827</v>
      </c>
      <c r="B101" s="277">
        <f>'Sources and Uses Budget'!$C100</f>
        <v>0</v>
      </c>
      <c r="C101" s="277">
        <f>'Sources and Uses Budget'!$C100</f>
        <v>0</v>
      </c>
      <c r="D101" s="281">
        <f t="shared" si="1"/>
        <v>0</v>
      </c>
      <c r="E101" s="279"/>
      <c r="F101" s="278"/>
      <c r="G101" s="375"/>
    </row>
    <row r="102" spans="1:7" s="372" customFormat="1">
      <c r="A102" s="145" t="s">
        <v>803</v>
      </c>
      <c r="B102" s="277">
        <f>'Sources and Uses Budget'!$C101</f>
        <v>0</v>
      </c>
      <c r="C102" s="277">
        <f>'Sources and Uses Budget'!$C101</f>
        <v>0</v>
      </c>
      <c r="D102" s="281">
        <f t="shared" si="1"/>
        <v>0</v>
      </c>
      <c r="E102" s="279"/>
      <c r="F102" s="278"/>
      <c r="G102" s="375"/>
    </row>
    <row r="103" spans="1:7" s="372" customFormat="1" ht="12" customHeight="1">
      <c r="A103" s="295" t="s">
        <v>1828</v>
      </c>
      <c r="B103" s="277">
        <f>'Sources and Uses Budget'!$C102</f>
        <v>0</v>
      </c>
      <c r="C103" s="277">
        <f>'Sources and Uses Budget'!$C102</f>
        <v>0</v>
      </c>
      <c r="D103" s="281">
        <f t="shared" si="1"/>
        <v>0</v>
      </c>
      <c r="E103" s="279"/>
      <c r="F103" s="278"/>
      <c r="G103" s="375"/>
    </row>
    <row r="104" spans="1:7" s="372" customFormat="1">
      <c r="A104" s="1038" t="str">
        <f>'Sources and Uses Budget'!A103</f>
        <v>Other: (Specify)</v>
      </c>
      <c r="B104" s="277">
        <f>'Sources and Uses Budget'!$C103</f>
        <v>0</v>
      </c>
      <c r="C104" s="277">
        <f>'Sources and Uses Budget'!$C103</f>
        <v>0</v>
      </c>
      <c r="D104" s="281">
        <f t="shared" si="1"/>
        <v>0</v>
      </c>
      <c r="E104" s="279"/>
      <c r="F104" s="278"/>
      <c r="G104" s="375"/>
    </row>
    <row r="105" spans="1:7" s="372" customFormat="1" ht="13">
      <c r="A105" s="282" t="s">
        <v>804</v>
      </c>
      <c r="B105" s="281">
        <f>SUM(B100:B104)</f>
        <v>6950527</v>
      </c>
      <c r="C105" s="281">
        <f>SUM(C100:C104)</f>
        <v>6950527</v>
      </c>
      <c r="D105" s="281">
        <f t="shared" si="1"/>
        <v>0</v>
      </c>
      <c r="E105" s="279"/>
      <c r="F105" s="278"/>
      <c r="G105" s="375"/>
    </row>
    <row r="106" spans="1:7" s="372" customFormat="1" ht="13">
      <c r="A106" s="282" t="s">
        <v>805</v>
      </c>
      <c r="B106" s="284">
        <f>SUM(B98+B105)</f>
        <v>140549066</v>
      </c>
      <c r="C106" s="284">
        <f>SUM(C98+C105)</f>
        <v>140549066</v>
      </c>
      <c r="D106" s="281">
        <f t="shared" si="1"/>
        <v>0</v>
      </c>
      <c r="E106" s="279"/>
      <c r="F106" s="278"/>
      <c r="G106" s="375"/>
    </row>
    <row r="107" spans="1:7" s="372" customFormat="1" ht="13">
      <c r="A107" s="289" t="s">
        <v>806</v>
      </c>
      <c r="B107" s="290"/>
      <c r="C107" s="291"/>
      <c r="D107" s="293"/>
      <c r="E107" s="276"/>
      <c r="F107" s="288"/>
      <c r="G107" s="375"/>
    </row>
    <row r="108" spans="1:7" s="287" customFormat="1" ht="12" hidden="1" customHeight="1">
      <c r="A108" s="286"/>
    </row>
    <row r="109" spans="1:7" s="287" customFormat="1" ht="12" hidden="1" customHeight="1">
      <c r="A109" s="286"/>
    </row>
    <row r="110" spans="1:7" s="287" customFormat="1" ht="12" hidden="1" customHeight="1">
      <c r="A110" s="286"/>
    </row>
    <row r="111" spans="1:7" s="287" customFormat="1" ht="12" hidden="1" customHeight="1">
      <c r="A111" s="286"/>
    </row>
    <row r="112" spans="1:7" s="287" customFormat="1" ht="12" hidden="1" customHeight="1">
      <c r="A112" s="286"/>
    </row>
    <row r="113" spans="1:1" s="287" customFormat="1" ht="12" hidden="1" customHeight="1">
      <c r="A113" s="286"/>
    </row>
    <row r="114" spans="1:1" s="287" customFormat="1" ht="12" hidden="1" customHeight="1">
      <c r="A114" s="286"/>
    </row>
    <row r="115" spans="1:1" s="287" customFormat="1" ht="12" hidden="1" customHeight="1">
      <c r="A115" s="286"/>
    </row>
    <row r="116" spans="1:1" s="287" customFormat="1" ht="12" hidden="1" customHeight="1">
      <c r="A116" s="286"/>
    </row>
    <row r="117" spans="1:1" s="287" customFormat="1" ht="12" hidden="1" customHeight="1">
      <c r="A117" s="286"/>
    </row>
    <row r="118" spans="1:1" s="287" customFormat="1" ht="12" hidden="1" customHeight="1">
      <c r="A118" s="286"/>
    </row>
    <row r="119" spans="1:1" s="287" customFormat="1" ht="12" hidden="1" customHeight="1">
      <c r="A119" s="286"/>
    </row>
    <row r="120" spans="1:1" s="287" customFormat="1" ht="12" hidden="1" customHeight="1">
      <c r="A120" s="286"/>
    </row>
    <row r="121" spans="1:1" s="287" customFormat="1" ht="12" hidden="1" customHeight="1">
      <c r="A121" s="286"/>
    </row>
    <row r="122" spans="1:1" s="287" customFormat="1" ht="12" hidden="1" customHeight="1">
      <c r="A122" s="286"/>
    </row>
    <row r="123" spans="1:1" s="287" customFormat="1" ht="12" hidden="1" customHeight="1">
      <c r="A123" s="286"/>
    </row>
    <row r="124" spans="1:1" s="287" customFormat="1" ht="12" hidden="1" customHeight="1">
      <c r="A124" s="286"/>
    </row>
    <row r="125" spans="1:1" s="287" customFormat="1" ht="12" hidden="1" customHeight="1">
      <c r="A125" s="286"/>
    </row>
    <row r="126" spans="1:1" s="287" customFormat="1" ht="12" hidden="1" customHeight="1">
      <c r="A126" s="286"/>
    </row>
    <row r="127" spans="1:1" s="287" customFormat="1" ht="12" hidden="1" customHeight="1">
      <c r="A127" s="286"/>
    </row>
    <row r="128" spans="1:1" s="287" customFormat="1" ht="12" hidden="1" customHeight="1">
      <c r="A128" s="286"/>
    </row>
    <row r="129" spans="1:1" s="287" customFormat="1" ht="12" hidden="1" customHeight="1">
      <c r="A129" s="286"/>
    </row>
    <row r="130" spans="1:1" s="287" customFormat="1" ht="12" hidden="1" customHeight="1">
      <c r="A130" s="286"/>
    </row>
    <row r="131" spans="1:1" s="287" customFormat="1" ht="12" hidden="1" customHeight="1">
      <c r="A131" s="286"/>
    </row>
    <row r="132" spans="1:1" s="287" customFormat="1" ht="12" hidden="1" customHeight="1">
      <c r="A132" s="286"/>
    </row>
    <row r="133" spans="1:1" s="287" customFormat="1" ht="12" hidden="1" customHeight="1">
      <c r="A133" s="286"/>
    </row>
    <row r="134" spans="1:1" s="287" customFormat="1" ht="12" hidden="1" customHeight="1">
      <c r="A134" s="286"/>
    </row>
    <row r="135" spans="1:1" s="287" customFormat="1" ht="12" hidden="1" customHeight="1">
      <c r="A135" s="286"/>
    </row>
    <row r="136" spans="1:1" s="287" customFormat="1" ht="12" hidden="1" customHeight="1">
      <c r="A136" s="286"/>
    </row>
    <row r="137" spans="1:1" s="287" customFormat="1" ht="12" hidden="1" customHeight="1">
      <c r="A137" s="286"/>
    </row>
    <row r="138" spans="1:1" s="287" customFormat="1" ht="12" hidden="1" customHeight="1">
      <c r="A138" s="286"/>
    </row>
    <row r="139" spans="1:1" s="287" customFormat="1" ht="12" hidden="1" customHeight="1">
      <c r="A139" s="286"/>
    </row>
    <row r="140" spans="1:1" s="287" customFormat="1" ht="12" hidden="1" customHeight="1">
      <c r="A140" s="286"/>
    </row>
    <row r="141" spans="1:1" s="287" customFormat="1" ht="12" hidden="1" customHeight="1">
      <c r="A141" s="286"/>
    </row>
    <row r="142" spans="1:1" s="287" customFormat="1" ht="12" hidden="1" customHeight="1">
      <c r="A142" s="286"/>
    </row>
    <row r="143" spans="1:1" s="287" customFormat="1" ht="12" hidden="1" customHeight="1">
      <c r="A143" s="286"/>
    </row>
    <row r="144" spans="1:1" s="287" customFormat="1" ht="12" hidden="1" customHeight="1">
      <c r="A144" s="286"/>
    </row>
    <row r="145" spans="1:1" s="287" customFormat="1" ht="12" hidden="1" customHeight="1">
      <c r="A145" s="286"/>
    </row>
    <row r="146" spans="1:1" s="287" customFormat="1" ht="12" hidden="1" customHeight="1">
      <c r="A146" s="286"/>
    </row>
    <row r="147" spans="1:1" s="287" customFormat="1" ht="12" hidden="1" customHeight="1">
      <c r="A147" s="286"/>
    </row>
    <row r="148" spans="1:1" s="287" customFormat="1" ht="12" hidden="1" customHeight="1">
      <c r="A148" s="286"/>
    </row>
    <row r="149" spans="1:1" s="287" customFormat="1" ht="12" hidden="1" customHeight="1">
      <c r="A149" s="286"/>
    </row>
    <row r="150" spans="1:1" s="287" customFormat="1" ht="12" hidden="1" customHeight="1">
      <c r="A150" s="286"/>
    </row>
    <row r="151" spans="1:1" s="287" customFormat="1" ht="12" hidden="1" customHeight="1">
      <c r="A151" s="286"/>
    </row>
    <row r="152" spans="1:1" s="287" customFormat="1" ht="12" hidden="1" customHeight="1">
      <c r="A152" s="286"/>
    </row>
    <row r="153" spans="1:1" s="287" customFormat="1" ht="12" hidden="1" customHeight="1">
      <c r="A153" s="286"/>
    </row>
    <row r="154" spans="1:1" s="287" customFormat="1" ht="12" hidden="1" customHeight="1">
      <c r="A154" s="286"/>
    </row>
    <row r="155" spans="1:1" s="287" customFormat="1" ht="12" hidden="1" customHeight="1">
      <c r="A155" s="286"/>
    </row>
    <row r="156" spans="1:1" s="287" customFormat="1" ht="12" hidden="1" customHeight="1">
      <c r="A156" s="286"/>
    </row>
    <row r="157" spans="1:1" s="287" customFormat="1" ht="12" hidden="1" customHeight="1">
      <c r="A157" s="286"/>
    </row>
    <row r="158" spans="1:1" s="287" customFormat="1" ht="12" hidden="1" customHeight="1">
      <c r="A158" s="286"/>
    </row>
    <row r="159" spans="1:1" s="287" customFormat="1" ht="12" hidden="1" customHeight="1">
      <c r="A159" s="286"/>
    </row>
    <row r="160" spans="1:1" s="287" customFormat="1" ht="12" hidden="1" customHeight="1">
      <c r="A160" s="286"/>
    </row>
    <row r="161" spans="1:1" s="287" customFormat="1" ht="12" hidden="1" customHeight="1">
      <c r="A161" s="286"/>
    </row>
    <row r="162" spans="1:1" s="287" customFormat="1" ht="12" hidden="1" customHeight="1">
      <c r="A162" s="286"/>
    </row>
    <row r="163" spans="1:1" s="287" customFormat="1" ht="12" hidden="1" customHeight="1">
      <c r="A163" s="286"/>
    </row>
    <row r="164" spans="1:1" s="287" customFormat="1" ht="12" hidden="1" customHeight="1">
      <c r="A164" s="286"/>
    </row>
    <row r="165" spans="1:1" s="287" customFormat="1" ht="12" hidden="1" customHeight="1">
      <c r="A165" s="286"/>
    </row>
    <row r="166" spans="1:1" s="287" customFormat="1" ht="12" hidden="1" customHeight="1">
      <c r="A166" s="286"/>
    </row>
    <row r="167" spans="1:1" s="287" customFormat="1" ht="12" hidden="1" customHeight="1">
      <c r="A167" s="286"/>
    </row>
    <row r="168" spans="1:1" s="287" customFormat="1" ht="12" hidden="1" customHeight="1">
      <c r="A168" s="286"/>
    </row>
    <row r="169" spans="1:1" s="287" customFormat="1" ht="12" hidden="1" customHeight="1">
      <c r="A169" s="286"/>
    </row>
    <row r="170" spans="1:1" s="287" customFormat="1" ht="12" hidden="1" customHeight="1">
      <c r="A170" s="286"/>
    </row>
    <row r="171" spans="1:1" s="287" customFormat="1" ht="12" hidden="1" customHeight="1">
      <c r="A171" s="286"/>
    </row>
    <row r="172" spans="1:1" s="287" customFormat="1" ht="12" hidden="1" customHeight="1">
      <c r="A172" s="286"/>
    </row>
    <row r="173" spans="1:1" s="287" customFormat="1" ht="12" hidden="1" customHeight="1">
      <c r="A173" s="286"/>
    </row>
    <row r="174" spans="1:1" s="287" customFormat="1" ht="12" hidden="1" customHeight="1">
      <c r="A174" s="286"/>
    </row>
    <row r="175" spans="1:1" s="287" customFormat="1" ht="12" hidden="1" customHeight="1">
      <c r="A175" s="286"/>
    </row>
    <row r="176" spans="1:1" s="287" customFormat="1" ht="12" hidden="1" customHeight="1">
      <c r="A176" s="286"/>
    </row>
    <row r="177" spans="1:1" s="287" customFormat="1" ht="12" hidden="1" customHeight="1">
      <c r="A177" s="286"/>
    </row>
    <row r="178" spans="1:1" s="287" customFormat="1" ht="12" hidden="1" customHeight="1">
      <c r="A178" s="286"/>
    </row>
    <row r="179" spans="1:1" s="287" customFormat="1" ht="12" hidden="1" customHeight="1">
      <c r="A179" s="286"/>
    </row>
    <row r="180" spans="1:1" s="287" customFormat="1" ht="12" hidden="1" customHeight="1">
      <c r="A180" s="286"/>
    </row>
    <row r="181" spans="1:1" s="287" customFormat="1" ht="12" hidden="1" customHeight="1">
      <c r="A181" s="286"/>
    </row>
    <row r="182" spans="1:1" s="287" customFormat="1" ht="12" hidden="1" customHeight="1">
      <c r="A182" s="286"/>
    </row>
    <row r="183" spans="1:1" s="287" customFormat="1" ht="12" hidden="1" customHeight="1">
      <c r="A183" s="286"/>
    </row>
    <row r="184" spans="1:1" s="287" customFormat="1" ht="12" hidden="1" customHeight="1">
      <c r="A184" s="286"/>
    </row>
    <row r="185" spans="1:1" s="287" customFormat="1" ht="12" hidden="1" customHeight="1">
      <c r="A185" s="286"/>
    </row>
    <row r="186" spans="1:1" s="287" customFormat="1" ht="12" hidden="1" customHeight="1">
      <c r="A186" s="286"/>
    </row>
    <row r="187" spans="1:1" s="287" customFormat="1" ht="12" hidden="1" customHeight="1">
      <c r="A187" s="286"/>
    </row>
    <row r="188" spans="1:1" s="287" customFormat="1" ht="12" hidden="1" customHeight="1">
      <c r="A188" s="286"/>
    </row>
    <row r="189" spans="1:1" s="287" customFormat="1" ht="12" hidden="1" customHeight="1">
      <c r="A189" s="286"/>
    </row>
    <row r="190" spans="1:1" s="287" customFormat="1" ht="12" hidden="1" customHeight="1">
      <c r="A190" s="286"/>
    </row>
    <row r="191" spans="1:1" s="287" customFormat="1" ht="12" hidden="1" customHeight="1">
      <c r="A191" s="286"/>
    </row>
    <row r="192" spans="1:1" s="287" customFormat="1" ht="12" hidden="1" customHeight="1">
      <c r="A192" s="286"/>
    </row>
    <row r="193" spans="1:1" s="287" customFormat="1" ht="12" hidden="1" customHeight="1">
      <c r="A193" s="286"/>
    </row>
    <row r="194" spans="1:1" s="287" customFormat="1" ht="12" hidden="1" customHeight="1">
      <c r="A194" s="286"/>
    </row>
    <row r="195" spans="1:1" s="287" customFormat="1" ht="12" hidden="1" customHeight="1">
      <c r="A195" s="286"/>
    </row>
    <row r="196" spans="1:1" s="287" customFormat="1" ht="12" hidden="1" customHeight="1">
      <c r="A196" s="286"/>
    </row>
    <row r="197" spans="1:1" s="287" customFormat="1" ht="12" hidden="1" customHeight="1">
      <c r="A197" s="286"/>
    </row>
    <row r="198" spans="1:1" s="287" customFormat="1" ht="12" hidden="1" customHeight="1">
      <c r="A198" s="286"/>
    </row>
    <row r="199" spans="1:1" s="287" customFormat="1" ht="12" hidden="1" customHeight="1">
      <c r="A199" s="286"/>
    </row>
    <row r="200" spans="1:1" s="287" customFormat="1" ht="12" hidden="1" customHeight="1">
      <c r="A200" s="286"/>
    </row>
    <row r="201" spans="1:1" s="287" customFormat="1" ht="12" hidden="1" customHeight="1">
      <c r="A201" s="286"/>
    </row>
    <row r="202" spans="1:1" s="287" customFormat="1" ht="12" hidden="1" customHeight="1">
      <c r="A202" s="286"/>
    </row>
    <row r="203" spans="1:1" s="287" customFormat="1" ht="12" hidden="1" customHeight="1">
      <c r="A203" s="286"/>
    </row>
    <row r="204" spans="1:1" s="287" customFormat="1" ht="12" hidden="1" customHeight="1">
      <c r="A204" s="286"/>
    </row>
    <row r="205" spans="1:1" s="287" customFormat="1" ht="12" hidden="1" customHeight="1">
      <c r="A205" s="286"/>
    </row>
    <row r="206" spans="1:1" s="287" customFormat="1" ht="12" hidden="1" customHeight="1">
      <c r="A206" s="286"/>
    </row>
    <row r="207" spans="1:1" s="287" customFormat="1" ht="12" hidden="1" customHeight="1">
      <c r="A207" s="286"/>
    </row>
    <row r="208" spans="1:1" s="287" customFormat="1" ht="12" hidden="1" customHeight="1">
      <c r="A208" s="286"/>
    </row>
    <row r="209" spans="1:1" s="287" customFormat="1" ht="12" hidden="1" customHeight="1">
      <c r="A209" s="286"/>
    </row>
    <row r="210" spans="1:1" s="287" customFormat="1" ht="12" hidden="1" customHeight="1">
      <c r="A210" s="286"/>
    </row>
    <row r="211" spans="1:1" s="287" customFormat="1" ht="12" hidden="1" customHeight="1">
      <c r="A211" s="286"/>
    </row>
    <row r="212" spans="1:1" s="287" customFormat="1" ht="12" hidden="1" customHeight="1">
      <c r="A212" s="286"/>
    </row>
    <row r="213" spans="1:1" s="287" customFormat="1" ht="12" hidden="1" customHeight="1">
      <c r="A213" s="286"/>
    </row>
    <row r="214" spans="1:1" s="287" customFormat="1" ht="12" hidden="1" customHeight="1">
      <c r="A214" s="286"/>
    </row>
    <row r="215" spans="1:1" s="287" customFormat="1" ht="12" hidden="1" customHeight="1">
      <c r="A215" s="286"/>
    </row>
    <row r="216" spans="1:1" s="287" customFormat="1" ht="12" hidden="1" customHeight="1">
      <c r="A216" s="286"/>
    </row>
    <row r="217" spans="1:1" s="287" customFormat="1" ht="12" hidden="1" customHeight="1">
      <c r="A217" s="286"/>
    </row>
    <row r="218" spans="1:1" s="287" customFormat="1" ht="12" hidden="1" customHeight="1">
      <c r="A218" s="286"/>
    </row>
    <row r="219" spans="1:1" s="287" customFormat="1" ht="12" hidden="1" customHeight="1">
      <c r="A219" s="286"/>
    </row>
    <row r="220" spans="1:1" s="287" customFormat="1" ht="12" hidden="1" customHeight="1">
      <c r="A220" s="286"/>
    </row>
    <row r="221" spans="1:1" s="287" customFormat="1" ht="12" hidden="1" customHeight="1">
      <c r="A221" s="286"/>
    </row>
    <row r="222" spans="1:1" s="287" customFormat="1" ht="12" hidden="1" customHeight="1">
      <c r="A222" s="286"/>
    </row>
    <row r="223" spans="1:1" s="287" customFormat="1" ht="12" hidden="1" customHeight="1">
      <c r="A223" s="286"/>
    </row>
    <row r="224" spans="1:1" s="287" customFormat="1" ht="12" hidden="1" customHeight="1">
      <c r="A224" s="286"/>
    </row>
    <row r="225" spans="1:1" s="287" customFormat="1" ht="12" hidden="1" customHeight="1">
      <c r="A225" s="286"/>
    </row>
    <row r="226" spans="1:1" s="287" customFormat="1" ht="12" hidden="1" customHeight="1">
      <c r="A226" s="286"/>
    </row>
    <row r="227" spans="1:1" s="287" customFormat="1" ht="12" hidden="1" customHeight="1">
      <c r="A227" s="286"/>
    </row>
    <row r="228" spans="1:1" s="287" customFormat="1" ht="12" hidden="1" customHeight="1">
      <c r="A228" s="286"/>
    </row>
    <row r="229" spans="1:1" s="287" customFormat="1" ht="12" hidden="1" customHeight="1">
      <c r="A229" s="286"/>
    </row>
    <row r="230" spans="1:1" s="287" customFormat="1" ht="12" hidden="1" customHeight="1">
      <c r="A230" s="286"/>
    </row>
    <row r="231" spans="1:1" s="287" customFormat="1" ht="12" hidden="1" customHeight="1">
      <c r="A231" s="286"/>
    </row>
    <row r="232" spans="1:1" s="287" customFormat="1" ht="12" hidden="1" customHeight="1">
      <c r="A232" s="286"/>
    </row>
    <row r="233" spans="1:1" s="287" customFormat="1" ht="12" hidden="1" customHeight="1">
      <c r="A233" s="286"/>
    </row>
    <row r="234" spans="1:1" s="287" customFormat="1" ht="12" hidden="1" customHeight="1">
      <c r="A234" s="286"/>
    </row>
    <row r="235" spans="1:1" s="287" customFormat="1" ht="12" hidden="1" customHeight="1">
      <c r="A235" s="286"/>
    </row>
    <row r="236" spans="1:1" s="287" customFormat="1" ht="12" hidden="1" customHeight="1">
      <c r="A236" s="286"/>
    </row>
    <row r="237" spans="1:1" s="287" customFormat="1" ht="12" hidden="1" customHeight="1">
      <c r="A237" s="286"/>
    </row>
    <row r="238" spans="1:1" s="287" customFormat="1" ht="12" hidden="1" customHeight="1">
      <c r="A238" s="286"/>
    </row>
    <row r="239" spans="1:1" s="287" customFormat="1" ht="12" hidden="1" customHeight="1">
      <c r="A239" s="286"/>
    </row>
    <row r="240" spans="1:1" s="287" customFormat="1" ht="12" hidden="1" customHeight="1">
      <c r="A240" s="286"/>
    </row>
    <row r="241" spans="1:1" s="287" customFormat="1" ht="12" hidden="1" customHeight="1">
      <c r="A241" s="286"/>
    </row>
    <row r="242" spans="1:1" s="287" customFormat="1" ht="12" hidden="1" customHeight="1">
      <c r="A242" s="286"/>
    </row>
    <row r="243" spans="1:1" s="287" customFormat="1" ht="12" hidden="1" customHeight="1">
      <c r="A243" s="286"/>
    </row>
    <row r="244" spans="1:1" s="287" customFormat="1" ht="12" hidden="1" customHeight="1">
      <c r="A244" s="286"/>
    </row>
    <row r="245" spans="1:1" s="287" customFormat="1" ht="12" hidden="1" customHeight="1">
      <c r="A245" s="286"/>
    </row>
    <row r="246" spans="1:1" s="287" customFormat="1" ht="12" hidden="1" customHeight="1">
      <c r="A246" s="286"/>
    </row>
    <row r="247" spans="1:1" s="287" customFormat="1" ht="12" hidden="1" customHeight="1">
      <c r="A247" s="286"/>
    </row>
    <row r="248" spans="1:1" s="287" customFormat="1" ht="12" hidden="1" customHeight="1">
      <c r="A248" s="286"/>
    </row>
    <row r="249" spans="1:1" s="287" customFormat="1" ht="12" hidden="1" customHeight="1">
      <c r="A249" s="286"/>
    </row>
    <row r="250" spans="1:1" s="287" customFormat="1" ht="12" hidden="1" customHeight="1">
      <c r="A250" s="286"/>
    </row>
    <row r="251" spans="1:1" s="287" customFormat="1" ht="12" hidden="1" customHeight="1">
      <c r="A251" s="286"/>
    </row>
    <row r="252" spans="1:1" s="287" customFormat="1" ht="12" hidden="1" customHeight="1">
      <c r="A252" s="286"/>
    </row>
    <row r="253" spans="1:1" s="287" customFormat="1" ht="12" hidden="1" customHeight="1">
      <c r="A253" s="286"/>
    </row>
    <row r="254" spans="1:1" s="287" customFormat="1" ht="12" hidden="1" customHeight="1">
      <c r="A254" s="286"/>
    </row>
    <row r="255" spans="1:1" s="287" customFormat="1" ht="12" hidden="1" customHeight="1">
      <c r="A255" s="286"/>
    </row>
    <row r="256" spans="1:1" s="287" customFormat="1" ht="12" hidden="1" customHeight="1">
      <c r="A256" s="286"/>
    </row>
    <row r="257" spans="1:1" s="287" customFormat="1" ht="12" hidden="1" customHeight="1">
      <c r="A257" s="286"/>
    </row>
    <row r="258" spans="1:1" s="287" customFormat="1" ht="12" hidden="1" customHeight="1">
      <c r="A258" s="286"/>
    </row>
    <row r="259" spans="1:1" s="287" customFormat="1" ht="12" hidden="1" customHeight="1">
      <c r="A259" s="286"/>
    </row>
    <row r="260" spans="1:1" s="287" customFormat="1" ht="12" hidden="1" customHeight="1">
      <c r="A260" s="286"/>
    </row>
    <row r="261" spans="1:1" s="287" customFormat="1" ht="12" hidden="1" customHeight="1">
      <c r="A261" s="286"/>
    </row>
    <row r="262" spans="1:1" s="287" customFormat="1" ht="12" hidden="1" customHeight="1">
      <c r="A262" s="286"/>
    </row>
    <row r="263" spans="1:1" s="287" customFormat="1" ht="12" hidden="1" customHeight="1">
      <c r="A263" s="286"/>
    </row>
    <row r="264" spans="1:1" s="287" customFormat="1" ht="12" hidden="1" customHeight="1">
      <c r="A264" s="286"/>
    </row>
    <row r="265" spans="1:1" s="287" customFormat="1" ht="12" hidden="1" customHeight="1">
      <c r="A265" s="286"/>
    </row>
    <row r="266" spans="1:1" s="287" customFormat="1" ht="12" hidden="1" customHeight="1">
      <c r="A266" s="286"/>
    </row>
    <row r="267" spans="1:1" s="287" customFormat="1" ht="12" hidden="1" customHeight="1">
      <c r="A267" s="286"/>
    </row>
    <row r="268" spans="1:1" s="287" customFormat="1" ht="12" hidden="1" customHeight="1">
      <c r="A268" s="286"/>
    </row>
    <row r="269" spans="1:1" s="287" customFormat="1" ht="12" hidden="1" customHeight="1">
      <c r="A269" s="286"/>
    </row>
    <row r="270" spans="1:1" s="287" customFormat="1" ht="12" hidden="1" customHeight="1">
      <c r="A270" s="286"/>
    </row>
    <row r="271" spans="1:1" s="287" customFormat="1" ht="12" hidden="1" customHeight="1">
      <c r="A271" s="286"/>
    </row>
    <row r="272" spans="1:1" s="287" customFormat="1" ht="12" hidden="1" customHeight="1">
      <c r="A272" s="286"/>
    </row>
    <row r="273" spans="1:1" s="287" customFormat="1" ht="12" hidden="1" customHeight="1">
      <c r="A273" s="286"/>
    </row>
    <row r="274" spans="1:1" s="287" customFormat="1" ht="12" hidden="1" customHeight="1">
      <c r="A274" s="286"/>
    </row>
    <row r="275" spans="1:1" s="287" customFormat="1" ht="12" hidden="1" customHeight="1">
      <c r="A275" s="286"/>
    </row>
    <row r="276" spans="1:1" s="287" customFormat="1" ht="12" hidden="1" customHeight="1">
      <c r="A276" s="286"/>
    </row>
    <row r="277" spans="1:1" s="287" customFormat="1" ht="12" hidden="1" customHeight="1">
      <c r="A277" s="286"/>
    </row>
    <row r="278" spans="1:1" s="287" customFormat="1" ht="12" hidden="1" customHeight="1">
      <c r="A278" s="286"/>
    </row>
    <row r="279" spans="1:1" s="287" customFormat="1" ht="12" hidden="1" customHeight="1">
      <c r="A279" s="286"/>
    </row>
    <row r="280" spans="1:1" s="287" customFormat="1" ht="12" hidden="1" customHeight="1">
      <c r="A280" s="286"/>
    </row>
    <row r="281" spans="1:1" s="287" customFormat="1" ht="12" hidden="1" customHeight="1">
      <c r="A281" s="286"/>
    </row>
    <row r="282" spans="1:1" s="287" customFormat="1" ht="12" hidden="1" customHeight="1">
      <c r="A282" s="286"/>
    </row>
    <row r="283" spans="1:1" s="287" customFormat="1" ht="12" hidden="1" customHeight="1">
      <c r="A283" s="286"/>
    </row>
    <row r="284" spans="1:1" s="287" customFormat="1" ht="12" hidden="1" customHeight="1">
      <c r="A284" s="286"/>
    </row>
    <row r="285" spans="1:1" s="287" customFormat="1" ht="12" hidden="1" customHeight="1">
      <c r="A285" s="286"/>
    </row>
    <row r="286" spans="1:1" s="287" customFormat="1" ht="12" hidden="1" customHeight="1">
      <c r="A286" s="286"/>
    </row>
    <row r="287" spans="1:1" s="287" customFormat="1" ht="12" hidden="1" customHeight="1">
      <c r="A287" s="286"/>
    </row>
    <row r="288" spans="1:1" s="287" customFormat="1" ht="12" hidden="1" customHeight="1">
      <c r="A288" s="286"/>
    </row>
    <row r="289" spans="1:1" s="287" customFormat="1" ht="12" hidden="1" customHeight="1">
      <c r="A289" s="286"/>
    </row>
    <row r="290" spans="1:1" s="287" customFormat="1" ht="12" hidden="1" customHeight="1">
      <c r="A290" s="286"/>
    </row>
    <row r="291" spans="1:1" s="287" customFormat="1" ht="12" hidden="1" customHeight="1">
      <c r="A291" s="286"/>
    </row>
    <row r="292" spans="1:1" s="287" customFormat="1" ht="12" hidden="1" customHeight="1">
      <c r="A292" s="286"/>
    </row>
    <row r="293" spans="1:1" s="287" customFormat="1" ht="12" hidden="1" customHeight="1">
      <c r="A293" s="286"/>
    </row>
    <row r="294" spans="1:1" s="287" customFormat="1" ht="12" hidden="1" customHeight="1">
      <c r="A294" s="286"/>
    </row>
    <row r="295" spans="1:1" s="287" customFormat="1" ht="12" hidden="1" customHeight="1">
      <c r="A295" s="286"/>
    </row>
    <row r="296" spans="1:1" s="287" customFormat="1" ht="12" hidden="1" customHeight="1">
      <c r="A296" s="286"/>
    </row>
    <row r="297" spans="1:1" s="287" customFormat="1" ht="12" hidden="1" customHeight="1">
      <c r="A297" s="286"/>
    </row>
    <row r="298" spans="1:1" s="287" customFormat="1" ht="12" hidden="1" customHeight="1">
      <c r="A298" s="286"/>
    </row>
    <row r="299" spans="1:1" s="287" customFormat="1" ht="12" hidden="1" customHeight="1">
      <c r="A299" s="286"/>
    </row>
    <row r="300" spans="1:1" s="287" customFormat="1" ht="12" hidden="1" customHeight="1">
      <c r="A300" s="286"/>
    </row>
    <row r="301" spans="1:1" s="287" customFormat="1" ht="12" hidden="1" customHeight="1">
      <c r="A301" s="286"/>
    </row>
    <row r="302" spans="1:1" s="287" customFormat="1" ht="12" hidden="1" customHeight="1">
      <c r="A302" s="286"/>
    </row>
    <row r="303" spans="1:1" s="287" customFormat="1" ht="12" hidden="1" customHeight="1">
      <c r="A303" s="286"/>
    </row>
    <row r="304" spans="1:1" s="287" customFormat="1" ht="12" hidden="1" customHeight="1">
      <c r="A304" s="286"/>
    </row>
    <row r="305" spans="1:1" s="287" customFormat="1" ht="12" hidden="1" customHeight="1">
      <c r="A305" s="286"/>
    </row>
    <row r="306" spans="1:1" s="287" customFormat="1" ht="12" hidden="1" customHeight="1">
      <c r="A306" s="286"/>
    </row>
    <row r="307" spans="1:1" s="287" customFormat="1" ht="12" hidden="1" customHeight="1">
      <c r="A307" s="286"/>
    </row>
    <row r="308" spans="1:1" s="287" customFormat="1" ht="12" hidden="1" customHeight="1">
      <c r="A308" s="286"/>
    </row>
    <row r="309" spans="1:1" s="287" customFormat="1" ht="12" hidden="1" customHeight="1">
      <c r="A309" s="286"/>
    </row>
    <row r="310" spans="1:1" s="287" customFormat="1" ht="12" hidden="1" customHeight="1">
      <c r="A310" s="286"/>
    </row>
    <row r="311" spans="1:1" s="287" customFormat="1" ht="12" hidden="1" customHeight="1">
      <c r="A311" s="286"/>
    </row>
    <row r="312" spans="1:1" s="287" customFormat="1" ht="12" hidden="1" customHeight="1">
      <c r="A312" s="286"/>
    </row>
    <row r="313" spans="1:1" s="287" customFormat="1" ht="12" hidden="1" customHeight="1">
      <c r="A313" s="286"/>
    </row>
    <row r="314" spans="1:1" s="287" customFormat="1" ht="12" hidden="1" customHeight="1">
      <c r="A314" s="286"/>
    </row>
    <row r="315" spans="1:1" s="287" customFormat="1" ht="12" hidden="1" customHeight="1">
      <c r="A315" s="286"/>
    </row>
    <row r="316" spans="1:1" s="287" customFormat="1" ht="12" hidden="1" customHeight="1">
      <c r="A316" s="286"/>
    </row>
    <row r="317" spans="1:1" s="287" customFormat="1" ht="12" hidden="1" customHeight="1">
      <c r="A317" s="286"/>
    </row>
    <row r="318" spans="1:1" s="287" customFormat="1" ht="12" hidden="1" customHeight="1">
      <c r="A318" s="286"/>
    </row>
    <row r="319" spans="1:1" s="287" customFormat="1" ht="12" hidden="1" customHeight="1">
      <c r="A319" s="286"/>
    </row>
    <row r="320" spans="1:1" s="287" customFormat="1" ht="12" hidden="1" customHeight="1">
      <c r="A320" s="286"/>
    </row>
    <row r="321" spans="1:1" s="287" customFormat="1" ht="12" hidden="1" customHeight="1">
      <c r="A321" s="286"/>
    </row>
    <row r="322" spans="1:1" s="287" customFormat="1" ht="12" hidden="1" customHeight="1">
      <c r="A322" s="286"/>
    </row>
    <row r="323" spans="1:1" s="287" customFormat="1" ht="12" hidden="1" customHeight="1">
      <c r="A323" s="286"/>
    </row>
    <row r="324" spans="1:1" s="287" customFormat="1" ht="12" hidden="1" customHeight="1">
      <c r="A324" s="286"/>
    </row>
    <row r="325" spans="1:1" s="287" customFormat="1" ht="12" hidden="1" customHeight="1">
      <c r="A325" s="286"/>
    </row>
    <row r="326" spans="1:1" s="287" customFormat="1" ht="12" hidden="1" customHeight="1">
      <c r="A326" s="286"/>
    </row>
    <row r="327" spans="1:1" s="287" customFormat="1" ht="12" hidden="1" customHeight="1">
      <c r="A327" s="286"/>
    </row>
    <row r="328" spans="1:1" s="287" customFormat="1" ht="12" hidden="1" customHeight="1">
      <c r="A328" s="286"/>
    </row>
    <row r="329" spans="1:1" s="287" customFormat="1" ht="12" hidden="1" customHeight="1">
      <c r="A329" s="286"/>
    </row>
    <row r="330" spans="1:1" s="287" customFormat="1" ht="12" hidden="1" customHeight="1">
      <c r="A330" s="286"/>
    </row>
    <row r="331" spans="1:1" s="287" customFormat="1" ht="12" hidden="1" customHeight="1">
      <c r="A331" s="286"/>
    </row>
    <row r="332" spans="1:1" s="287" customFormat="1" ht="12" hidden="1" customHeight="1">
      <c r="A332" s="286"/>
    </row>
    <row r="333" spans="1:1" s="287" customFormat="1" ht="12" hidden="1" customHeight="1">
      <c r="A333" s="286"/>
    </row>
    <row r="334" spans="1:1" s="287" customFormat="1" ht="12" hidden="1" customHeight="1">
      <c r="A334" s="286"/>
    </row>
    <row r="335" spans="1:1" s="287" customFormat="1" ht="12" hidden="1" customHeight="1">
      <c r="A335" s="286"/>
    </row>
    <row r="336" spans="1:1" s="287" customFormat="1" ht="12" hidden="1" customHeight="1">
      <c r="A336" s="286"/>
    </row>
    <row r="337" spans="1:1" s="287" customFormat="1" ht="12" hidden="1" customHeight="1">
      <c r="A337" s="286"/>
    </row>
    <row r="338" spans="1:1" s="287" customFormat="1" ht="12" hidden="1" customHeight="1">
      <c r="A338" s="286"/>
    </row>
    <row r="339" spans="1:1" s="287" customFormat="1" ht="12" hidden="1" customHeight="1">
      <c r="A339" s="286"/>
    </row>
    <row r="340" spans="1:1" s="287" customFormat="1" ht="12" hidden="1" customHeight="1">
      <c r="A340" s="286"/>
    </row>
    <row r="341" spans="1:1" s="287" customFormat="1" ht="12" hidden="1" customHeight="1">
      <c r="A341" s="286"/>
    </row>
    <row r="342" spans="1:1" s="287" customFormat="1" ht="12" hidden="1" customHeight="1">
      <c r="A342" s="286"/>
    </row>
    <row r="343" spans="1:1" s="287" customFormat="1" ht="12" hidden="1" customHeight="1">
      <c r="A343" s="286"/>
    </row>
    <row r="344" spans="1:1" s="287" customFormat="1" ht="12" hidden="1" customHeight="1">
      <c r="A344" s="286"/>
    </row>
    <row r="345" spans="1:1" s="287" customFormat="1" ht="12" hidden="1" customHeight="1">
      <c r="A345" s="286"/>
    </row>
    <row r="346" spans="1:1" s="287" customFormat="1" ht="12" hidden="1" customHeight="1">
      <c r="A346" s="286"/>
    </row>
    <row r="347" spans="1:1" s="287" customFormat="1" ht="12" hidden="1" customHeight="1">
      <c r="A347" s="286"/>
    </row>
    <row r="348" spans="1:1" s="287" customFormat="1" ht="12" hidden="1" customHeight="1">
      <c r="A348" s="286"/>
    </row>
    <row r="349" spans="1:1" s="287" customFormat="1" ht="12" hidden="1" customHeight="1">
      <c r="A349" s="286"/>
    </row>
    <row r="350" spans="1:1" s="287" customFormat="1" ht="12" hidden="1" customHeight="1">
      <c r="A350" s="286"/>
    </row>
    <row r="351" spans="1:1" s="287" customFormat="1" ht="12" hidden="1" customHeight="1">
      <c r="A351" s="286"/>
    </row>
    <row r="352" spans="1:1" s="287" customFormat="1" ht="12" hidden="1" customHeight="1">
      <c r="A352" s="286"/>
    </row>
    <row r="353" spans="1:1" s="287" customFormat="1" ht="12" hidden="1" customHeight="1">
      <c r="A353" s="286"/>
    </row>
    <row r="354" spans="1:1" s="287" customFormat="1" ht="12" hidden="1" customHeight="1">
      <c r="A354" s="286"/>
    </row>
    <row r="355" spans="1:1" s="287" customFormat="1" ht="12" hidden="1" customHeight="1">
      <c r="A355" s="286"/>
    </row>
    <row r="356" spans="1:1" s="287" customFormat="1" ht="12" hidden="1" customHeight="1">
      <c r="A356" s="286"/>
    </row>
    <row r="357" spans="1:1" s="287" customFormat="1" ht="12" hidden="1" customHeight="1">
      <c r="A357" s="286"/>
    </row>
    <row r="358" spans="1:1" s="287" customFormat="1" ht="12" hidden="1" customHeight="1">
      <c r="A358" s="286"/>
    </row>
    <row r="359" spans="1:1" s="287" customFormat="1" ht="12" hidden="1" customHeight="1">
      <c r="A359" s="286"/>
    </row>
    <row r="360" spans="1:1" s="287" customFormat="1" ht="12" hidden="1" customHeight="1">
      <c r="A360" s="286"/>
    </row>
    <row r="361" spans="1:1" s="287" customFormat="1" ht="12" hidden="1" customHeight="1">
      <c r="A361" s="286"/>
    </row>
    <row r="362" spans="1:1" s="287" customFormat="1" ht="12" hidden="1" customHeight="1">
      <c r="A362" s="286"/>
    </row>
    <row r="363" spans="1:1" s="287" customFormat="1" ht="12" hidden="1" customHeight="1">
      <c r="A363" s="286"/>
    </row>
    <row r="364" spans="1:1" s="287" customFormat="1" ht="12" hidden="1" customHeight="1">
      <c r="A364" s="286"/>
    </row>
    <row r="365" spans="1:1" s="287" customFormat="1" ht="12" hidden="1" customHeight="1">
      <c r="A365" s="286"/>
    </row>
    <row r="366" spans="1:1" s="287" customFormat="1" ht="12" hidden="1" customHeight="1">
      <c r="A366" s="286"/>
    </row>
    <row r="367" spans="1:1" s="287" customFormat="1" ht="12" hidden="1" customHeight="1">
      <c r="A367" s="286"/>
    </row>
    <row r="368" spans="1:1" s="287" customFormat="1" ht="12" hidden="1" customHeight="1">
      <c r="A368" s="286"/>
    </row>
    <row r="369" spans="1:1" s="287" customFormat="1" ht="12" hidden="1" customHeight="1">
      <c r="A369" s="286"/>
    </row>
    <row r="370" spans="1:1" s="287" customFormat="1" ht="12" hidden="1" customHeight="1">
      <c r="A370" s="286"/>
    </row>
    <row r="371" spans="1:1" s="287" customFormat="1" ht="12" hidden="1" customHeight="1">
      <c r="A371" s="286"/>
    </row>
    <row r="372" spans="1:1" s="287" customFormat="1" ht="12" hidden="1" customHeight="1">
      <c r="A372" s="286"/>
    </row>
    <row r="373" spans="1:1" s="287" customFormat="1" ht="12" hidden="1" customHeight="1">
      <c r="A373" s="286"/>
    </row>
    <row r="374" spans="1:1" s="287" customFormat="1" ht="12" hidden="1" customHeight="1">
      <c r="A374" s="286"/>
    </row>
    <row r="375" spans="1:1" s="287" customFormat="1" ht="12" hidden="1" customHeight="1">
      <c r="A375" s="286"/>
    </row>
    <row r="376" spans="1:1" s="287" customFormat="1" ht="12" hidden="1" customHeight="1">
      <c r="A376" s="286"/>
    </row>
    <row r="377" spans="1:1" s="287" customFormat="1" ht="12" hidden="1" customHeight="1">
      <c r="A377" s="286"/>
    </row>
    <row r="378" spans="1:1" s="287" customFormat="1" ht="12" hidden="1" customHeight="1">
      <c r="A378" s="286"/>
    </row>
    <row r="379" spans="1:1" s="287" customFormat="1" ht="12" hidden="1" customHeight="1">
      <c r="A379" s="286"/>
    </row>
    <row r="380" spans="1:1" s="287" customFormat="1" ht="12" hidden="1" customHeight="1">
      <c r="A380" s="286"/>
    </row>
    <row r="381" spans="1:1" s="287" customFormat="1" ht="12" hidden="1" customHeight="1">
      <c r="A381" s="286"/>
    </row>
    <row r="382" spans="1:1" s="287" customFormat="1" ht="12" hidden="1" customHeight="1">
      <c r="A382" s="286"/>
    </row>
    <row r="383" spans="1:1" s="287" customFormat="1" ht="12" hidden="1" customHeight="1">
      <c r="A383" s="286"/>
    </row>
    <row r="384" spans="1:1" s="287" customFormat="1" ht="12" hidden="1" customHeight="1">
      <c r="A384" s="286"/>
    </row>
    <row r="385" spans="1:1" s="287" customFormat="1" ht="12" hidden="1" customHeight="1">
      <c r="A385" s="286"/>
    </row>
    <row r="386" spans="1:1" s="287" customFormat="1" ht="12" hidden="1" customHeight="1">
      <c r="A386" s="286"/>
    </row>
    <row r="387" spans="1:1" s="287" customFormat="1" ht="12" hidden="1" customHeight="1">
      <c r="A387" s="286"/>
    </row>
    <row r="388" spans="1:1" s="287" customFormat="1" ht="12" hidden="1" customHeight="1">
      <c r="A388" s="286"/>
    </row>
    <row r="389" spans="1:1" s="287" customFormat="1" ht="12" hidden="1" customHeight="1">
      <c r="A389" s="286"/>
    </row>
    <row r="390" spans="1:1" s="287" customFormat="1" ht="12" hidden="1" customHeight="1">
      <c r="A390" s="286"/>
    </row>
    <row r="391" spans="1:1" s="287" customFormat="1" ht="12" hidden="1" customHeight="1">
      <c r="A391" s="286"/>
    </row>
    <row r="392" spans="1:1" s="287" customFormat="1" ht="12" hidden="1" customHeight="1">
      <c r="A392" s="286"/>
    </row>
    <row r="393" spans="1:1" s="287" customFormat="1" ht="12" hidden="1" customHeight="1">
      <c r="A393" s="286"/>
    </row>
    <row r="394" spans="1:1" s="287" customFormat="1" ht="12" hidden="1" customHeight="1">
      <c r="A394" s="286"/>
    </row>
    <row r="395" spans="1:1" s="287" customFormat="1" ht="12" hidden="1" customHeight="1">
      <c r="A395" s="286"/>
    </row>
    <row r="396" spans="1:1" s="287" customFormat="1" ht="12" hidden="1" customHeight="1">
      <c r="A396" s="286"/>
    </row>
    <row r="397" spans="1:1" s="287" customFormat="1" ht="12" hidden="1" customHeight="1">
      <c r="A397" s="286"/>
    </row>
    <row r="398" spans="1:1" s="287" customFormat="1" ht="12" hidden="1" customHeight="1">
      <c r="A398" s="286"/>
    </row>
    <row r="399" spans="1:1" s="287" customFormat="1" ht="12" hidden="1" customHeight="1">
      <c r="A399" s="286"/>
    </row>
    <row r="400" spans="1:1" s="287" customFormat="1" ht="12" hidden="1" customHeight="1">
      <c r="A400" s="286"/>
    </row>
    <row r="401" spans="1:1" s="287" customFormat="1" ht="12" hidden="1" customHeight="1">
      <c r="A401" s="286"/>
    </row>
    <row r="402" spans="1:1" s="287" customFormat="1" ht="12" hidden="1" customHeight="1">
      <c r="A402" s="286"/>
    </row>
    <row r="403" spans="1:1" s="287" customFormat="1" ht="12" hidden="1" customHeight="1">
      <c r="A403" s="286"/>
    </row>
    <row r="404" spans="1:1" s="287" customFormat="1" ht="12" hidden="1" customHeight="1">
      <c r="A404" s="286"/>
    </row>
    <row r="405" spans="1:1" s="287" customFormat="1" ht="12" hidden="1" customHeight="1">
      <c r="A405" s="286"/>
    </row>
    <row r="406" spans="1:1" s="287" customFormat="1" ht="12" hidden="1" customHeight="1">
      <c r="A406" s="286"/>
    </row>
    <row r="407" spans="1:1" s="287" customFormat="1" ht="12" hidden="1" customHeight="1">
      <c r="A407" s="286"/>
    </row>
    <row r="408" spans="1:1" s="287" customFormat="1" ht="12" hidden="1" customHeight="1">
      <c r="A408" s="286"/>
    </row>
    <row r="409" spans="1:1" s="287" customFormat="1" ht="12" hidden="1" customHeight="1">
      <c r="A409" s="286"/>
    </row>
    <row r="410" spans="1:1" s="287" customFormat="1" ht="12" hidden="1" customHeight="1">
      <c r="A410" s="286"/>
    </row>
    <row r="411" spans="1:1" s="287" customFormat="1" ht="12" hidden="1" customHeight="1">
      <c r="A411" s="286"/>
    </row>
    <row r="412" spans="1:1" s="287" customFormat="1" ht="12" hidden="1" customHeight="1">
      <c r="A412" s="286"/>
    </row>
    <row r="413" spans="1:1" s="287" customFormat="1" ht="12" hidden="1" customHeight="1">
      <c r="A413" s="286"/>
    </row>
    <row r="414" spans="1:1" s="287" customFormat="1" ht="12" hidden="1" customHeight="1">
      <c r="A414" s="286"/>
    </row>
    <row r="415" spans="1:1" s="287" customFormat="1" ht="12" hidden="1" customHeight="1">
      <c r="A415" s="286"/>
    </row>
    <row r="416" spans="1:1" s="287" customFormat="1" ht="12" hidden="1" customHeight="1">
      <c r="A416" s="286"/>
    </row>
    <row r="417" spans="1:1" s="287" customFormat="1" ht="12" hidden="1" customHeight="1">
      <c r="A417" s="286"/>
    </row>
    <row r="418" spans="1:1" s="287" customFormat="1" ht="12" hidden="1" customHeight="1">
      <c r="A418" s="286"/>
    </row>
    <row r="419" spans="1:1" s="287" customFormat="1" ht="12" hidden="1" customHeight="1">
      <c r="A419" s="286"/>
    </row>
    <row r="420" spans="1:1" s="287" customFormat="1" ht="12" hidden="1" customHeight="1">
      <c r="A420" s="286"/>
    </row>
    <row r="421" spans="1:1" s="287" customFormat="1" ht="12" hidden="1" customHeight="1">
      <c r="A421" s="286"/>
    </row>
    <row r="422" spans="1:1" s="287" customFormat="1" ht="12" hidden="1" customHeight="1">
      <c r="A422" s="286"/>
    </row>
    <row r="423" spans="1:1" s="287" customFormat="1" ht="12" hidden="1" customHeight="1">
      <c r="A423" s="286"/>
    </row>
    <row r="424" spans="1:1" s="287" customFormat="1" ht="12" hidden="1" customHeight="1">
      <c r="A424" s="286"/>
    </row>
    <row r="425" spans="1:1" s="287" customFormat="1" ht="12" hidden="1" customHeight="1">
      <c r="A425" s="286"/>
    </row>
    <row r="426" spans="1:1" s="287" customFormat="1" ht="12" hidden="1" customHeight="1">
      <c r="A426" s="286"/>
    </row>
    <row r="427" spans="1:1" s="287" customFormat="1" ht="12" hidden="1" customHeight="1">
      <c r="A427" s="286"/>
    </row>
    <row r="428" spans="1:1" s="287" customFormat="1" ht="12" hidden="1" customHeight="1">
      <c r="A428" s="286"/>
    </row>
    <row r="429" spans="1:1" s="287" customFormat="1" ht="12" hidden="1" customHeight="1">
      <c r="A429" s="286"/>
    </row>
    <row r="430" spans="1:1" s="287" customFormat="1" ht="12" hidden="1" customHeight="1">
      <c r="A430" s="286"/>
    </row>
    <row r="431" spans="1:1" s="287" customFormat="1" ht="12" hidden="1" customHeight="1">
      <c r="A431" s="286"/>
    </row>
    <row r="432" spans="1:1" s="287" customFormat="1" ht="12" hidden="1" customHeight="1">
      <c r="A432" s="286"/>
    </row>
    <row r="433" spans="1:1" s="287" customFormat="1" ht="12" hidden="1" customHeight="1">
      <c r="A433" s="286"/>
    </row>
    <row r="434" spans="1:1" s="287" customFormat="1" ht="12" hidden="1" customHeight="1">
      <c r="A434" s="286"/>
    </row>
    <row r="435" spans="1:1" s="287" customFormat="1" ht="12" hidden="1" customHeight="1">
      <c r="A435" s="286"/>
    </row>
    <row r="436" spans="1:1" s="287" customFormat="1" ht="12" hidden="1" customHeight="1">
      <c r="A436" s="286"/>
    </row>
    <row r="437" spans="1:1" s="287" customFormat="1" ht="12" hidden="1" customHeight="1">
      <c r="A437" s="286"/>
    </row>
    <row r="438" spans="1:1" s="287" customFormat="1" ht="12" hidden="1" customHeight="1">
      <c r="A438" s="286"/>
    </row>
    <row r="439" spans="1:1" s="287" customFormat="1" ht="12" hidden="1" customHeight="1">
      <c r="A439" s="286"/>
    </row>
    <row r="440" spans="1:1" s="287" customFormat="1" ht="12" hidden="1" customHeight="1">
      <c r="A440" s="286"/>
    </row>
    <row r="441" spans="1:1" s="287" customFormat="1" ht="12" hidden="1" customHeight="1">
      <c r="A441" s="286"/>
    </row>
    <row r="442" spans="1:1" s="287" customFormat="1" ht="12" hidden="1" customHeight="1">
      <c r="A442" s="286"/>
    </row>
    <row r="443" spans="1:1" s="287" customFormat="1" ht="12" hidden="1" customHeight="1">
      <c r="A443" s="286"/>
    </row>
    <row r="444" spans="1:1" s="287" customFormat="1" ht="12" hidden="1" customHeight="1">
      <c r="A444" s="286"/>
    </row>
    <row r="445" spans="1:1" s="287" customFormat="1" ht="12" hidden="1" customHeight="1">
      <c r="A445" s="286"/>
    </row>
    <row r="446" spans="1:1" s="287" customFormat="1" ht="12" hidden="1" customHeight="1">
      <c r="A446" s="286"/>
    </row>
    <row r="447" spans="1:1" s="287" customFormat="1" ht="12" hidden="1" customHeight="1">
      <c r="A447" s="286"/>
    </row>
    <row r="448" spans="1:1" s="287" customFormat="1" ht="12" hidden="1" customHeight="1">
      <c r="A448" s="286"/>
    </row>
    <row r="449" spans="1:1" s="287" customFormat="1" ht="12" hidden="1" customHeight="1">
      <c r="A449" s="286"/>
    </row>
    <row r="450" spans="1:1" s="287" customFormat="1" ht="12" hidden="1" customHeight="1">
      <c r="A450" s="286"/>
    </row>
    <row r="451" spans="1:1" s="287" customFormat="1" ht="12" hidden="1" customHeight="1">
      <c r="A451" s="286"/>
    </row>
    <row r="452" spans="1:1" s="287" customFormat="1" ht="12" hidden="1" customHeight="1">
      <c r="A452" s="286"/>
    </row>
    <row r="453" spans="1:1" s="287" customFormat="1" ht="12" hidden="1" customHeight="1">
      <c r="A453" s="286"/>
    </row>
    <row r="454" spans="1:1" s="287" customFormat="1" ht="12" hidden="1" customHeight="1">
      <c r="A454" s="286"/>
    </row>
    <row r="455" spans="1:1" s="287" customFormat="1" ht="12" hidden="1" customHeight="1">
      <c r="A455" s="286"/>
    </row>
    <row r="456" spans="1:1" s="287" customFormat="1" ht="12" hidden="1" customHeight="1">
      <c r="A456" s="286"/>
    </row>
    <row r="457" spans="1:1" s="287" customFormat="1" ht="12" hidden="1" customHeight="1">
      <c r="A457" s="286"/>
    </row>
    <row r="458" spans="1:1" s="287" customFormat="1" ht="12" hidden="1" customHeight="1">
      <c r="A458" s="286"/>
    </row>
    <row r="459" spans="1:1" s="287" customFormat="1" ht="12" hidden="1" customHeight="1">
      <c r="A459" s="286"/>
    </row>
    <row r="460" spans="1:1" s="287" customFormat="1" ht="12" hidden="1" customHeight="1">
      <c r="A460" s="286"/>
    </row>
    <row r="461" spans="1:1" s="287" customFormat="1" ht="12" hidden="1" customHeight="1">
      <c r="A461" s="286"/>
    </row>
    <row r="462" spans="1:1" s="287" customFormat="1" ht="12" hidden="1" customHeight="1">
      <c r="A462" s="286"/>
    </row>
    <row r="463" spans="1:1" s="287" customFormat="1" ht="12" hidden="1" customHeight="1">
      <c r="A463" s="286"/>
    </row>
    <row r="464" spans="1:1" s="287" customFormat="1" ht="12" hidden="1" customHeight="1">
      <c r="A464" s="286"/>
    </row>
    <row r="465" spans="1:1" s="287" customFormat="1" ht="12" hidden="1" customHeight="1">
      <c r="A465" s="286"/>
    </row>
    <row r="466" spans="1:1" s="287" customFormat="1" ht="12" hidden="1" customHeight="1">
      <c r="A466" s="286"/>
    </row>
    <row r="467" spans="1:1" s="287" customFormat="1" ht="12" hidden="1" customHeight="1">
      <c r="A467" s="286"/>
    </row>
    <row r="468" spans="1:1" s="287" customFormat="1" ht="12" hidden="1" customHeight="1">
      <c r="A468" s="286"/>
    </row>
    <row r="469" spans="1:1" s="287" customFormat="1" ht="12" hidden="1" customHeight="1">
      <c r="A469" s="286"/>
    </row>
    <row r="470" spans="1:1" s="287" customFormat="1" ht="12" hidden="1" customHeight="1">
      <c r="A470" s="286"/>
    </row>
    <row r="471" spans="1:1" s="287" customFormat="1" ht="12" hidden="1" customHeight="1">
      <c r="A471" s="286"/>
    </row>
    <row r="472" spans="1:1" s="287" customFormat="1" ht="12" hidden="1" customHeight="1">
      <c r="A472" s="286"/>
    </row>
    <row r="473" spans="1:1" s="287" customFormat="1" ht="12" hidden="1" customHeight="1">
      <c r="A473" s="286"/>
    </row>
    <row r="474" spans="1:1" s="287" customFormat="1" ht="12" hidden="1" customHeight="1">
      <c r="A474" s="286"/>
    </row>
    <row r="475" spans="1:1" s="287" customFormat="1" ht="12" hidden="1" customHeight="1">
      <c r="A475" s="286"/>
    </row>
    <row r="476" spans="1:1" s="287" customFormat="1" ht="12" hidden="1" customHeight="1">
      <c r="A476" s="286"/>
    </row>
    <row r="477" spans="1:1" s="287" customFormat="1" ht="12" hidden="1" customHeight="1">
      <c r="A477" s="286"/>
    </row>
    <row r="478" spans="1:1" s="287" customFormat="1" ht="12" hidden="1" customHeight="1">
      <c r="A478" s="286"/>
    </row>
    <row r="479" spans="1:1" s="287" customFormat="1" ht="12" hidden="1" customHeight="1">
      <c r="A479" s="286"/>
    </row>
    <row r="480" spans="1:1" s="287" customFormat="1" ht="12" hidden="1" customHeight="1">
      <c r="A480" s="286"/>
    </row>
    <row r="481" spans="1:1" s="287" customFormat="1" ht="12" hidden="1" customHeight="1">
      <c r="A481" s="286"/>
    </row>
    <row r="482" spans="1:1" s="287" customFormat="1" ht="12" hidden="1" customHeight="1">
      <c r="A482" s="286"/>
    </row>
    <row r="483" spans="1:1" s="287" customFormat="1" ht="12" hidden="1" customHeight="1">
      <c r="A483" s="286"/>
    </row>
    <row r="484" spans="1:1" s="287" customFormat="1" ht="12" hidden="1" customHeight="1">
      <c r="A484" s="286"/>
    </row>
    <row r="485" spans="1:1" s="287" customFormat="1" ht="12" hidden="1" customHeight="1">
      <c r="A485" s="286"/>
    </row>
    <row r="486" spans="1:1" s="287" customFormat="1" ht="12" hidden="1" customHeight="1">
      <c r="A486" s="286"/>
    </row>
    <row r="487" spans="1:1" s="287" customFormat="1" ht="12" hidden="1" customHeight="1">
      <c r="A487" s="286"/>
    </row>
    <row r="488" spans="1:1" s="287" customFormat="1" ht="12" hidden="1" customHeight="1">
      <c r="A488" s="286"/>
    </row>
    <row r="489" spans="1:1" s="287" customFormat="1" ht="12" hidden="1" customHeight="1">
      <c r="A489" s="286"/>
    </row>
    <row r="490" spans="1:1" s="287" customFormat="1" ht="12" hidden="1" customHeight="1">
      <c r="A490" s="286"/>
    </row>
    <row r="491" spans="1:1" s="287" customFormat="1" ht="12" hidden="1" customHeight="1">
      <c r="A491" s="286"/>
    </row>
    <row r="492" spans="1:1" s="287" customFormat="1" ht="12" hidden="1" customHeight="1">
      <c r="A492" s="286"/>
    </row>
    <row r="493" spans="1:1" s="287" customFormat="1" ht="12" hidden="1" customHeight="1">
      <c r="A493" s="286"/>
    </row>
    <row r="494" spans="1:1" s="287" customFormat="1" ht="12" hidden="1" customHeight="1">
      <c r="A494" s="286"/>
    </row>
    <row r="495" spans="1:1" s="287" customFormat="1" ht="12" hidden="1" customHeight="1">
      <c r="A495" s="286"/>
    </row>
    <row r="496" spans="1:1" s="287" customFormat="1" ht="12" hidden="1" customHeight="1">
      <c r="A496" s="286"/>
    </row>
    <row r="497" spans="1:1" s="287" customFormat="1" ht="12" hidden="1" customHeight="1">
      <c r="A497" s="286"/>
    </row>
    <row r="498" spans="1:1" s="287" customFormat="1" ht="12" hidden="1" customHeight="1">
      <c r="A498" s="286"/>
    </row>
    <row r="499" spans="1:1" s="287" customFormat="1" ht="12" hidden="1" customHeight="1">
      <c r="A499" s="286"/>
    </row>
    <row r="500" spans="1:1" s="287" customFormat="1" ht="12" hidden="1" customHeight="1">
      <c r="A500" s="286"/>
    </row>
    <row r="501" spans="1:1" s="287" customFormat="1" ht="12" hidden="1" customHeight="1">
      <c r="A501" s="286"/>
    </row>
    <row r="502" spans="1:1" s="287" customFormat="1" ht="12" hidden="1" customHeight="1">
      <c r="A502" s="286"/>
    </row>
    <row r="503" spans="1:1" s="287" customFormat="1" ht="12" hidden="1" customHeight="1">
      <c r="A503" s="286"/>
    </row>
    <row r="504" spans="1:1" s="287" customFormat="1" ht="12" hidden="1" customHeight="1">
      <c r="A504" s="286"/>
    </row>
    <row r="505" spans="1:1" s="287" customFormat="1" ht="12" hidden="1" customHeight="1">
      <c r="A505" s="286"/>
    </row>
    <row r="506" spans="1:1" s="287" customFormat="1" ht="12" hidden="1" customHeight="1">
      <c r="A506" s="286"/>
    </row>
    <row r="507" spans="1:1" s="287" customFormat="1" ht="12" hidden="1" customHeight="1">
      <c r="A507" s="286"/>
    </row>
    <row r="508" spans="1:1" s="287" customFormat="1" ht="12" hidden="1" customHeight="1">
      <c r="A508" s="286"/>
    </row>
    <row r="509" spans="1:1" s="287" customFormat="1" ht="12" hidden="1" customHeight="1">
      <c r="A509" s="286"/>
    </row>
    <row r="510" spans="1:1" s="287" customFormat="1" ht="12" hidden="1" customHeight="1">
      <c r="A510" s="286"/>
    </row>
    <row r="511" spans="1:1" s="287" customFormat="1" ht="12" hidden="1" customHeight="1">
      <c r="A511" s="286"/>
    </row>
    <row r="512" spans="1:1" s="287" customFormat="1" ht="12" hidden="1" customHeight="1">
      <c r="A512" s="286"/>
    </row>
    <row r="513" spans="1:1" s="287" customFormat="1" ht="12" hidden="1" customHeight="1">
      <c r="A513" s="286"/>
    </row>
    <row r="514" spans="1:1" s="287" customFormat="1" ht="12" hidden="1" customHeight="1">
      <c r="A514" s="286"/>
    </row>
    <row r="515" spans="1:1" s="287" customFormat="1" ht="12" hidden="1" customHeight="1">
      <c r="A515" s="286"/>
    </row>
    <row r="516" spans="1:1" s="287" customFormat="1" ht="12" hidden="1" customHeight="1">
      <c r="A516" s="286"/>
    </row>
    <row r="517" spans="1:1" s="287" customFormat="1" ht="12" hidden="1" customHeight="1">
      <c r="A517" s="286"/>
    </row>
    <row r="518" spans="1:1" s="287" customFormat="1" ht="12" hidden="1" customHeight="1">
      <c r="A518" s="286"/>
    </row>
    <row r="519" spans="1:1" s="287" customFormat="1" ht="12" hidden="1" customHeight="1">
      <c r="A519" s="286"/>
    </row>
    <row r="520" spans="1:1" s="287" customFormat="1" ht="12" hidden="1" customHeight="1">
      <c r="A520" s="286"/>
    </row>
    <row r="521" spans="1:1" s="287" customFormat="1" ht="12" hidden="1" customHeight="1">
      <c r="A521" s="286"/>
    </row>
    <row r="522" spans="1:1" s="287" customFormat="1" ht="12" hidden="1" customHeight="1">
      <c r="A522" s="286"/>
    </row>
    <row r="523" spans="1:1" s="287" customFormat="1" ht="12" hidden="1" customHeight="1">
      <c r="A523" s="286"/>
    </row>
    <row r="524" spans="1:1" s="287" customFormat="1" ht="12" hidden="1" customHeight="1">
      <c r="A524" s="286"/>
    </row>
    <row r="525" spans="1:1" s="287" customFormat="1" ht="12" hidden="1" customHeight="1">
      <c r="A525" s="286"/>
    </row>
    <row r="526" spans="1:1" s="287" customFormat="1" ht="12" hidden="1" customHeight="1">
      <c r="A526" s="286"/>
    </row>
    <row r="527" spans="1:1" s="287" customFormat="1" ht="12" hidden="1" customHeight="1">
      <c r="A527" s="286"/>
    </row>
    <row r="528" spans="1:1" s="287" customFormat="1" ht="12" hidden="1" customHeight="1">
      <c r="A528" s="286"/>
    </row>
    <row r="529" spans="1:1" s="287" customFormat="1" ht="12" hidden="1" customHeight="1">
      <c r="A529" s="286"/>
    </row>
    <row r="530" spans="1:1" s="287" customFormat="1" ht="12" hidden="1" customHeight="1">
      <c r="A530" s="286"/>
    </row>
    <row r="531" spans="1:1" s="287" customFormat="1" ht="12" hidden="1" customHeight="1">
      <c r="A531" s="286"/>
    </row>
    <row r="532" spans="1:1" s="287" customFormat="1" ht="12" hidden="1" customHeight="1">
      <c r="A532" s="286"/>
    </row>
    <row r="533" spans="1:1" s="287" customFormat="1" ht="12" hidden="1" customHeight="1">
      <c r="A533" s="286"/>
    </row>
    <row r="534" spans="1:1" s="287" customFormat="1" ht="12" hidden="1" customHeight="1">
      <c r="A534" s="286"/>
    </row>
    <row r="535" spans="1:1" s="287" customFormat="1" ht="12" hidden="1" customHeight="1">
      <c r="A535" s="286"/>
    </row>
    <row r="536" spans="1:1" s="287" customFormat="1" ht="12" hidden="1" customHeight="1">
      <c r="A536" s="286"/>
    </row>
    <row r="537" spans="1:1" s="287" customFormat="1" ht="12" hidden="1" customHeight="1">
      <c r="A537" s="286"/>
    </row>
    <row r="538" spans="1:1" s="287" customFormat="1" ht="12" hidden="1" customHeight="1">
      <c r="A538" s="286"/>
    </row>
    <row r="539" spans="1:1" s="287" customFormat="1" ht="12" hidden="1" customHeight="1">
      <c r="A539" s="286"/>
    </row>
    <row r="540" spans="1:1" s="287" customFormat="1" ht="12" hidden="1" customHeight="1">
      <c r="A540" s="286"/>
    </row>
    <row r="541" spans="1:1" s="287" customFormat="1" ht="12" hidden="1" customHeight="1">
      <c r="A541" s="286"/>
    </row>
    <row r="542" spans="1:1" s="287" customFormat="1" ht="12" hidden="1" customHeight="1">
      <c r="A542" s="286"/>
    </row>
    <row r="543" spans="1:1" s="287" customFormat="1" ht="12" hidden="1" customHeight="1">
      <c r="A543" s="286"/>
    </row>
    <row r="544" spans="1:1" s="287" customFormat="1" ht="12" hidden="1" customHeight="1">
      <c r="A544" s="286"/>
    </row>
    <row r="545" spans="1:1" s="287" customFormat="1" ht="12" hidden="1" customHeight="1">
      <c r="A545" s="286"/>
    </row>
    <row r="546" spans="1:1" s="287" customFormat="1" ht="12" hidden="1" customHeight="1">
      <c r="A546" s="286"/>
    </row>
    <row r="547" spans="1:1" s="287" customFormat="1" ht="12" hidden="1" customHeight="1">
      <c r="A547" s="286"/>
    </row>
    <row r="548" spans="1:1" s="287" customFormat="1" ht="12" hidden="1" customHeight="1">
      <c r="A548" s="286"/>
    </row>
    <row r="549" spans="1:1" s="287" customFormat="1" ht="12" hidden="1" customHeight="1">
      <c r="A549" s="286"/>
    </row>
    <row r="550" spans="1:1" s="287" customFormat="1" ht="12" hidden="1" customHeight="1">
      <c r="A550" s="286"/>
    </row>
    <row r="551" spans="1:1" s="287" customFormat="1" ht="12" hidden="1" customHeight="1">
      <c r="A551" s="286"/>
    </row>
    <row r="552" spans="1:1" s="287" customFormat="1" ht="12" hidden="1" customHeight="1">
      <c r="A552" s="286"/>
    </row>
    <row r="553" spans="1:1" s="287" customFormat="1" ht="12" hidden="1" customHeight="1">
      <c r="A553" s="286"/>
    </row>
    <row r="554" spans="1:1" s="287" customFormat="1" ht="12" hidden="1" customHeight="1">
      <c r="A554" s="286"/>
    </row>
    <row r="555" spans="1:1" s="287" customFormat="1" ht="12" hidden="1" customHeight="1">
      <c r="A555" s="286"/>
    </row>
    <row r="556" spans="1:1" s="287" customFormat="1" ht="12" hidden="1" customHeight="1">
      <c r="A556" s="286"/>
    </row>
    <row r="557" spans="1:1" s="287" customFormat="1" ht="12" hidden="1" customHeight="1">
      <c r="A557" s="286"/>
    </row>
    <row r="558" spans="1:1" s="287" customFormat="1" ht="12" hidden="1" customHeight="1">
      <c r="A558" s="286"/>
    </row>
    <row r="559" spans="1:1" s="287" customFormat="1" ht="12" hidden="1" customHeight="1">
      <c r="A559" s="286"/>
    </row>
    <row r="560" spans="1:1" s="287" customFormat="1" ht="12" hidden="1" customHeight="1">
      <c r="A560" s="286"/>
    </row>
    <row r="561" spans="1:1" s="287" customFormat="1" ht="12" hidden="1" customHeight="1">
      <c r="A561" s="286"/>
    </row>
    <row r="562" spans="1:1" s="287" customFormat="1" ht="12" hidden="1" customHeight="1">
      <c r="A562" s="286"/>
    </row>
    <row r="563" spans="1:1" s="287" customFormat="1" ht="12" hidden="1" customHeight="1">
      <c r="A563" s="286"/>
    </row>
    <row r="564" spans="1:1" s="287" customFormat="1" ht="12" hidden="1" customHeight="1">
      <c r="A564" s="286"/>
    </row>
    <row r="565" spans="1:1" s="287" customFormat="1" ht="12" hidden="1" customHeight="1">
      <c r="A565" s="286"/>
    </row>
    <row r="566" spans="1:1" s="287" customFormat="1" ht="12" hidden="1" customHeight="1">
      <c r="A566" s="286"/>
    </row>
    <row r="567" spans="1:1" s="287" customFormat="1" ht="12" hidden="1" customHeight="1">
      <c r="A567" s="286"/>
    </row>
    <row r="568" spans="1:1" s="287" customFormat="1" ht="12" hidden="1" customHeight="1">
      <c r="A568" s="286"/>
    </row>
    <row r="569" spans="1:1" s="287" customFormat="1" ht="12" hidden="1" customHeight="1">
      <c r="A569" s="286"/>
    </row>
    <row r="570" spans="1:1" s="287" customFormat="1" ht="12" hidden="1" customHeight="1">
      <c r="A570" s="286"/>
    </row>
    <row r="571" spans="1:1" s="287" customFormat="1" ht="12" hidden="1" customHeight="1">
      <c r="A571" s="286"/>
    </row>
    <row r="572" spans="1:1" s="287" customFormat="1" ht="12" hidden="1" customHeight="1">
      <c r="A572" s="286"/>
    </row>
    <row r="573" spans="1:1" s="287" customFormat="1" ht="12" hidden="1" customHeight="1">
      <c r="A573" s="286"/>
    </row>
    <row r="574" spans="1:1" s="287" customFormat="1" ht="12" hidden="1" customHeight="1">
      <c r="A574" s="286"/>
    </row>
    <row r="575" spans="1:1" s="287" customFormat="1" ht="12" hidden="1" customHeight="1">
      <c r="A575" s="286"/>
    </row>
    <row r="576" spans="1:1" s="287" customFormat="1" ht="12" hidden="1" customHeight="1">
      <c r="A576" s="286"/>
    </row>
    <row r="577" spans="1:1" s="287" customFormat="1" ht="12" hidden="1" customHeight="1">
      <c r="A577" s="286"/>
    </row>
    <row r="578" spans="1:1" s="287" customFormat="1" ht="12" hidden="1" customHeight="1">
      <c r="A578" s="286"/>
    </row>
    <row r="579" spans="1:1" s="287" customFormat="1" ht="12" hidden="1" customHeight="1">
      <c r="A579" s="286"/>
    </row>
    <row r="580" spans="1:1" s="287" customFormat="1" ht="12" hidden="1" customHeight="1">
      <c r="A580" s="286"/>
    </row>
    <row r="581" spans="1:1" s="287" customFormat="1" ht="12" hidden="1" customHeight="1">
      <c r="A581" s="286"/>
    </row>
    <row r="582" spans="1:1" s="287" customFormat="1" ht="12" hidden="1" customHeight="1">
      <c r="A582" s="286"/>
    </row>
    <row r="583" spans="1:1" s="287" customFormat="1" ht="12" hidden="1" customHeight="1">
      <c r="A583" s="286"/>
    </row>
    <row r="584" spans="1:1" s="287" customFormat="1" ht="12" hidden="1" customHeight="1">
      <c r="A584" s="286"/>
    </row>
    <row r="585" spans="1:1" s="287" customFormat="1" ht="12" hidden="1" customHeight="1">
      <c r="A585" s="286"/>
    </row>
    <row r="586" spans="1:1" s="287" customFormat="1" ht="12" hidden="1" customHeight="1">
      <c r="A586" s="286"/>
    </row>
    <row r="587" spans="1:1" s="287" customFormat="1" ht="12" hidden="1" customHeight="1">
      <c r="A587" s="286"/>
    </row>
    <row r="588" spans="1:1" s="287" customFormat="1" ht="12" hidden="1" customHeight="1">
      <c r="A588" s="286"/>
    </row>
    <row r="589" spans="1:1" s="287" customFormat="1" ht="12" hidden="1" customHeight="1">
      <c r="A589" s="286"/>
    </row>
    <row r="590" spans="1:1" s="287" customFormat="1" ht="12" hidden="1" customHeight="1">
      <c r="A590" s="286"/>
    </row>
    <row r="591" spans="1:1" s="287" customFormat="1" ht="12" hidden="1" customHeight="1">
      <c r="A591" s="286"/>
    </row>
    <row r="592" spans="1:1" s="287" customFormat="1" ht="12" hidden="1" customHeight="1">
      <c r="A592" s="286"/>
    </row>
    <row r="593" spans="1:1" s="287" customFormat="1" ht="12" hidden="1" customHeight="1">
      <c r="A593" s="286"/>
    </row>
    <row r="594" spans="1:1" s="287" customFormat="1" ht="12" hidden="1" customHeight="1">
      <c r="A594" s="286"/>
    </row>
    <row r="595" spans="1:1" s="287" customFormat="1" ht="12" hidden="1" customHeight="1">
      <c r="A595" s="286"/>
    </row>
    <row r="596" spans="1:1" s="287" customFormat="1" ht="12" hidden="1" customHeight="1">
      <c r="A596" s="286"/>
    </row>
    <row r="597" spans="1:1" s="287" customFormat="1" ht="12" hidden="1" customHeight="1">
      <c r="A597" s="286"/>
    </row>
    <row r="598" spans="1:1" s="287" customFormat="1" ht="12" hidden="1" customHeight="1">
      <c r="A598" s="286"/>
    </row>
    <row r="599" spans="1:1" s="287" customFormat="1" ht="12" hidden="1" customHeight="1">
      <c r="A599" s="286"/>
    </row>
    <row r="600" spans="1:1" s="287" customFormat="1" ht="12" hidden="1" customHeight="1">
      <c r="A600" s="286"/>
    </row>
    <row r="601" spans="1:1" s="287" customFormat="1" ht="12" hidden="1" customHeight="1">
      <c r="A601" s="286"/>
    </row>
    <row r="602" spans="1:1" s="287" customFormat="1" ht="12" hidden="1" customHeight="1">
      <c r="A602" s="286"/>
    </row>
    <row r="603" spans="1:1" s="287" customFormat="1" ht="12" hidden="1" customHeight="1">
      <c r="A603" s="286"/>
    </row>
    <row r="604" spans="1:1" s="287" customFormat="1" ht="12" hidden="1" customHeight="1">
      <c r="A604" s="286"/>
    </row>
    <row r="605" spans="1:1" s="287" customFormat="1" ht="12" hidden="1" customHeight="1">
      <c r="A605" s="286"/>
    </row>
    <row r="606" spans="1:1" s="287" customFormat="1" ht="12" hidden="1" customHeight="1">
      <c r="A606" s="286"/>
    </row>
    <row r="607" spans="1:1" s="287" customFormat="1" ht="12" hidden="1" customHeight="1">
      <c r="A607" s="286"/>
    </row>
    <row r="608" spans="1:1" s="287" customFormat="1" ht="12" hidden="1" customHeight="1">
      <c r="A608" s="286"/>
    </row>
    <row r="609" spans="1:1" s="287" customFormat="1" ht="12" hidden="1" customHeight="1">
      <c r="A609" s="286"/>
    </row>
    <row r="610" spans="1:1" s="287" customFormat="1" ht="12" hidden="1" customHeight="1">
      <c r="A610" s="286"/>
    </row>
    <row r="611" spans="1:1" s="287" customFormat="1" ht="12" hidden="1" customHeight="1">
      <c r="A611" s="286"/>
    </row>
    <row r="612" spans="1:1" s="287" customFormat="1" ht="12" hidden="1" customHeight="1">
      <c r="A612" s="286"/>
    </row>
    <row r="613" spans="1:1" s="287" customFormat="1" ht="12" hidden="1" customHeight="1">
      <c r="A613" s="286"/>
    </row>
    <row r="614" spans="1:1" s="287" customFormat="1" ht="12" hidden="1" customHeight="1">
      <c r="A614" s="286"/>
    </row>
    <row r="615" spans="1:1" s="287" customFormat="1" ht="12" hidden="1" customHeight="1">
      <c r="A615" s="286"/>
    </row>
    <row r="616" spans="1:1" s="287" customFormat="1" ht="12" hidden="1" customHeight="1">
      <c r="A616" s="286"/>
    </row>
    <row r="617" spans="1:1" s="287" customFormat="1" ht="12" hidden="1" customHeight="1">
      <c r="A617" s="286"/>
    </row>
    <row r="618" spans="1:1" s="287" customFormat="1" ht="12" hidden="1" customHeight="1">
      <c r="A618" s="286"/>
    </row>
    <row r="619" spans="1:1" s="287" customFormat="1" ht="12" hidden="1" customHeight="1">
      <c r="A619" s="286"/>
    </row>
    <row r="620" spans="1:1" s="287" customFormat="1" ht="12" hidden="1" customHeight="1">
      <c r="A620" s="286"/>
    </row>
    <row r="621" spans="1:1" s="287" customFormat="1" ht="12" hidden="1" customHeight="1">
      <c r="A621" s="286"/>
    </row>
    <row r="622" spans="1:1" s="287" customFormat="1" ht="12" hidden="1" customHeight="1">
      <c r="A622" s="286"/>
    </row>
    <row r="623" spans="1:1" s="287" customFormat="1" ht="12" hidden="1" customHeight="1">
      <c r="A623" s="286"/>
    </row>
    <row r="624" spans="1:1" s="287" customFormat="1" ht="12" hidden="1" customHeight="1">
      <c r="A624" s="286"/>
    </row>
    <row r="625" spans="1:1" s="287" customFormat="1" ht="12" hidden="1" customHeight="1">
      <c r="A625" s="286"/>
    </row>
    <row r="626" spans="1:1" s="287" customFormat="1" ht="12" hidden="1" customHeight="1">
      <c r="A626" s="286"/>
    </row>
    <row r="627" spans="1:1" s="287" customFormat="1" ht="12" hidden="1" customHeight="1">
      <c r="A627" s="286"/>
    </row>
    <row r="628" spans="1:1" s="287" customFormat="1" ht="12" hidden="1" customHeight="1">
      <c r="A628" s="286"/>
    </row>
    <row r="629" spans="1:1" s="287" customFormat="1" ht="12" hidden="1" customHeight="1">
      <c r="A629" s="286"/>
    </row>
    <row r="630" spans="1:1" s="287" customFormat="1" ht="12" hidden="1" customHeight="1">
      <c r="A630" s="286"/>
    </row>
    <row r="631" spans="1:1" s="287" customFormat="1" ht="12" hidden="1" customHeight="1">
      <c r="A631" s="286"/>
    </row>
    <row r="632" spans="1:1" s="287" customFormat="1" ht="12" hidden="1" customHeight="1">
      <c r="A632" s="286"/>
    </row>
    <row r="633" spans="1:1" s="287" customFormat="1" ht="12" hidden="1" customHeight="1">
      <c r="A633" s="286"/>
    </row>
    <row r="634" spans="1:1" s="287" customFormat="1" ht="12" hidden="1" customHeight="1">
      <c r="A634" s="286"/>
    </row>
    <row r="635" spans="1:1" s="287" customFormat="1" ht="12" hidden="1" customHeight="1">
      <c r="A635" s="286"/>
    </row>
    <row r="636" spans="1:1" s="287" customFormat="1" ht="12" hidden="1" customHeight="1">
      <c r="A636" s="286"/>
    </row>
    <row r="637" spans="1:1" s="287" customFormat="1" ht="12" hidden="1" customHeight="1">
      <c r="A637" s="286"/>
    </row>
    <row r="638" spans="1:1" s="287" customFormat="1" ht="12" hidden="1" customHeight="1">
      <c r="A638" s="286"/>
    </row>
    <row r="639" spans="1:1" s="287" customFormat="1" ht="12" hidden="1" customHeight="1">
      <c r="A639" s="286"/>
    </row>
    <row r="640" spans="1:1" s="287" customFormat="1" ht="12" hidden="1" customHeight="1">
      <c r="A640" s="286"/>
    </row>
    <row r="641" spans="1:1" s="287" customFormat="1" ht="12" hidden="1" customHeight="1">
      <c r="A641" s="286"/>
    </row>
    <row r="642" spans="1:1" s="287" customFormat="1" ht="12" hidden="1" customHeight="1">
      <c r="A642" s="286"/>
    </row>
    <row r="643" spans="1:1" s="287" customFormat="1" ht="12" hidden="1" customHeight="1">
      <c r="A643" s="286"/>
    </row>
    <row r="644" spans="1:1" s="287" customFormat="1" ht="12" hidden="1" customHeight="1">
      <c r="A644" s="286"/>
    </row>
    <row r="645" spans="1:1" s="287" customFormat="1" ht="12" hidden="1" customHeight="1">
      <c r="A645" s="286"/>
    </row>
    <row r="646" spans="1:1" s="287" customFormat="1" ht="12" hidden="1" customHeight="1">
      <c r="A646" s="286"/>
    </row>
    <row r="647" spans="1:1" s="287" customFormat="1" ht="12" hidden="1" customHeight="1">
      <c r="A647" s="286"/>
    </row>
    <row r="648" spans="1:1" s="287" customFormat="1" ht="12" hidden="1" customHeight="1">
      <c r="A648" s="286"/>
    </row>
    <row r="649" spans="1:1" s="287" customFormat="1" ht="12" hidden="1" customHeight="1">
      <c r="A649" s="286"/>
    </row>
    <row r="650" spans="1:1" s="287" customFormat="1" ht="12" hidden="1" customHeight="1">
      <c r="A650" s="286"/>
    </row>
    <row r="651" spans="1:1" s="287" customFormat="1" ht="12" hidden="1" customHeight="1">
      <c r="A651" s="286"/>
    </row>
    <row r="652" spans="1:1" s="287" customFormat="1" ht="12" hidden="1" customHeight="1">
      <c r="A652" s="286"/>
    </row>
    <row r="653" spans="1:1" s="287" customFormat="1" ht="12" hidden="1" customHeight="1">
      <c r="A653" s="286"/>
    </row>
    <row r="654" spans="1:1" s="287" customFormat="1" ht="12" hidden="1" customHeight="1">
      <c r="A654" s="286"/>
    </row>
    <row r="655" spans="1:1" s="287" customFormat="1" ht="12" hidden="1" customHeight="1">
      <c r="A655" s="286"/>
    </row>
    <row r="656" spans="1:1" s="287" customFormat="1" ht="12" hidden="1" customHeight="1">
      <c r="A656" s="286"/>
    </row>
    <row r="657" spans="1:1" s="287" customFormat="1" ht="12" hidden="1" customHeight="1">
      <c r="A657" s="286"/>
    </row>
    <row r="658" spans="1:1" s="287" customFormat="1" ht="12" hidden="1" customHeight="1">
      <c r="A658" s="286"/>
    </row>
    <row r="659" spans="1:1" s="287" customFormat="1" ht="12" hidden="1" customHeight="1">
      <c r="A659" s="286"/>
    </row>
    <row r="660" spans="1:1" s="287" customFormat="1" ht="12" hidden="1" customHeight="1">
      <c r="A660" s="286"/>
    </row>
    <row r="661" spans="1:1" s="287" customFormat="1" ht="12" hidden="1" customHeight="1">
      <c r="A661" s="286"/>
    </row>
    <row r="662" spans="1:1" s="287" customFormat="1" ht="12" hidden="1" customHeight="1">
      <c r="A662" s="286"/>
    </row>
    <row r="663" spans="1:1" s="287" customFormat="1" ht="12" hidden="1" customHeight="1">
      <c r="A663" s="286"/>
    </row>
    <row r="664" spans="1:1" s="287" customFormat="1" ht="12" hidden="1" customHeight="1">
      <c r="A664" s="286"/>
    </row>
    <row r="665" spans="1:1" s="287" customFormat="1" ht="12" hidden="1" customHeight="1">
      <c r="A665" s="286"/>
    </row>
    <row r="666" spans="1:1" s="287" customFormat="1" ht="12" hidden="1" customHeight="1">
      <c r="A666" s="286"/>
    </row>
    <row r="667" spans="1:1" s="287" customFormat="1" ht="12" hidden="1" customHeight="1">
      <c r="A667" s="286"/>
    </row>
    <row r="668" spans="1:1" s="287" customFormat="1" ht="12" hidden="1" customHeight="1">
      <c r="A668" s="286"/>
    </row>
    <row r="669" spans="1:1" s="287" customFormat="1" ht="12" hidden="1" customHeight="1">
      <c r="A669" s="286"/>
    </row>
    <row r="670" spans="1:1" s="287" customFormat="1" ht="12" hidden="1" customHeight="1">
      <c r="A670" s="286"/>
    </row>
    <row r="671" spans="1:1" s="287" customFormat="1" ht="12" hidden="1" customHeight="1">
      <c r="A671" s="286"/>
    </row>
    <row r="672" spans="1:1" s="287" customFormat="1" ht="12" hidden="1" customHeight="1">
      <c r="A672" s="286"/>
    </row>
    <row r="673" spans="1:1" s="287" customFormat="1" ht="12" hidden="1" customHeight="1">
      <c r="A673" s="286"/>
    </row>
    <row r="674" spans="1:1" s="287" customFormat="1" ht="12" hidden="1" customHeight="1">
      <c r="A674" s="286"/>
    </row>
    <row r="675" spans="1:1" s="287" customFormat="1" ht="12" hidden="1" customHeight="1">
      <c r="A675" s="286"/>
    </row>
    <row r="676" spans="1:1" s="287" customFormat="1" ht="12" hidden="1" customHeight="1">
      <c r="A676" s="286"/>
    </row>
    <row r="677" spans="1:1" s="287" customFormat="1" ht="12" hidden="1" customHeight="1">
      <c r="A677" s="286"/>
    </row>
    <row r="678" spans="1:1" s="287" customFormat="1" ht="12" hidden="1" customHeight="1">
      <c r="A678" s="286"/>
    </row>
    <row r="679" spans="1:1" s="287" customFormat="1" ht="12" hidden="1" customHeight="1">
      <c r="A679" s="286"/>
    </row>
    <row r="680" spans="1:1" s="287" customFormat="1" ht="12" hidden="1" customHeight="1">
      <c r="A680" s="286"/>
    </row>
    <row r="681" spans="1:1" s="287" customFormat="1" ht="12" hidden="1" customHeight="1">
      <c r="A681" s="286"/>
    </row>
    <row r="682" spans="1:1" s="287" customFormat="1" ht="12" hidden="1" customHeight="1">
      <c r="A682" s="286"/>
    </row>
    <row r="683" spans="1:1" s="287" customFormat="1" ht="12" hidden="1" customHeight="1">
      <c r="A683" s="286"/>
    </row>
    <row r="684" spans="1:1" s="287" customFormat="1" ht="12" hidden="1" customHeight="1">
      <c r="A684" s="286"/>
    </row>
    <row r="685" spans="1:1" s="287" customFormat="1" ht="12" hidden="1" customHeight="1">
      <c r="A685" s="286"/>
    </row>
    <row r="686" spans="1:1" s="287" customFormat="1" ht="12" hidden="1" customHeight="1">
      <c r="A686" s="286"/>
    </row>
    <row r="687" spans="1:1" s="287" customFormat="1" ht="12" hidden="1" customHeight="1">
      <c r="A687" s="286"/>
    </row>
    <row r="688" spans="1:1" s="287" customFormat="1" ht="12" hidden="1" customHeight="1">
      <c r="A688" s="286"/>
    </row>
    <row r="689" spans="1:1" s="287" customFormat="1" ht="12" hidden="1" customHeight="1">
      <c r="A689" s="286"/>
    </row>
    <row r="690" spans="1:1" s="287" customFormat="1" ht="12" hidden="1" customHeight="1">
      <c r="A690" s="286"/>
    </row>
    <row r="691" spans="1:1" s="287" customFormat="1" ht="12" hidden="1" customHeight="1">
      <c r="A691" s="286"/>
    </row>
    <row r="692" spans="1:1" s="287" customFormat="1" ht="12" hidden="1" customHeight="1">
      <c r="A692" s="286"/>
    </row>
    <row r="693" spans="1:1" s="287" customFormat="1" ht="12" hidden="1" customHeight="1">
      <c r="A693" s="286"/>
    </row>
    <row r="694" spans="1:1" s="287" customFormat="1" ht="12" hidden="1" customHeight="1">
      <c r="A694" s="286"/>
    </row>
    <row r="695" spans="1:1" s="287" customFormat="1" ht="12" hidden="1" customHeight="1">
      <c r="A695" s="286"/>
    </row>
    <row r="696" spans="1:1" s="287" customFormat="1" ht="12" hidden="1" customHeight="1">
      <c r="A696" s="286"/>
    </row>
    <row r="697" spans="1:1" s="287" customFormat="1" ht="12" hidden="1" customHeight="1">
      <c r="A697" s="286"/>
    </row>
    <row r="698" spans="1:1" s="287" customFormat="1" ht="12" hidden="1" customHeight="1">
      <c r="A698" s="286"/>
    </row>
    <row r="699" spans="1:1" s="287" customFormat="1" ht="12" hidden="1" customHeight="1">
      <c r="A699" s="286"/>
    </row>
    <row r="700" spans="1:1" s="287" customFormat="1" ht="12" hidden="1" customHeight="1">
      <c r="A700" s="286"/>
    </row>
    <row r="701" spans="1:1" s="287" customFormat="1" ht="12" hidden="1" customHeight="1">
      <c r="A701" s="286"/>
    </row>
    <row r="702" spans="1:1" s="287" customFormat="1" ht="12" hidden="1" customHeight="1">
      <c r="A702" s="286"/>
    </row>
    <row r="703" spans="1:1" s="287" customFormat="1" ht="12" hidden="1" customHeight="1">
      <c r="A703" s="286"/>
    </row>
    <row r="704" spans="1:1" s="287" customFormat="1" ht="12" hidden="1" customHeight="1">
      <c r="A704" s="286"/>
    </row>
    <row r="705" spans="1:1" s="287" customFormat="1" ht="12" hidden="1" customHeight="1">
      <c r="A705" s="286"/>
    </row>
    <row r="706" spans="1:1" s="287" customFormat="1" ht="12" hidden="1" customHeight="1">
      <c r="A706" s="286"/>
    </row>
    <row r="707" spans="1:1" s="287" customFormat="1" ht="12" hidden="1" customHeight="1">
      <c r="A707" s="286"/>
    </row>
    <row r="708" spans="1:1" s="287" customFormat="1" ht="12" hidden="1" customHeight="1">
      <c r="A708" s="286"/>
    </row>
    <row r="709" spans="1:1" s="287" customFormat="1" ht="12" hidden="1" customHeight="1">
      <c r="A709" s="286"/>
    </row>
    <row r="710" spans="1:1" s="287" customFormat="1" ht="12" hidden="1" customHeight="1">
      <c r="A710" s="286"/>
    </row>
    <row r="711" spans="1:1" s="287" customFormat="1" ht="12" hidden="1" customHeight="1">
      <c r="A711" s="286"/>
    </row>
    <row r="712" spans="1:1" s="287" customFormat="1" ht="12" hidden="1" customHeight="1">
      <c r="A712" s="286"/>
    </row>
    <row r="713" spans="1:1" s="287" customFormat="1" ht="12" hidden="1" customHeight="1">
      <c r="A713" s="286"/>
    </row>
    <row r="714" spans="1:1" s="287" customFormat="1" ht="12" hidden="1" customHeight="1">
      <c r="A714" s="286"/>
    </row>
    <row r="715" spans="1:1" s="287" customFormat="1" ht="12" hidden="1" customHeight="1">
      <c r="A715" s="286"/>
    </row>
    <row r="716" spans="1:1" s="287" customFormat="1" ht="12" hidden="1" customHeight="1">
      <c r="A716" s="286"/>
    </row>
    <row r="717" spans="1:1" s="287" customFormat="1" ht="12" hidden="1" customHeight="1">
      <c r="A717" s="286"/>
    </row>
    <row r="718" spans="1:1" s="287" customFormat="1" ht="12" hidden="1" customHeight="1">
      <c r="A718" s="286"/>
    </row>
    <row r="719" spans="1:1" s="287" customFormat="1" ht="12" hidden="1" customHeight="1">
      <c r="A719" s="286"/>
    </row>
    <row r="720" spans="1:1" s="287" customFormat="1" ht="12" hidden="1" customHeight="1">
      <c r="A720" s="286"/>
    </row>
    <row r="721" spans="1:1" s="287" customFormat="1" ht="12" hidden="1" customHeight="1">
      <c r="A721" s="286"/>
    </row>
    <row r="722" spans="1:1" s="287" customFormat="1" ht="12" hidden="1" customHeight="1">
      <c r="A722" s="286"/>
    </row>
    <row r="723" spans="1:1" s="287" customFormat="1" ht="12" hidden="1" customHeight="1">
      <c r="A723" s="286"/>
    </row>
    <row r="724" spans="1:1" s="287" customFormat="1" ht="12" hidden="1" customHeight="1">
      <c r="A724" s="286"/>
    </row>
    <row r="725" spans="1:1" s="287" customFormat="1" ht="12" hidden="1" customHeight="1">
      <c r="A725" s="286"/>
    </row>
    <row r="726" spans="1:1" s="287" customFormat="1" ht="12" hidden="1" customHeight="1">
      <c r="A726" s="286"/>
    </row>
    <row r="727" spans="1:1" s="287" customFormat="1" ht="12" hidden="1" customHeight="1">
      <c r="A727" s="286"/>
    </row>
    <row r="728" spans="1:1" s="287" customFormat="1" ht="12" hidden="1" customHeight="1">
      <c r="A728" s="286"/>
    </row>
    <row r="729" spans="1:1" s="287" customFormat="1" ht="12" hidden="1" customHeight="1">
      <c r="A729" s="286"/>
    </row>
    <row r="730" spans="1:1" s="287" customFormat="1" ht="12" hidden="1" customHeight="1">
      <c r="A730" s="286"/>
    </row>
    <row r="731" spans="1:1" s="287" customFormat="1" ht="12" hidden="1" customHeight="1">
      <c r="A731" s="286"/>
    </row>
    <row r="732" spans="1:1" s="287" customFormat="1" ht="12" hidden="1" customHeight="1">
      <c r="A732" s="286"/>
    </row>
    <row r="733" spans="1:1" s="287" customFormat="1" ht="12" hidden="1" customHeight="1">
      <c r="A733" s="286"/>
    </row>
    <row r="734" spans="1:1" s="287" customFormat="1" ht="12" hidden="1" customHeight="1">
      <c r="A734" s="286"/>
    </row>
    <row r="735" spans="1:1" s="287" customFormat="1" ht="12" hidden="1" customHeight="1">
      <c r="A735" s="286"/>
    </row>
    <row r="736" spans="1:1" s="287" customFormat="1" ht="12" hidden="1" customHeight="1">
      <c r="A736" s="286"/>
    </row>
    <row r="737" spans="1:1" s="287" customFormat="1" ht="12" hidden="1" customHeight="1">
      <c r="A737" s="286"/>
    </row>
    <row r="738" spans="1:1" s="287" customFormat="1" ht="12" hidden="1" customHeight="1">
      <c r="A738" s="286"/>
    </row>
    <row r="739" spans="1:1" s="287" customFormat="1" ht="12" hidden="1" customHeight="1">
      <c r="A739" s="286"/>
    </row>
    <row r="740" spans="1:1" s="287" customFormat="1" ht="12" hidden="1" customHeight="1">
      <c r="A740" s="286"/>
    </row>
    <row r="741" spans="1:1" s="287" customFormat="1" ht="12" hidden="1" customHeight="1">
      <c r="A741" s="286"/>
    </row>
    <row r="742" spans="1:1" s="287" customFormat="1" ht="12" hidden="1" customHeight="1">
      <c r="A742" s="286"/>
    </row>
    <row r="743" spans="1:1" s="287" customFormat="1" ht="12" hidden="1" customHeight="1">
      <c r="A743" s="286"/>
    </row>
    <row r="744" spans="1:1" s="287" customFormat="1" ht="12" hidden="1" customHeight="1">
      <c r="A744" s="286"/>
    </row>
    <row r="745" spans="1:1" s="287" customFormat="1" ht="12" hidden="1" customHeight="1">
      <c r="A745" s="286"/>
    </row>
    <row r="746" spans="1:1" s="287" customFormat="1" ht="12" hidden="1" customHeight="1">
      <c r="A746" s="286"/>
    </row>
    <row r="747" spans="1:1" s="287" customFormat="1" ht="12" hidden="1" customHeight="1">
      <c r="A747" s="286"/>
    </row>
    <row r="748" spans="1:1" s="287" customFormat="1" ht="12" hidden="1" customHeight="1">
      <c r="A748" s="286"/>
    </row>
    <row r="749" spans="1:1" s="287" customFormat="1" ht="12" hidden="1" customHeight="1">
      <c r="A749" s="286"/>
    </row>
    <row r="750" spans="1:1" s="287" customFormat="1" ht="12" hidden="1" customHeight="1">
      <c r="A750" s="286"/>
    </row>
    <row r="751" spans="1:1" s="287" customFormat="1" ht="12" hidden="1" customHeight="1">
      <c r="A751" s="286"/>
    </row>
    <row r="752" spans="1:1" s="287" customFormat="1" ht="12" hidden="1" customHeight="1">
      <c r="A752" s="286"/>
    </row>
    <row r="753" spans="1:1" s="287" customFormat="1" ht="12" hidden="1" customHeight="1">
      <c r="A753" s="286"/>
    </row>
    <row r="754" spans="1:1" s="287" customFormat="1" ht="12" hidden="1" customHeight="1">
      <c r="A754" s="286"/>
    </row>
    <row r="755" spans="1:1" s="287" customFormat="1" ht="12" hidden="1" customHeight="1">
      <c r="A755" s="286"/>
    </row>
    <row r="756" spans="1:1" s="287" customFormat="1" ht="12" hidden="1" customHeight="1">
      <c r="A756" s="286"/>
    </row>
    <row r="757" spans="1:1" s="287" customFormat="1" ht="12" hidden="1" customHeight="1">
      <c r="A757" s="286"/>
    </row>
    <row r="758" spans="1:1" s="287" customFormat="1" ht="12" hidden="1" customHeight="1">
      <c r="A758" s="286"/>
    </row>
    <row r="759" spans="1:1" s="287" customFormat="1" ht="12" hidden="1" customHeight="1">
      <c r="A759" s="286"/>
    </row>
    <row r="760" spans="1:1" s="287" customFormat="1" ht="12" hidden="1" customHeight="1">
      <c r="A760" s="286"/>
    </row>
    <row r="761" spans="1:1" s="287" customFormat="1" ht="12" hidden="1" customHeight="1">
      <c r="A761" s="286"/>
    </row>
    <row r="762" spans="1:1" s="287" customFormat="1" ht="12" hidden="1" customHeight="1">
      <c r="A762" s="286"/>
    </row>
    <row r="763" spans="1:1" s="287" customFormat="1" ht="12" hidden="1" customHeight="1">
      <c r="A763" s="286"/>
    </row>
    <row r="764" spans="1:1" s="287" customFormat="1" ht="12" hidden="1" customHeight="1">
      <c r="A764" s="286"/>
    </row>
    <row r="765" spans="1:1" s="287" customFormat="1" ht="12" hidden="1" customHeight="1">
      <c r="A765" s="286"/>
    </row>
    <row r="766" spans="1:1" s="287" customFormat="1" ht="12" hidden="1" customHeight="1">
      <c r="A766" s="286"/>
    </row>
    <row r="767" spans="1:1" s="287" customFormat="1" ht="12" hidden="1" customHeight="1">
      <c r="A767" s="286"/>
    </row>
    <row r="768" spans="1:1" s="287" customFormat="1" ht="12" hidden="1" customHeight="1">
      <c r="A768" s="286"/>
    </row>
    <row r="769" spans="1:1" s="287" customFormat="1" ht="12" hidden="1" customHeight="1">
      <c r="A769" s="286"/>
    </row>
    <row r="770" spans="1:1" s="287" customFormat="1" ht="12" hidden="1" customHeight="1">
      <c r="A770" s="286"/>
    </row>
    <row r="771" spans="1:1" s="287" customFormat="1" ht="12" hidden="1" customHeight="1">
      <c r="A771" s="286"/>
    </row>
    <row r="772" spans="1:1" s="287" customFormat="1" ht="12" hidden="1" customHeight="1">
      <c r="A772" s="286"/>
    </row>
    <row r="773" spans="1:1" s="287" customFormat="1" ht="12" hidden="1" customHeight="1">
      <c r="A773" s="286"/>
    </row>
    <row r="774" spans="1:1" s="287" customFormat="1" ht="12" hidden="1" customHeight="1">
      <c r="A774" s="286"/>
    </row>
    <row r="775" spans="1:1" s="287" customFormat="1" ht="12" hidden="1" customHeight="1">
      <c r="A775" s="286"/>
    </row>
    <row r="776" spans="1:1" s="287" customFormat="1" ht="12" hidden="1" customHeight="1">
      <c r="A776" s="286"/>
    </row>
    <row r="777" spans="1:1" s="287" customFormat="1" ht="12" hidden="1" customHeight="1">
      <c r="A777" s="286"/>
    </row>
    <row r="778" spans="1:1" s="287" customFormat="1" ht="12" hidden="1" customHeight="1">
      <c r="A778" s="286"/>
    </row>
    <row r="779" spans="1:1" s="287" customFormat="1" ht="12" hidden="1" customHeight="1">
      <c r="A779" s="286"/>
    </row>
    <row r="780" spans="1:1" s="287" customFormat="1" ht="12" hidden="1" customHeight="1">
      <c r="A780" s="286"/>
    </row>
    <row r="781" spans="1:1" s="287" customFormat="1" ht="12" hidden="1" customHeight="1">
      <c r="A781" s="286"/>
    </row>
    <row r="782" spans="1:1" s="287" customFormat="1" ht="12" hidden="1" customHeight="1">
      <c r="A782" s="286"/>
    </row>
    <row r="783" spans="1:1" s="287" customFormat="1" ht="12" hidden="1" customHeight="1">
      <c r="A783" s="286"/>
    </row>
    <row r="784" spans="1:1" s="287" customFormat="1" ht="12" hidden="1" customHeight="1">
      <c r="A784" s="286"/>
    </row>
    <row r="785" spans="1:1" s="287" customFormat="1" ht="12" hidden="1" customHeight="1">
      <c r="A785" s="286"/>
    </row>
    <row r="786" spans="1:1" s="287" customFormat="1" ht="12" hidden="1" customHeight="1">
      <c r="A786" s="286"/>
    </row>
    <row r="787" spans="1:1" s="287" customFormat="1" ht="12" hidden="1" customHeight="1">
      <c r="A787" s="286"/>
    </row>
    <row r="788" spans="1:1" s="287" customFormat="1" ht="12" hidden="1" customHeight="1">
      <c r="A788" s="286"/>
    </row>
    <row r="789" spans="1:1" s="287" customFormat="1" ht="12" hidden="1" customHeight="1">
      <c r="A789" s="286"/>
    </row>
    <row r="790" spans="1:1" s="287" customFormat="1" ht="12" hidden="1" customHeight="1">
      <c r="A790" s="286"/>
    </row>
    <row r="791" spans="1:1" s="287" customFormat="1" ht="12" hidden="1" customHeight="1">
      <c r="A791" s="286"/>
    </row>
    <row r="792" spans="1:1" s="287" customFormat="1" ht="12" hidden="1" customHeight="1">
      <c r="A792" s="286"/>
    </row>
    <row r="793" spans="1:1" s="287" customFormat="1" ht="12" hidden="1" customHeight="1">
      <c r="A793" s="286"/>
    </row>
    <row r="794" spans="1:1" s="287" customFormat="1" ht="12" hidden="1" customHeight="1">
      <c r="A794" s="286"/>
    </row>
    <row r="795" spans="1:1" s="287" customFormat="1" ht="12" hidden="1" customHeight="1">
      <c r="A795" s="286"/>
    </row>
    <row r="796" spans="1:1" s="287" customFormat="1" ht="12" hidden="1" customHeight="1">
      <c r="A796" s="286"/>
    </row>
    <row r="797" spans="1:1" s="287" customFormat="1" ht="12" hidden="1" customHeight="1">
      <c r="A797" s="286"/>
    </row>
    <row r="798" spans="1:1" s="287" customFormat="1" ht="12" hidden="1" customHeight="1">
      <c r="A798" s="286"/>
    </row>
    <row r="799" spans="1:1" s="287" customFormat="1" ht="12" hidden="1" customHeight="1">
      <c r="A799" s="286"/>
    </row>
    <row r="800" spans="1:1" s="287" customFormat="1" ht="12" hidden="1" customHeight="1">
      <c r="A800" s="286"/>
    </row>
    <row r="801" spans="1:1" s="287" customFormat="1" ht="12" hidden="1" customHeight="1">
      <c r="A801" s="286"/>
    </row>
    <row r="802" spans="1:1" s="287" customFormat="1" ht="12" hidden="1" customHeight="1">
      <c r="A802" s="286"/>
    </row>
    <row r="803" spans="1:1" s="287" customFormat="1" ht="12" hidden="1" customHeight="1">
      <c r="A803" s="286"/>
    </row>
    <row r="804" spans="1:1" s="287" customFormat="1" ht="12" hidden="1" customHeight="1">
      <c r="A804" s="286"/>
    </row>
    <row r="805" spans="1:1" s="287" customFormat="1" ht="12" hidden="1" customHeight="1">
      <c r="A805" s="286"/>
    </row>
    <row r="806" spans="1:1" s="287" customFormat="1" ht="12" hidden="1" customHeight="1">
      <c r="A806" s="286"/>
    </row>
    <row r="807" spans="1:1" s="287" customFormat="1" ht="12" hidden="1" customHeight="1">
      <c r="A807" s="286"/>
    </row>
    <row r="808" spans="1:1" s="287" customFormat="1" ht="12" hidden="1" customHeight="1">
      <c r="A808" s="286"/>
    </row>
    <row r="809" spans="1:1" s="287" customFormat="1" ht="12" hidden="1" customHeight="1">
      <c r="A809" s="286"/>
    </row>
    <row r="810" spans="1:1" s="287" customFormat="1" ht="12" hidden="1" customHeight="1">
      <c r="A810" s="286"/>
    </row>
    <row r="811" spans="1:1" s="287" customFormat="1" ht="12" hidden="1" customHeight="1">
      <c r="A811" s="286"/>
    </row>
    <row r="812" spans="1:1" s="287" customFormat="1" ht="12" hidden="1" customHeight="1">
      <c r="A812" s="286"/>
    </row>
    <row r="813" spans="1:1" s="287" customFormat="1" ht="12" hidden="1" customHeight="1">
      <c r="A813" s="286"/>
    </row>
    <row r="814" spans="1:1" s="287" customFormat="1" ht="12" hidden="1" customHeight="1">
      <c r="A814" s="286"/>
    </row>
    <row r="815" spans="1:1" s="287" customFormat="1" ht="12" hidden="1" customHeight="1">
      <c r="A815" s="286"/>
    </row>
    <row r="816" spans="1:1" s="287" customFormat="1" ht="12" hidden="1" customHeight="1">
      <c r="A816" s="286"/>
    </row>
    <row r="817" spans="1:1" s="287" customFormat="1" ht="12" hidden="1" customHeight="1">
      <c r="A817" s="286"/>
    </row>
    <row r="818" spans="1:1" s="287" customFormat="1" ht="12" hidden="1" customHeight="1">
      <c r="A818" s="286"/>
    </row>
    <row r="819" spans="1:1" s="287" customFormat="1" ht="12" hidden="1" customHeight="1">
      <c r="A819" s="286"/>
    </row>
    <row r="820" spans="1:1" s="287" customFormat="1" ht="12" hidden="1" customHeight="1">
      <c r="A820" s="286"/>
    </row>
    <row r="821" spans="1:1" s="287" customFormat="1" ht="12" hidden="1" customHeight="1">
      <c r="A821" s="286"/>
    </row>
    <row r="822" spans="1:1" s="287" customFormat="1" ht="12" hidden="1" customHeight="1">
      <c r="A822" s="286"/>
    </row>
    <row r="823" spans="1:1" s="287" customFormat="1" ht="12" hidden="1" customHeight="1">
      <c r="A823" s="286"/>
    </row>
    <row r="824" spans="1:1" s="287" customFormat="1" ht="12" hidden="1" customHeight="1">
      <c r="A824" s="286"/>
    </row>
    <row r="825" spans="1:1" s="287" customFormat="1" ht="12" hidden="1" customHeight="1">
      <c r="A825" s="286"/>
    </row>
    <row r="826" spans="1:1" s="287" customFormat="1" ht="12" hidden="1" customHeight="1">
      <c r="A826" s="286"/>
    </row>
    <row r="827" spans="1:1" s="287" customFormat="1" ht="12" hidden="1" customHeight="1">
      <c r="A827" s="286"/>
    </row>
    <row r="828" spans="1:1" s="287" customFormat="1" ht="12" hidden="1" customHeight="1">
      <c r="A828" s="286"/>
    </row>
    <row r="829" spans="1:1" s="287" customFormat="1" ht="12" hidden="1" customHeight="1">
      <c r="A829" s="286"/>
    </row>
    <row r="830" spans="1:1" s="287" customFormat="1" ht="12" hidden="1" customHeight="1">
      <c r="A830" s="286"/>
    </row>
    <row r="831" spans="1:1" s="287" customFormat="1" ht="12" hidden="1" customHeight="1">
      <c r="A831" s="286"/>
    </row>
    <row r="832" spans="1:1" s="287" customFormat="1" ht="12" hidden="1" customHeight="1">
      <c r="A832" s="286"/>
    </row>
    <row r="833" spans="1:1" s="287" customFormat="1" ht="12" hidden="1" customHeight="1">
      <c r="A833" s="286"/>
    </row>
    <row r="834" spans="1:1" s="287" customFormat="1" ht="12" hidden="1" customHeight="1">
      <c r="A834" s="286"/>
    </row>
    <row r="835" spans="1:1" s="287" customFormat="1" ht="12" hidden="1" customHeight="1">
      <c r="A835" s="286"/>
    </row>
    <row r="836" spans="1:1" s="287" customFormat="1" ht="12" hidden="1" customHeight="1">
      <c r="A836" s="286"/>
    </row>
    <row r="837" spans="1:1" s="287" customFormat="1" ht="12" hidden="1" customHeight="1">
      <c r="A837" s="286"/>
    </row>
    <row r="838" spans="1:1" s="287" customFormat="1" ht="12" hidden="1" customHeight="1">
      <c r="A838" s="286"/>
    </row>
    <row r="839" spans="1:1" s="287" customFormat="1" ht="12" hidden="1" customHeight="1">
      <c r="A839" s="286"/>
    </row>
    <row r="840" spans="1:1" s="287" customFormat="1" ht="12" hidden="1" customHeight="1">
      <c r="A840" s="286"/>
    </row>
    <row r="841" spans="1:1" s="287" customFormat="1" ht="12" hidden="1" customHeight="1">
      <c r="A841" s="286"/>
    </row>
    <row r="842" spans="1:1" s="287" customFormat="1" ht="12" hidden="1" customHeight="1">
      <c r="A842" s="286"/>
    </row>
    <row r="843" spans="1:1" s="287" customFormat="1" ht="12" hidden="1" customHeight="1">
      <c r="A843" s="286"/>
    </row>
    <row r="844" spans="1:1" s="287" customFormat="1" ht="12" hidden="1" customHeight="1">
      <c r="A844" s="286"/>
    </row>
    <row r="845" spans="1:1" s="287" customFormat="1" ht="12" hidden="1" customHeight="1">
      <c r="A845" s="286"/>
    </row>
    <row r="846" spans="1:1" s="287" customFormat="1" ht="12" hidden="1" customHeight="1">
      <c r="A846" s="286"/>
    </row>
    <row r="847" spans="1:1" s="287" customFormat="1" ht="12" hidden="1" customHeight="1">
      <c r="A847" s="286"/>
    </row>
    <row r="848" spans="1:1" s="287" customFormat="1" ht="12" hidden="1" customHeight="1">
      <c r="A848" s="286"/>
    </row>
    <row r="849" spans="1:1" s="287" customFormat="1" ht="12" hidden="1" customHeight="1">
      <c r="A849" s="286"/>
    </row>
    <row r="850" spans="1:1" s="287" customFormat="1" ht="12" hidden="1" customHeight="1">
      <c r="A850" s="286"/>
    </row>
    <row r="851" spans="1:1" s="287" customFormat="1" ht="12" hidden="1" customHeight="1">
      <c r="A851" s="286"/>
    </row>
    <row r="852" spans="1:1" s="287" customFormat="1" ht="12" hidden="1" customHeight="1">
      <c r="A852" s="286"/>
    </row>
    <row r="853" spans="1:1" s="287" customFormat="1" ht="12" hidden="1" customHeight="1">
      <c r="A853" s="286"/>
    </row>
    <row r="854" spans="1:1" s="287" customFormat="1" ht="12" hidden="1" customHeight="1">
      <c r="A854" s="286"/>
    </row>
    <row r="855" spans="1:1" s="287" customFormat="1" ht="12" hidden="1" customHeight="1">
      <c r="A855" s="286"/>
    </row>
    <row r="856" spans="1:1" s="287" customFormat="1" ht="12" hidden="1" customHeight="1">
      <c r="A856" s="286"/>
    </row>
    <row r="857" spans="1:1" s="287" customFormat="1" ht="12" hidden="1" customHeight="1">
      <c r="A857" s="286"/>
    </row>
    <row r="858" spans="1:1" s="287" customFormat="1" ht="12" hidden="1" customHeight="1">
      <c r="A858" s="286"/>
    </row>
    <row r="859" spans="1:1" s="287" customFormat="1" ht="12" hidden="1" customHeight="1">
      <c r="A859" s="286"/>
    </row>
    <row r="860" spans="1:1" s="287" customFormat="1" ht="12" hidden="1" customHeight="1">
      <c r="A860" s="286"/>
    </row>
    <row r="861" spans="1:1" s="287" customFormat="1" ht="12" hidden="1" customHeight="1">
      <c r="A861" s="286"/>
    </row>
    <row r="862" spans="1:1" s="287" customFormat="1" ht="12" hidden="1" customHeight="1">
      <c r="A862" s="286"/>
    </row>
    <row r="863" spans="1:1" s="287" customFormat="1" ht="12" hidden="1" customHeight="1">
      <c r="A863" s="286"/>
    </row>
    <row r="864" spans="1:1" s="287" customFormat="1" ht="12" hidden="1" customHeight="1">
      <c r="A864" s="286"/>
    </row>
    <row r="865" spans="1:1" s="287" customFormat="1" ht="12" hidden="1" customHeight="1">
      <c r="A865" s="286"/>
    </row>
    <row r="866" spans="1:1" s="287" customFormat="1" ht="12" hidden="1" customHeight="1">
      <c r="A866" s="286"/>
    </row>
    <row r="867" spans="1:1" s="287" customFormat="1" ht="12" hidden="1" customHeight="1">
      <c r="A867" s="286"/>
    </row>
    <row r="868" spans="1:1" s="287" customFormat="1" ht="12" hidden="1" customHeight="1">
      <c r="A868" s="286"/>
    </row>
    <row r="869" spans="1:1" s="287" customFormat="1" ht="12" hidden="1" customHeight="1">
      <c r="A869" s="286"/>
    </row>
    <row r="870" spans="1:1" s="287" customFormat="1" ht="12" hidden="1" customHeight="1">
      <c r="A870" s="286"/>
    </row>
    <row r="871" spans="1:1" s="287" customFormat="1" ht="12" hidden="1" customHeight="1">
      <c r="A871" s="286"/>
    </row>
    <row r="872" spans="1:1" s="287" customFormat="1" ht="12" hidden="1" customHeight="1">
      <c r="A872" s="286"/>
    </row>
    <row r="873" spans="1:1" s="287" customFormat="1" ht="12" hidden="1" customHeight="1">
      <c r="A873" s="286"/>
    </row>
    <row r="874" spans="1:1" s="287" customFormat="1" ht="12" hidden="1" customHeight="1">
      <c r="A874" s="286"/>
    </row>
    <row r="875" spans="1:1" s="287" customFormat="1" ht="12" hidden="1" customHeight="1">
      <c r="A875" s="286"/>
    </row>
    <row r="876" spans="1:1" s="287" customFormat="1" ht="12" hidden="1" customHeight="1">
      <c r="A876" s="286"/>
    </row>
    <row r="877" spans="1:1" s="287" customFormat="1" ht="12" hidden="1" customHeight="1">
      <c r="A877" s="286"/>
    </row>
    <row r="878" spans="1:1" s="287" customFormat="1" ht="12" hidden="1" customHeight="1">
      <c r="A878" s="286"/>
    </row>
    <row r="879" spans="1:1" s="287" customFormat="1" ht="12" hidden="1" customHeight="1">
      <c r="A879" s="286"/>
    </row>
    <row r="880" spans="1:1" s="287" customFormat="1" ht="12" hidden="1" customHeight="1">
      <c r="A880" s="286"/>
    </row>
    <row r="881" spans="1:1" s="287" customFormat="1" ht="12" hidden="1" customHeight="1">
      <c r="A881" s="286"/>
    </row>
    <row r="882" spans="1:1" s="287" customFormat="1" ht="12" hidden="1" customHeight="1">
      <c r="A882" s="286"/>
    </row>
    <row r="883" spans="1:1" s="287" customFormat="1" ht="12" hidden="1" customHeight="1">
      <c r="A883" s="286"/>
    </row>
    <row r="884" spans="1:1" s="287" customFormat="1" ht="12" hidden="1" customHeight="1">
      <c r="A884" s="286"/>
    </row>
    <row r="885" spans="1:1" s="287" customFormat="1" ht="12" hidden="1" customHeight="1">
      <c r="A885" s="286"/>
    </row>
    <row r="886" spans="1:1" s="287" customFormat="1" ht="12" hidden="1" customHeight="1">
      <c r="A886" s="286"/>
    </row>
    <row r="887" spans="1:1" s="287" customFormat="1" ht="12" hidden="1" customHeight="1">
      <c r="A887" s="286"/>
    </row>
    <row r="888" spans="1:1" s="287" customFormat="1" ht="12" hidden="1" customHeight="1">
      <c r="A888" s="286"/>
    </row>
    <row r="889" spans="1:1" s="287" customFormat="1" ht="12" hidden="1" customHeight="1">
      <c r="A889" s="286"/>
    </row>
    <row r="890" spans="1:1" s="287" customFormat="1" ht="12" hidden="1" customHeight="1">
      <c r="A890" s="286"/>
    </row>
    <row r="891" spans="1:1" s="287" customFormat="1" ht="12" hidden="1" customHeight="1">
      <c r="A891" s="286"/>
    </row>
    <row r="892" spans="1:1" s="287" customFormat="1" ht="12" hidden="1" customHeight="1">
      <c r="A892" s="286"/>
    </row>
    <row r="893" spans="1:1" s="287" customFormat="1" ht="12" hidden="1" customHeight="1">
      <c r="A893" s="286"/>
    </row>
    <row r="894" spans="1:1" s="287" customFormat="1" ht="12" hidden="1" customHeight="1">
      <c r="A894" s="286"/>
    </row>
    <row r="895" spans="1:1" s="287" customFormat="1" ht="12" hidden="1" customHeight="1">
      <c r="A895" s="286"/>
    </row>
    <row r="896" spans="1:1" s="287" customFormat="1" ht="12" hidden="1" customHeight="1">
      <c r="A896" s="286"/>
    </row>
    <row r="897" spans="1:1" s="287" customFormat="1" ht="12" hidden="1" customHeight="1">
      <c r="A897" s="286"/>
    </row>
    <row r="898" spans="1:1" s="287" customFormat="1" ht="12" hidden="1" customHeight="1">
      <c r="A898" s="286"/>
    </row>
    <row r="899" spans="1:1" s="287" customFormat="1" ht="12" hidden="1" customHeight="1">
      <c r="A899" s="286"/>
    </row>
    <row r="900" spans="1:1" s="287" customFormat="1" ht="12" hidden="1" customHeight="1">
      <c r="A900" s="286"/>
    </row>
    <row r="901" spans="1:1" s="287" customFormat="1" ht="12" hidden="1" customHeight="1">
      <c r="A901" s="286"/>
    </row>
    <row r="902" spans="1:1" s="287" customFormat="1" ht="12" hidden="1" customHeight="1">
      <c r="A902" s="286"/>
    </row>
    <row r="903" spans="1:1" s="287" customFormat="1" ht="12" hidden="1" customHeight="1">
      <c r="A903" s="286"/>
    </row>
    <row r="904" spans="1:1" s="287" customFormat="1" ht="12" hidden="1" customHeight="1">
      <c r="A904" s="286"/>
    </row>
    <row r="905" spans="1:1" s="287" customFormat="1" ht="12" hidden="1" customHeight="1">
      <c r="A905" s="286"/>
    </row>
    <row r="906" spans="1:1" s="287" customFormat="1" ht="12" hidden="1" customHeight="1">
      <c r="A906" s="286"/>
    </row>
    <row r="907" spans="1:1" s="287" customFormat="1" ht="12" hidden="1" customHeight="1">
      <c r="A907" s="286"/>
    </row>
    <row r="908" spans="1:1" s="287" customFormat="1" ht="12" hidden="1" customHeight="1">
      <c r="A908" s="286"/>
    </row>
    <row r="909" spans="1:1" s="287" customFormat="1" ht="12" hidden="1" customHeight="1">
      <c r="A909" s="286"/>
    </row>
    <row r="910" spans="1:1" s="287" customFormat="1" ht="12" hidden="1" customHeight="1">
      <c r="A910" s="286"/>
    </row>
    <row r="911" spans="1:1" s="287" customFormat="1" ht="12" hidden="1" customHeight="1">
      <c r="A911" s="286"/>
    </row>
    <row r="912" spans="1:1" s="287" customFormat="1" ht="12" hidden="1" customHeight="1">
      <c r="A912" s="286"/>
    </row>
    <row r="913" spans="1:1" s="287" customFormat="1" ht="12" hidden="1" customHeight="1">
      <c r="A913" s="286"/>
    </row>
    <row r="914" spans="1:1" s="287" customFormat="1" ht="12" hidden="1" customHeight="1">
      <c r="A914" s="286"/>
    </row>
    <row r="915" spans="1:1" s="287" customFormat="1" ht="12" hidden="1" customHeight="1">
      <c r="A915" s="286"/>
    </row>
    <row r="916" spans="1:1" s="287" customFormat="1" ht="12" hidden="1" customHeight="1">
      <c r="A916" s="286"/>
    </row>
    <row r="917" spans="1:1" s="287" customFormat="1" ht="12" hidden="1" customHeight="1">
      <c r="A917" s="286"/>
    </row>
    <row r="918" spans="1:1" s="287" customFormat="1" ht="12" hidden="1" customHeight="1">
      <c r="A918" s="286"/>
    </row>
    <row r="919" spans="1:1" s="287" customFormat="1" ht="12" hidden="1" customHeight="1">
      <c r="A919" s="286"/>
    </row>
    <row r="920" spans="1:1" s="287" customFormat="1" ht="12" hidden="1" customHeight="1">
      <c r="A920" s="286"/>
    </row>
    <row r="921" spans="1:1" s="287" customFormat="1" ht="12" hidden="1" customHeight="1">
      <c r="A921" s="286"/>
    </row>
    <row r="922" spans="1:1" s="287" customFormat="1" ht="12" hidden="1" customHeight="1">
      <c r="A922" s="286"/>
    </row>
    <row r="923" spans="1:1" s="287" customFormat="1" ht="12" hidden="1" customHeight="1">
      <c r="A923" s="286"/>
    </row>
    <row r="924" spans="1:1" s="287" customFormat="1" ht="12" hidden="1" customHeight="1">
      <c r="A924" s="286"/>
    </row>
    <row r="925" spans="1:1" s="287" customFormat="1" ht="12" hidden="1" customHeight="1">
      <c r="A925" s="286"/>
    </row>
    <row r="926" spans="1:1" s="287" customFormat="1" ht="12" hidden="1" customHeight="1">
      <c r="A926" s="286"/>
    </row>
    <row r="927" spans="1:1" s="287" customFormat="1" ht="12" hidden="1" customHeight="1">
      <c r="A927" s="286"/>
    </row>
    <row r="928" spans="1:1" s="287" customFormat="1" ht="12" hidden="1" customHeight="1">
      <c r="A928" s="286"/>
    </row>
    <row r="929" spans="1:1" s="287" customFormat="1" ht="12" hidden="1" customHeight="1">
      <c r="A929" s="286"/>
    </row>
    <row r="930" spans="1:1" s="287" customFormat="1" ht="12" hidden="1" customHeight="1">
      <c r="A930" s="286"/>
    </row>
    <row r="931" spans="1:1" s="287" customFormat="1" ht="12" hidden="1" customHeight="1">
      <c r="A931" s="286"/>
    </row>
    <row r="932" spans="1:1" s="287" customFormat="1" ht="12" hidden="1" customHeight="1">
      <c r="A932" s="286"/>
    </row>
    <row r="933" spans="1:1" s="287" customFormat="1" ht="12" hidden="1" customHeight="1">
      <c r="A933" s="286"/>
    </row>
    <row r="934" spans="1:1" s="287" customFormat="1" ht="12" hidden="1" customHeight="1">
      <c r="A934" s="286"/>
    </row>
    <row r="935" spans="1:1" s="287" customFormat="1" ht="12" hidden="1" customHeight="1">
      <c r="A935" s="286"/>
    </row>
    <row r="936" spans="1:1" s="287" customFormat="1" ht="12" hidden="1" customHeight="1">
      <c r="A936" s="286"/>
    </row>
    <row r="937" spans="1:1" s="287" customFormat="1" ht="12" hidden="1" customHeight="1">
      <c r="A937" s="286"/>
    </row>
    <row r="938" spans="1:1" s="287" customFormat="1" ht="12" hidden="1" customHeight="1">
      <c r="A938" s="286"/>
    </row>
    <row r="939" spans="1:1" s="287" customFormat="1" ht="12" hidden="1" customHeight="1">
      <c r="A939" s="286"/>
    </row>
    <row r="940" spans="1:1" s="287" customFormat="1" ht="12" hidden="1" customHeight="1">
      <c r="A940" s="286"/>
    </row>
    <row r="941" spans="1:1" s="287" customFormat="1" ht="12" hidden="1" customHeight="1">
      <c r="A941" s="286"/>
    </row>
    <row r="942" spans="1:1" s="287" customFormat="1" ht="12" hidden="1" customHeight="1">
      <c r="A942" s="286"/>
    </row>
    <row r="943" spans="1:1" s="287" customFormat="1" ht="12" hidden="1" customHeight="1">
      <c r="A943" s="286"/>
    </row>
    <row r="944" spans="1:1" s="287" customFormat="1" ht="12" hidden="1" customHeight="1">
      <c r="A944" s="286"/>
    </row>
    <row r="945" spans="1:1" s="287" customFormat="1" ht="12" hidden="1" customHeight="1">
      <c r="A945" s="286"/>
    </row>
    <row r="946" spans="1:1" s="287" customFormat="1" ht="12" hidden="1" customHeight="1">
      <c r="A946" s="286"/>
    </row>
    <row r="947" spans="1:1" s="287" customFormat="1" ht="12" hidden="1" customHeight="1">
      <c r="A947" s="286"/>
    </row>
    <row r="948" spans="1:1" s="287" customFormat="1" ht="12" hidden="1" customHeight="1">
      <c r="A948" s="286"/>
    </row>
    <row r="949" spans="1:1" s="287" customFormat="1" ht="12" hidden="1" customHeight="1">
      <c r="A949" s="286"/>
    </row>
    <row r="950" spans="1:1" s="287" customFormat="1" ht="12" hidden="1" customHeight="1">
      <c r="A950" s="286"/>
    </row>
    <row r="951" spans="1:1" s="287" customFormat="1" ht="12" hidden="1" customHeight="1">
      <c r="A951" s="286"/>
    </row>
    <row r="952" spans="1:1" s="287" customFormat="1" ht="12" hidden="1" customHeight="1">
      <c r="A952" s="286"/>
    </row>
    <row r="953" spans="1:1" s="287" customFormat="1" ht="12" hidden="1" customHeight="1">
      <c r="A953" s="286"/>
    </row>
    <row r="954" spans="1:1" s="287" customFormat="1" ht="12" hidden="1" customHeight="1">
      <c r="A954" s="286"/>
    </row>
    <row r="955" spans="1:1" s="287" customFormat="1" ht="12" hidden="1" customHeight="1">
      <c r="A955" s="286"/>
    </row>
    <row r="956" spans="1:1" s="287" customFormat="1" ht="12" hidden="1" customHeight="1">
      <c r="A956" s="286"/>
    </row>
    <row r="957" spans="1:1" s="287" customFormat="1" ht="12" hidden="1" customHeight="1">
      <c r="A957" s="286"/>
    </row>
    <row r="958" spans="1:1" s="287" customFormat="1" ht="12" hidden="1" customHeight="1">
      <c r="A958" s="286"/>
    </row>
    <row r="959" spans="1:1" s="287" customFormat="1" ht="12" hidden="1" customHeight="1">
      <c r="A959" s="286"/>
    </row>
    <row r="960" spans="1:1" s="287" customFormat="1" ht="12" hidden="1" customHeight="1">
      <c r="A960" s="286"/>
    </row>
    <row r="961" spans="1:1" s="287" customFormat="1" ht="12" hidden="1" customHeight="1">
      <c r="A961" s="286"/>
    </row>
    <row r="962" spans="1:1" s="287" customFormat="1" ht="12" hidden="1" customHeight="1">
      <c r="A962" s="286"/>
    </row>
    <row r="963" spans="1:1" s="287" customFormat="1" ht="12" hidden="1" customHeight="1">
      <c r="A963" s="286"/>
    </row>
    <row r="964" spans="1:1" s="287" customFormat="1" ht="12" hidden="1" customHeight="1">
      <c r="A964" s="286"/>
    </row>
    <row r="965" spans="1:1" s="287" customFormat="1" ht="12" hidden="1" customHeight="1">
      <c r="A965" s="286"/>
    </row>
    <row r="966" spans="1:1" s="287" customFormat="1" ht="12" hidden="1" customHeight="1">
      <c r="A966" s="286"/>
    </row>
    <row r="967" spans="1:1" s="287" customFormat="1" ht="12" hidden="1" customHeight="1">
      <c r="A967" s="286"/>
    </row>
    <row r="968" spans="1:1" s="287" customFormat="1" ht="12" hidden="1" customHeight="1">
      <c r="A968" s="286"/>
    </row>
    <row r="969" spans="1:1" s="287" customFormat="1" ht="12" hidden="1" customHeight="1">
      <c r="A969" s="286"/>
    </row>
    <row r="970" spans="1:1" s="287" customFormat="1" ht="12" hidden="1" customHeight="1">
      <c r="A970" s="286"/>
    </row>
    <row r="971" spans="1:1" s="287" customFormat="1" ht="12" hidden="1" customHeight="1">
      <c r="A971" s="286"/>
    </row>
    <row r="972" spans="1:1" s="287" customFormat="1" ht="12" hidden="1" customHeight="1">
      <c r="A972" s="286"/>
    </row>
    <row r="973" spans="1:1" s="287" customFormat="1" ht="12" hidden="1" customHeight="1">
      <c r="A973" s="286"/>
    </row>
    <row r="974" spans="1:1" s="287" customFormat="1" ht="12" hidden="1" customHeight="1">
      <c r="A974" s="286"/>
    </row>
    <row r="975" spans="1:1" s="287" customFormat="1" ht="12" hidden="1" customHeight="1">
      <c r="A975" s="286"/>
    </row>
    <row r="976" spans="1:1" s="287" customFormat="1" ht="12" hidden="1" customHeight="1">
      <c r="A976" s="286"/>
    </row>
    <row r="977" spans="1:1" s="287" customFormat="1" ht="12" hidden="1" customHeight="1">
      <c r="A977" s="286"/>
    </row>
    <row r="978" spans="1:1" s="287" customFormat="1" ht="12" hidden="1" customHeight="1">
      <c r="A978" s="286"/>
    </row>
    <row r="979" spans="1:1" s="287" customFormat="1" ht="12" hidden="1" customHeight="1">
      <c r="A979" s="286"/>
    </row>
    <row r="980" spans="1:1" s="287" customFormat="1" ht="12" hidden="1" customHeight="1">
      <c r="A980" s="286"/>
    </row>
    <row r="981" spans="1:1" s="287" customFormat="1" ht="12" hidden="1" customHeight="1">
      <c r="A981" s="286"/>
    </row>
    <row r="982" spans="1:1" s="287" customFormat="1" ht="12" hidden="1" customHeight="1">
      <c r="A982" s="286"/>
    </row>
    <row r="983" spans="1:1" s="287" customFormat="1" ht="12" hidden="1" customHeight="1">
      <c r="A983" s="286"/>
    </row>
    <row r="984" spans="1:1" s="287" customFormat="1" ht="12" hidden="1" customHeight="1">
      <c r="A984" s="286"/>
    </row>
    <row r="985" spans="1:1" s="287" customFormat="1" ht="12" hidden="1" customHeight="1">
      <c r="A985" s="286"/>
    </row>
    <row r="986" spans="1:1" s="287" customFormat="1" ht="12" hidden="1" customHeight="1">
      <c r="A986" s="286"/>
    </row>
    <row r="987" spans="1:1" s="287" customFormat="1" ht="12" hidden="1" customHeight="1">
      <c r="A987" s="286"/>
    </row>
    <row r="988" spans="1:1" s="287" customFormat="1" ht="12" hidden="1" customHeight="1">
      <c r="A988" s="286"/>
    </row>
    <row r="989" spans="1:1" s="287" customFormat="1" ht="12" hidden="1" customHeight="1">
      <c r="A989" s="286"/>
    </row>
    <row r="990" spans="1:1" s="287" customFormat="1" ht="12" hidden="1" customHeight="1">
      <c r="A990" s="286"/>
    </row>
    <row r="991" spans="1:1" s="287" customFormat="1" ht="12" hidden="1" customHeight="1">
      <c r="A991" s="286"/>
    </row>
    <row r="992" spans="1:1" s="287" customFormat="1" ht="12" hidden="1" customHeight="1">
      <c r="A992" s="286"/>
    </row>
    <row r="993" spans="1:1" s="287" customFormat="1" ht="12" hidden="1" customHeight="1">
      <c r="A993" s="286"/>
    </row>
    <row r="994" spans="1:1" s="287" customFormat="1" ht="12" hidden="1" customHeight="1">
      <c r="A994" s="286"/>
    </row>
    <row r="995" spans="1:1" s="287" customFormat="1" ht="12" hidden="1" customHeight="1">
      <c r="A995" s="286"/>
    </row>
    <row r="996" spans="1:1" s="287" customFormat="1" ht="12" hidden="1" customHeight="1">
      <c r="A996" s="286"/>
    </row>
    <row r="997" spans="1:1" s="287" customFormat="1" ht="12" hidden="1" customHeight="1">
      <c r="A997" s="286"/>
    </row>
    <row r="998" spans="1:1" s="287" customFormat="1" ht="12" hidden="1" customHeight="1">
      <c r="A998" s="286"/>
    </row>
    <row r="999" spans="1:1" s="287" customFormat="1" ht="12" hidden="1" customHeight="1">
      <c r="A999" s="286"/>
    </row>
    <row r="1000" spans="1:1" s="287" customFormat="1" ht="12" hidden="1" customHeight="1">
      <c r="A1000" s="286"/>
    </row>
    <row r="1001" spans="1:1" s="287" customFormat="1" ht="12" hidden="1" customHeight="1">
      <c r="A1001" s="286"/>
    </row>
    <row r="1002" spans="1:1" s="287" customFormat="1" ht="12" hidden="1" customHeight="1">
      <c r="A1002" s="286"/>
    </row>
    <row r="1003" spans="1:1" s="287" customFormat="1" ht="12" hidden="1" customHeight="1">
      <c r="A1003" s="286"/>
    </row>
    <row r="1004" spans="1:1" s="287" customFormat="1" ht="12" hidden="1" customHeight="1">
      <c r="A1004" s="286"/>
    </row>
    <row r="1005" spans="1:1" s="287" customFormat="1" ht="12" hidden="1" customHeight="1">
      <c r="A1005" s="286"/>
    </row>
    <row r="1006" spans="1:1" s="287" customFormat="1" ht="12" hidden="1" customHeight="1">
      <c r="A1006" s="286"/>
    </row>
    <row r="1007" spans="1:1" s="287" customFormat="1" ht="12" hidden="1" customHeight="1">
      <c r="A1007" s="286"/>
    </row>
    <row r="1008" spans="1:1" s="287" customFormat="1" ht="12" hidden="1" customHeight="1">
      <c r="A1008" s="286"/>
    </row>
    <row r="1009" spans="1:1" s="287" customFormat="1" ht="12" hidden="1" customHeight="1">
      <c r="A1009" s="286"/>
    </row>
    <row r="1010" spans="1:1" s="287" customFormat="1" ht="12" hidden="1" customHeight="1">
      <c r="A1010" s="286"/>
    </row>
    <row r="1011" spans="1:1" s="287" customFormat="1" ht="12" hidden="1" customHeight="1">
      <c r="A1011" s="286"/>
    </row>
    <row r="1012" spans="1:1" s="287" customFormat="1" ht="12" hidden="1" customHeight="1">
      <c r="A1012" s="286"/>
    </row>
    <row r="1013" spans="1:1" s="287" customFormat="1" ht="12" hidden="1" customHeight="1">
      <c r="A1013" s="286"/>
    </row>
    <row r="1014" spans="1:1" s="287" customFormat="1" ht="12" hidden="1" customHeight="1">
      <c r="A1014" s="286"/>
    </row>
    <row r="1015" spans="1:1" s="287" customFormat="1" ht="12" hidden="1" customHeight="1">
      <c r="A1015" s="286"/>
    </row>
    <row r="1016" spans="1:1" s="287" customFormat="1" ht="12" hidden="1" customHeight="1">
      <c r="A1016" s="286"/>
    </row>
    <row r="1017" spans="1:1" s="287" customFormat="1" ht="12" hidden="1" customHeight="1">
      <c r="A1017" s="286"/>
    </row>
    <row r="1018" spans="1:1" s="287" customFormat="1" ht="12" hidden="1" customHeight="1">
      <c r="A1018" s="286"/>
    </row>
    <row r="1019" spans="1:1" s="287" customFormat="1" ht="12" hidden="1" customHeight="1">
      <c r="A1019" s="286"/>
    </row>
    <row r="1020" spans="1:1" s="287" customFormat="1" ht="12" hidden="1" customHeight="1">
      <c r="A1020" s="286"/>
    </row>
    <row r="1021" spans="1:1" s="287" customFormat="1" ht="12" hidden="1" customHeight="1">
      <c r="A1021" s="286"/>
    </row>
    <row r="1022" spans="1:1" s="287" customFormat="1" ht="12" hidden="1" customHeight="1">
      <c r="A1022" s="286"/>
    </row>
    <row r="1023" spans="1:1" s="287" customFormat="1" ht="12" hidden="1" customHeight="1">
      <c r="A1023" s="286"/>
    </row>
    <row r="1024" spans="1:1" s="287" customFormat="1" ht="12" hidden="1" customHeight="1">
      <c r="A1024" s="286"/>
    </row>
    <row r="1025" spans="1:1" s="287" customFormat="1" ht="12" hidden="1" customHeight="1">
      <c r="A1025" s="286"/>
    </row>
    <row r="1026" spans="1:1" s="287" customFormat="1" ht="12" hidden="1" customHeight="1">
      <c r="A1026" s="286"/>
    </row>
    <row r="1027" spans="1:1" s="287" customFormat="1" ht="12" hidden="1" customHeight="1">
      <c r="A1027" s="286"/>
    </row>
    <row r="1028" spans="1:1" s="287" customFormat="1" ht="12" hidden="1" customHeight="1">
      <c r="A1028" s="286"/>
    </row>
    <row r="1029" spans="1:1" s="287" customFormat="1" ht="12" hidden="1" customHeight="1">
      <c r="A1029" s="286"/>
    </row>
    <row r="1030" spans="1:1" s="287" customFormat="1" ht="12" hidden="1" customHeight="1">
      <c r="A1030" s="286"/>
    </row>
    <row r="1031" spans="1:1" s="287" customFormat="1" ht="12" hidden="1" customHeight="1">
      <c r="A1031" s="286"/>
    </row>
    <row r="1032" spans="1:1" s="287" customFormat="1" ht="12" hidden="1" customHeight="1">
      <c r="A1032" s="286"/>
    </row>
    <row r="1033" spans="1:1" s="287" customFormat="1" ht="12" hidden="1" customHeight="1">
      <c r="A1033" s="286"/>
    </row>
    <row r="1034" spans="1:1" s="287" customFormat="1" ht="12" hidden="1" customHeight="1">
      <c r="A1034" s="286"/>
    </row>
    <row r="1035" spans="1:1" s="287" customFormat="1" ht="12" hidden="1" customHeight="1">
      <c r="A1035" s="286"/>
    </row>
    <row r="1036" spans="1:1" s="287" customFormat="1" ht="12" hidden="1" customHeight="1">
      <c r="A1036" s="286"/>
    </row>
    <row r="1037" spans="1:1" s="287" customFormat="1" ht="12" hidden="1" customHeight="1">
      <c r="A1037" s="286"/>
    </row>
    <row r="1038" spans="1:1" s="287" customFormat="1" ht="12" hidden="1" customHeight="1">
      <c r="A1038" s="286"/>
    </row>
    <row r="1039" spans="1:1" s="287" customFormat="1" ht="12" hidden="1" customHeight="1">
      <c r="A1039" s="286"/>
    </row>
    <row r="1040" spans="1:1" s="287" customFormat="1" ht="12" hidden="1" customHeight="1">
      <c r="A1040" s="286"/>
    </row>
    <row r="1041" spans="1:1" s="287" customFormat="1" ht="12" hidden="1" customHeight="1">
      <c r="A1041" s="286"/>
    </row>
    <row r="1042" spans="1:1" s="287" customFormat="1" ht="12" hidden="1" customHeight="1">
      <c r="A1042" s="286"/>
    </row>
    <row r="1043" spans="1:1" s="287" customFormat="1" ht="12" hidden="1" customHeight="1">
      <c r="A1043" s="286"/>
    </row>
    <row r="1044" spans="1:1" s="287" customFormat="1" ht="12" hidden="1" customHeight="1">
      <c r="A1044" s="286"/>
    </row>
    <row r="1045" spans="1:1" s="287" customFormat="1" ht="12" hidden="1" customHeight="1">
      <c r="A1045" s="286"/>
    </row>
    <row r="1046" spans="1:1" s="287" customFormat="1" ht="12" hidden="1" customHeight="1">
      <c r="A1046" s="286"/>
    </row>
    <row r="1047" spans="1:1" s="287" customFormat="1" ht="12" hidden="1" customHeight="1">
      <c r="A1047" s="286"/>
    </row>
    <row r="1048" spans="1:1" s="287" customFormat="1" ht="12" hidden="1" customHeight="1">
      <c r="A1048" s="286"/>
    </row>
    <row r="1049" spans="1:1" s="287" customFormat="1" ht="12" hidden="1" customHeight="1">
      <c r="A1049" s="286"/>
    </row>
    <row r="1050" spans="1:1" s="287" customFormat="1" ht="12" hidden="1" customHeight="1">
      <c r="A1050" s="286"/>
    </row>
    <row r="1051" spans="1:1" s="287" customFormat="1" ht="12" hidden="1" customHeight="1">
      <c r="A1051" s="286"/>
    </row>
    <row r="1052" spans="1:1" s="287" customFormat="1" ht="12" hidden="1" customHeight="1">
      <c r="A1052" s="286"/>
    </row>
    <row r="1053" spans="1:1" s="287" customFormat="1" ht="12" hidden="1" customHeight="1">
      <c r="A1053" s="286"/>
    </row>
    <row r="1054" spans="1:1" s="287" customFormat="1" ht="12" hidden="1" customHeight="1">
      <c r="A1054" s="286"/>
    </row>
    <row r="1055" spans="1:1" s="287" customFormat="1" ht="12" hidden="1" customHeight="1">
      <c r="A1055" s="286"/>
    </row>
    <row r="1056" spans="1:1" s="287" customFormat="1" ht="12" hidden="1" customHeight="1">
      <c r="A1056" s="286"/>
    </row>
    <row r="1057" spans="1:1" s="287" customFormat="1" ht="12" hidden="1" customHeight="1">
      <c r="A1057" s="286"/>
    </row>
    <row r="1058" spans="1:1" s="287" customFormat="1" ht="12" hidden="1" customHeight="1">
      <c r="A1058" s="286"/>
    </row>
    <row r="1059" spans="1:1" s="287" customFormat="1" ht="12" hidden="1" customHeight="1">
      <c r="A1059" s="286"/>
    </row>
    <row r="1060" spans="1:1" s="287" customFormat="1" ht="12" hidden="1" customHeight="1">
      <c r="A1060" s="286"/>
    </row>
    <row r="1061" spans="1:1" s="287" customFormat="1" ht="12" hidden="1" customHeight="1">
      <c r="A1061" s="286"/>
    </row>
    <row r="1062" spans="1:1" s="287" customFormat="1" ht="12" hidden="1" customHeight="1">
      <c r="A1062" s="286"/>
    </row>
    <row r="1063" spans="1:1" s="287" customFormat="1" ht="12" hidden="1" customHeight="1">
      <c r="A1063" s="286"/>
    </row>
    <row r="1064" spans="1:1" s="287" customFormat="1" ht="12" hidden="1" customHeight="1">
      <c r="A1064" s="286"/>
    </row>
    <row r="1065" spans="1:1" s="287" customFormat="1" ht="12" hidden="1" customHeight="1">
      <c r="A1065" s="286"/>
    </row>
    <row r="1066" spans="1:1" s="287" customFormat="1" ht="12" hidden="1" customHeight="1">
      <c r="A1066" s="286"/>
    </row>
    <row r="1067" spans="1:1" s="287" customFormat="1" ht="12" hidden="1" customHeight="1">
      <c r="A1067" s="286"/>
    </row>
    <row r="1068" spans="1:1" s="287" customFormat="1" ht="12" hidden="1" customHeight="1">
      <c r="A1068" s="286"/>
    </row>
    <row r="1069" spans="1:1" s="287" customFormat="1" ht="12" hidden="1" customHeight="1">
      <c r="A1069" s="286"/>
    </row>
    <row r="1070" spans="1:1" s="287" customFormat="1" ht="12" hidden="1" customHeight="1">
      <c r="A1070" s="286"/>
    </row>
    <row r="1071" spans="1:1" s="287" customFormat="1" ht="12" hidden="1" customHeight="1">
      <c r="A1071" s="286"/>
    </row>
    <row r="1072" spans="1:1" s="287" customFormat="1" ht="12" hidden="1" customHeight="1">
      <c r="A1072" s="286"/>
    </row>
    <row r="1073" spans="1:1" s="287" customFormat="1" ht="12" hidden="1" customHeight="1">
      <c r="A1073" s="286"/>
    </row>
    <row r="1074" spans="1:1" s="287" customFormat="1" ht="12" hidden="1" customHeight="1">
      <c r="A1074" s="286"/>
    </row>
    <row r="1075" spans="1:1" s="287" customFormat="1" ht="12" hidden="1" customHeight="1">
      <c r="A1075" s="286"/>
    </row>
    <row r="1076" spans="1:1" s="287" customFormat="1" ht="12" hidden="1" customHeight="1">
      <c r="A1076" s="286"/>
    </row>
    <row r="1077" spans="1:1" s="287" customFormat="1" ht="12" hidden="1" customHeight="1">
      <c r="A1077" s="286"/>
    </row>
    <row r="1078" spans="1:1" s="287" customFormat="1" ht="12" hidden="1" customHeight="1">
      <c r="A1078" s="286"/>
    </row>
    <row r="1079" spans="1:1" s="287" customFormat="1" ht="12" hidden="1" customHeight="1">
      <c r="A1079" s="286"/>
    </row>
    <row r="1080" spans="1:1" s="287" customFormat="1" ht="12" hidden="1" customHeight="1">
      <c r="A1080" s="286"/>
    </row>
    <row r="1081" spans="1:1" s="287" customFormat="1" ht="12" hidden="1" customHeight="1">
      <c r="A1081" s="286"/>
    </row>
    <row r="1082" spans="1:1" s="287" customFormat="1" ht="12" hidden="1" customHeight="1">
      <c r="A1082" s="286"/>
    </row>
    <row r="1083" spans="1:1" s="287" customFormat="1" ht="12" hidden="1" customHeight="1">
      <c r="A1083" s="286"/>
    </row>
    <row r="1084" spans="1:1" s="287" customFormat="1" ht="12" hidden="1" customHeight="1">
      <c r="A1084" s="286"/>
    </row>
    <row r="1085" spans="1:1" s="287" customFormat="1" ht="12" hidden="1" customHeight="1">
      <c r="A1085" s="286"/>
    </row>
    <row r="1086" spans="1:1" s="287" customFormat="1" ht="12" hidden="1" customHeight="1">
      <c r="A1086" s="286"/>
    </row>
    <row r="1087" spans="1:1" s="287" customFormat="1" ht="12" hidden="1" customHeight="1">
      <c r="A1087" s="286"/>
    </row>
    <row r="1088" spans="1:1" s="287" customFormat="1" ht="12" hidden="1" customHeight="1">
      <c r="A1088" s="286"/>
    </row>
    <row r="1089" spans="1:1" s="287" customFormat="1" ht="12" hidden="1" customHeight="1">
      <c r="A1089" s="286"/>
    </row>
    <row r="1090" spans="1:1" s="287" customFormat="1" ht="12" hidden="1" customHeight="1">
      <c r="A1090" s="286"/>
    </row>
    <row r="1091" spans="1:1" s="287" customFormat="1" ht="12" hidden="1" customHeight="1">
      <c r="A1091" s="286"/>
    </row>
    <row r="1092" spans="1:1" s="287" customFormat="1" ht="12" hidden="1" customHeight="1">
      <c r="A1092" s="286"/>
    </row>
    <row r="1093" spans="1:1" s="287" customFormat="1" ht="12" hidden="1" customHeight="1">
      <c r="A1093" s="286"/>
    </row>
    <row r="1094" spans="1:1" s="287" customFormat="1" ht="12" hidden="1" customHeight="1">
      <c r="A1094" s="286"/>
    </row>
    <row r="1095" spans="1:1" s="287" customFormat="1" ht="12" hidden="1" customHeight="1">
      <c r="A1095" s="286"/>
    </row>
    <row r="1096" spans="1:1" s="287" customFormat="1" ht="12" hidden="1" customHeight="1">
      <c r="A1096" s="286"/>
    </row>
    <row r="1097" spans="1:1" s="287" customFormat="1" ht="12" hidden="1" customHeight="1">
      <c r="A1097" s="286"/>
    </row>
    <row r="1098" spans="1:1" s="287" customFormat="1" ht="12" hidden="1" customHeight="1">
      <c r="A1098" s="286"/>
    </row>
    <row r="1099" spans="1:1" s="287" customFormat="1" ht="12" hidden="1" customHeight="1">
      <c r="A1099" s="286"/>
    </row>
    <row r="1100" spans="1:1" s="287" customFormat="1" ht="12" hidden="1" customHeight="1">
      <c r="A1100" s="286"/>
    </row>
    <row r="1101" spans="1:1" s="287" customFormat="1" ht="12" hidden="1" customHeight="1">
      <c r="A1101" s="286"/>
    </row>
    <row r="1102" spans="1:1" s="287" customFormat="1" ht="12" hidden="1" customHeight="1">
      <c r="A1102" s="286"/>
    </row>
    <row r="1103" spans="1:1" s="287" customFormat="1" ht="12" hidden="1" customHeight="1">
      <c r="A1103" s="286"/>
    </row>
    <row r="1104" spans="1:1" s="287" customFormat="1" ht="12" hidden="1" customHeight="1">
      <c r="A1104" s="286"/>
    </row>
    <row r="1105" spans="1:1" s="287" customFormat="1" ht="12" hidden="1" customHeight="1">
      <c r="A1105" s="286"/>
    </row>
    <row r="1106" spans="1:1" s="287" customFormat="1" ht="12" hidden="1" customHeight="1">
      <c r="A1106" s="286"/>
    </row>
    <row r="1107" spans="1:1" s="287" customFormat="1" ht="12" hidden="1" customHeight="1">
      <c r="A1107" s="286"/>
    </row>
    <row r="1108" spans="1:1" s="287" customFormat="1" ht="12" hidden="1" customHeight="1">
      <c r="A1108" s="286"/>
    </row>
    <row r="1109" spans="1:1" s="287" customFormat="1" ht="12" hidden="1" customHeight="1">
      <c r="A1109" s="286"/>
    </row>
    <row r="1110" spans="1:1" s="287" customFormat="1" ht="12" hidden="1" customHeight="1">
      <c r="A1110" s="286"/>
    </row>
    <row r="1111" spans="1:1" s="287" customFormat="1" ht="12" hidden="1" customHeight="1">
      <c r="A1111" s="286"/>
    </row>
    <row r="1112" spans="1:1" s="287" customFormat="1" ht="12" hidden="1" customHeight="1">
      <c r="A1112" s="286"/>
    </row>
    <row r="1113" spans="1:1" s="287" customFormat="1" ht="12" hidden="1" customHeight="1">
      <c r="A1113" s="286"/>
    </row>
    <row r="1114" spans="1:1" s="287" customFormat="1" ht="12" hidden="1" customHeight="1">
      <c r="A1114" s="286"/>
    </row>
    <row r="1115" spans="1:1" s="287" customFormat="1" ht="12" hidden="1" customHeight="1">
      <c r="A1115" s="286"/>
    </row>
    <row r="1116" spans="1:1" s="287" customFormat="1" ht="12" hidden="1" customHeight="1">
      <c r="A1116" s="286"/>
    </row>
    <row r="1117" spans="1:1" s="287" customFormat="1" ht="12" hidden="1" customHeight="1">
      <c r="A1117" s="286"/>
    </row>
    <row r="1118" spans="1:1" s="287" customFormat="1" ht="12" hidden="1" customHeight="1">
      <c r="A1118" s="286"/>
    </row>
    <row r="1119" spans="1:1" s="287" customFormat="1" ht="12" hidden="1" customHeight="1">
      <c r="A1119" s="286"/>
    </row>
    <row r="1120" spans="1:1" s="287" customFormat="1" ht="12" hidden="1" customHeight="1">
      <c r="A1120" s="286"/>
    </row>
    <row r="1121" spans="1:1" s="287" customFormat="1" ht="12" hidden="1" customHeight="1">
      <c r="A1121" s="286"/>
    </row>
    <row r="1122" spans="1:1" s="287" customFormat="1" ht="12" hidden="1" customHeight="1">
      <c r="A1122" s="286"/>
    </row>
    <row r="1123" spans="1:1" s="287" customFormat="1" ht="12" hidden="1" customHeight="1">
      <c r="A1123" s="286"/>
    </row>
    <row r="1124" spans="1:1" s="287" customFormat="1" ht="12" hidden="1" customHeight="1">
      <c r="A1124" s="286"/>
    </row>
    <row r="1125" spans="1:1" s="287" customFormat="1" ht="12" hidden="1" customHeight="1">
      <c r="A1125" s="286"/>
    </row>
    <row r="1126" spans="1:1" s="287" customFormat="1" ht="12" hidden="1" customHeight="1">
      <c r="A1126" s="286"/>
    </row>
    <row r="1127" spans="1:1" s="287" customFormat="1" ht="12" hidden="1" customHeight="1">
      <c r="A1127" s="286"/>
    </row>
    <row r="1128" spans="1:1" s="287" customFormat="1" ht="12" hidden="1" customHeight="1">
      <c r="A1128" s="286"/>
    </row>
    <row r="1129" spans="1:1" s="287" customFormat="1" ht="12" hidden="1" customHeight="1">
      <c r="A1129" s="286"/>
    </row>
    <row r="1130" spans="1:1" s="287" customFormat="1" ht="12" hidden="1" customHeight="1">
      <c r="A1130" s="286"/>
    </row>
    <row r="1131" spans="1:1" s="287" customFormat="1" ht="12" hidden="1" customHeight="1">
      <c r="A1131" s="286"/>
    </row>
    <row r="1132" spans="1:1" s="287" customFormat="1" ht="12" hidden="1" customHeight="1">
      <c r="A1132" s="286"/>
    </row>
    <row r="1133" spans="1:1" s="287" customFormat="1" ht="12" hidden="1" customHeight="1">
      <c r="A1133" s="286"/>
    </row>
    <row r="1134" spans="1:1" s="287" customFormat="1" ht="12" hidden="1" customHeight="1">
      <c r="A1134" s="286"/>
    </row>
    <row r="1135" spans="1:1" s="287" customFormat="1" ht="12" hidden="1" customHeight="1">
      <c r="A1135" s="286"/>
    </row>
    <row r="1136" spans="1:1" s="287" customFormat="1" ht="12" hidden="1" customHeight="1">
      <c r="A1136" s="286"/>
    </row>
    <row r="1137" spans="1:1" s="287" customFormat="1" ht="12" hidden="1" customHeight="1">
      <c r="A1137" s="286"/>
    </row>
    <row r="1138" spans="1:1" s="287" customFormat="1" ht="12" hidden="1" customHeight="1">
      <c r="A1138" s="286"/>
    </row>
    <row r="1139" spans="1:1" s="287" customFormat="1" ht="12" hidden="1" customHeight="1">
      <c r="A1139" s="286"/>
    </row>
    <row r="1140" spans="1:1" s="287" customFormat="1" ht="12" hidden="1" customHeight="1">
      <c r="A1140" s="286"/>
    </row>
    <row r="1141" spans="1:1" s="287" customFormat="1" ht="12" hidden="1" customHeight="1">
      <c r="A1141" s="286"/>
    </row>
    <row r="1142" spans="1:1" s="287" customFormat="1" ht="12" hidden="1" customHeight="1">
      <c r="A1142" s="286"/>
    </row>
    <row r="1143" spans="1:1" s="287" customFormat="1" ht="12" hidden="1" customHeight="1">
      <c r="A1143" s="286"/>
    </row>
    <row r="1144" spans="1:1" s="287" customFormat="1" ht="12" hidden="1" customHeight="1">
      <c r="A1144" s="286"/>
    </row>
    <row r="1145" spans="1:1" s="287" customFormat="1" ht="12" hidden="1" customHeight="1">
      <c r="A1145" s="286"/>
    </row>
    <row r="1146" spans="1:1" s="287" customFormat="1" ht="12" hidden="1" customHeight="1">
      <c r="A1146" s="286"/>
    </row>
    <row r="1147" spans="1:1" s="287" customFormat="1" ht="12" hidden="1" customHeight="1">
      <c r="A1147" s="286"/>
    </row>
    <row r="1148" spans="1:1" s="287" customFormat="1" ht="12" hidden="1" customHeight="1">
      <c r="A1148" s="286"/>
    </row>
    <row r="1149" spans="1:1" s="287" customFormat="1" ht="12" hidden="1" customHeight="1">
      <c r="A1149" s="286"/>
    </row>
    <row r="1150" spans="1:1" s="287" customFormat="1" ht="12" hidden="1" customHeight="1">
      <c r="A1150" s="286"/>
    </row>
    <row r="1151" spans="1:1" s="287" customFormat="1" ht="12" hidden="1" customHeight="1">
      <c r="A1151" s="286"/>
    </row>
    <row r="1152" spans="1:1" s="287" customFormat="1" ht="12" hidden="1" customHeight="1">
      <c r="A1152" s="286"/>
    </row>
    <row r="1153" spans="1:1" s="287" customFormat="1" ht="12" hidden="1" customHeight="1">
      <c r="A1153" s="286"/>
    </row>
    <row r="1154" spans="1:1" s="287" customFormat="1" ht="12" hidden="1" customHeight="1">
      <c r="A1154" s="286"/>
    </row>
    <row r="1155" spans="1:1" s="287" customFormat="1" ht="12" hidden="1" customHeight="1">
      <c r="A1155" s="286"/>
    </row>
    <row r="1156" spans="1:1" s="287" customFormat="1" ht="12" hidden="1" customHeight="1">
      <c r="A1156" s="286"/>
    </row>
    <row r="1157" spans="1:1" s="287" customFormat="1" ht="12" hidden="1" customHeight="1">
      <c r="A1157" s="286"/>
    </row>
    <row r="1158" spans="1:1" s="287" customFormat="1" ht="12" hidden="1" customHeight="1">
      <c r="A1158" s="286"/>
    </row>
    <row r="1159" spans="1:1" s="287" customFormat="1" ht="12" hidden="1" customHeight="1">
      <c r="A1159" s="286"/>
    </row>
    <row r="1160" spans="1:1" s="287" customFormat="1" ht="12" hidden="1" customHeight="1">
      <c r="A1160" s="286"/>
    </row>
    <row r="1161" spans="1:1" s="287" customFormat="1" ht="12" hidden="1" customHeight="1">
      <c r="A1161" s="286"/>
    </row>
    <row r="1162" spans="1:1" s="287" customFormat="1" ht="12" hidden="1" customHeight="1">
      <c r="A1162" s="286"/>
    </row>
    <row r="1163" spans="1:1" s="287" customFormat="1" ht="12" hidden="1" customHeight="1">
      <c r="A1163" s="286"/>
    </row>
    <row r="1164" spans="1:1" s="287" customFormat="1" ht="12" hidden="1" customHeight="1">
      <c r="A1164" s="286"/>
    </row>
    <row r="1165" spans="1:1" s="287" customFormat="1" ht="12" hidden="1" customHeight="1">
      <c r="A1165" s="286"/>
    </row>
    <row r="1166" spans="1:1" s="287" customFormat="1" ht="12" hidden="1" customHeight="1">
      <c r="A1166" s="286"/>
    </row>
    <row r="1167" spans="1:1" s="287" customFormat="1" ht="12" hidden="1" customHeight="1">
      <c r="A1167" s="286"/>
    </row>
    <row r="1168" spans="1:1" s="287" customFormat="1" ht="12" hidden="1" customHeight="1">
      <c r="A1168" s="286"/>
    </row>
    <row r="1169" spans="1:1" s="287" customFormat="1" ht="12" hidden="1" customHeight="1">
      <c r="A1169" s="286"/>
    </row>
    <row r="1170" spans="1:1" s="287" customFormat="1" ht="12" hidden="1" customHeight="1">
      <c r="A1170" s="286"/>
    </row>
    <row r="1171" spans="1:1" s="287" customFormat="1" ht="12" hidden="1" customHeight="1">
      <c r="A1171" s="286"/>
    </row>
    <row r="1172" spans="1:1" s="287" customFormat="1" ht="12" hidden="1" customHeight="1">
      <c r="A1172" s="286"/>
    </row>
    <row r="1173" spans="1:1" s="287" customFormat="1" ht="12" hidden="1" customHeight="1">
      <c r="A1173" s="286"/>
    </row>
    <row r="1174" spans="1:1" s="287" customFormat="1" ht="12" hidden="1" customHeight="1">
      <c r="A1174" s="286"/>
    </row>
    <row r="1175" spans="1:1" s="287" customFormat="1" ht="12" hidden="1" customHeight="1">
      <c r="A1175" s="286"/>
    </row>
    <row r="1176" spans="1:1" s="287" customFormat="1" ht="12" hidden="1" customHeight="1">
      <c r="A1176" s="286"/>
    </row>
    <row r="1177" spans="1:1" s="287" customFormat="1" ht="12" hidden="1" customHeight="1">
      <c r="A1177" s="286"/>
    </row>
    <row r="1178" spans="1:1" s="287" customFormat="1" ht="12" hidden="1" customHeight="1">
      <c r="A1178" s="286"/>
    </row>
    <row r="1179" spans="1:1" s="287" customFormat="1" ht="12" hidden="1" customHeight="1">
      <c r="A1179" s="286"/>
    </row>
    <row r="1180" spans="1:1" s="287" customFormat="1" ht="12" hidden="1" customHeight="1">
      <c r="A1180" s="286"/>
    </row>
    <row r="1181" spans="1:1" s="287" customFormat="1" ht="12" hidden="1" customHeight="1">
      <c r="A1181" s="286"/>
    </row>
    <row r="1182" spans="1:1" s="287" customFormat="1" ht="12" hidden="1" customHeight="1">
      <c r="A1182" s="286"/>
    </row>
    <row r="1183" spans="1:1" s="287" customFormat="1" ht="12" hidden="1" customHeight="1">
      <c r="A1183" s="286"/>
    </row>
    <row r="1184" spans="1:1" s="287" customFormat="1" ht="12" hidden="1" customHeight="1">
      <c r="A1184" s="286"/>
    </row>
    <row r="1185" spans="1:1" s="287" customFormat="1" ht="12" hidden="1" customHeight="1">
      <c r="A1185" s="286"/>
    </row>
    <row r="1186" spans="1:1" s="287" customFormat="1" ht="12" hidden="1" customHeight="1">
      <c r="A1186" s="286"/>
    </row>
    <row r="1187" spans="1:1" s="287" customFormat="1" ht="12" hidden="1" customHeight="1">
      <c r="A1187" s="286"/>
    </row>
    <row r="1188" spans="1:1" s="287" customFormat="1" ht="12" hidden="1" customHeight="1">
      <c r="A1188" s="286"/>
    </row>
    <row r="1189" spans="1:1" s="287" customFormat="1" ht="12" hidden="1" customHeight="1">
      <c r="A1189" s="286"/>
    </row>
    <row r="1190" spans="1:1" s="287" customFormat="1" ht="12" hidden="1" customHeight="1">
      <c r="A1190" s="286"/>
    </row>
    <row r="1191" spans="1:1" s="287" customFormat="1" ht="12" hidden="1" customHeight="1">
      <c r="A1191" s="286"/>
    </row>
    <row r="1192" spans="1:1" s="287" customFormat="1" ht="12" hidden="1" customHeight="1">
      <c r="A1192" s="286"/>
    </row>
    <row r="1193" spans="1:1" s="287" customFormat="1" ht="12" hidden="1" customHeight="1">
      <c r="A1193" s="286"/>
    </row>
    <row r="1194" spans="1:1" s="287" customFormat="1" ht="12" hidden="1" customHeight="1">
      <c r="A1194" s="286"/>
    </row>
    <row r="1195" spans="1:1" s="287" customFormat="1" ht="12" hidden="1" customHeight="1">
      <c r="A1195" s="286"/>
    </row>
    <row r="1196" spans="1:1" s="287" customFormat="1" ht="12" hidden="1" customHeight="1">
      <c r="A1196" s="286"/>
    </row>
    <row r="1197" spans="1:1" s="287" customFormat="1" ht="12" hidden="1" customHeight="1">
      <c r="A1197" s="286"/>
    </row>
    <row r="1198" spans="1:1" s="287" customFormat="1" ht="12" hidden="1" customHeight="1">
      <c r="A1198" s="286"/>
    </row>
    <row r="1199" spans="1:1" s="287" customFormat="1" ht="12" hidden="1" customHeight="1">
      <c r="A1199" s="286"/>
    </row>
    <row r="1200" spans="1:1" s="287" customFormat="1" ht="12" hidden="1" customHeight="1">
      <c r="A1200" s="286"/>
    </row>
    <row r="1201" spans="1:1" s="287" customFormat="1" ht="12" hidden="1" customHeight="1">
      <c r="A1201" s="286"/>
    </row>
    <row r="1202" spans="1:1" s="287" customFormat="1" ht="12" hidden="1" customHeight="1">
      <c r="A1202" s="286"/>
    </row>
    <row r="1203" spans="1:1" s="287" customFormat="1" ht="12" hidden="1" customHeight="1">
      <c r="A1203" s="286"/>
    </row>
    <row r="1204" spans="1:1" s="287" customFormat="1" ht="12" hidden="1" customHeight="1">
      <c r="A1204" s="286"/>
    </row>
    <row r="1205" spans="1:1" s="287" customFormat="1" ht="12" hidden="1" customHeight="1">
      <c r="A1205" s="286"/>
    </row>
    <row r="1206" spans="1:1" s="287" customFormat="1" ht="12" hidden="1" customHeight="1">
      <c r="A1206" s="286"/>
    </row>
    <row r="1207" spans="1:1" s="287" customFormat="1" ht="12" hidden="1" customHeight="1">
      <c r="A1207" s="286"/>
    </row>
    <row r="1208" spans="1:1" s="287" customFormat="1" ht="12" hidden="1" customHeight="1">
      <c r="A1208" s="286"/>
    </row>
    <row r="1209" spans="1:1" s="287" customFormat="1" ht="12" hidden="1" customHeight="1">
      <c r="A1209" s="286"/>
    </row>
    <row r="1210" spans="1:1" s="287" customFormat="1" ht="12" hidden="1" customHeight="1">
      <c r="A1210" s="286"/>
    </row>
    <row r="1211" spans="1:1" s="287" customFormat="1" ht="12" hidden="1" customHeight="1">
      <c r="A1211" s="286"/>
    </row>
    <row r="1212" spans="1:1" s="287" customFormat="1" ht="12" hidden="1" customHeight="1">
      <c r="A1212" s="286"/>
    </row>
    <row r="1213" spans="1:1" s="287" customFormat="1" ht="12" hidden="1" customHeight="1">
      <c r="A1213" s="286"/>
    </row>
    <row r="1214" spans="1:1" s="287" customFormat="1" ht="12" hidden="1" customHeight="1">
      <c r="A1214" s="286"/>
    </row>
    <row r="1215" spans="1:1" s="287" customFormat="1" ht="12" hidden="1" customHeight="1">
      <c r="A1215" s="286"/>
    </row>
    <row r="1216" spans="1:1" s="287" customFormat="1" ht="12" hidden="1" customHeight="1">
      <c r="A1216" s="286"/>
    </row>
    <row r="1217" spans="1:1" s="287" customFormat="1" ht="12" hidden="1" customHeight="1">
      <c r="A1217" s="286"/>
    </row>
    <row r="1218" spans="1:1" s="287" customFormat="1" ht="12" hidden="1" customHeight="1">
      <c r="A1218" s="286"/>
    </row>
    <row r="1219" spans="1:1" s="287" customFormat="1" ht="12" hidden="1" customHeight="1">
      <c r="A1219" s="286"/>
    </row>
    <row r="1220" spans="1:1" s="287" customFormat="1" ht="12" hidden="1" customHeight="1">
      <c r="A1220" s="286"/>
    </row>
    <row r="1221" spans="1:1" s="287" customFormat="1" ht="12" hidden="1" customHeight="1">
      <c r="A1221" s="286"/>
    </row>
    <row r="1222" spans="1:1" s="287" customFormat="1" ht="12" hidden="1" customHeight="1">
      <c r="A1222" s="286"/>
    </row>
    <row r="1223" spans="1:1" s="287" customFormat="1" ht="12" hidden="1" customHeight="1">
      <c r="A1223" s="286"/>
    </row>
    <row r="1224" spans="1:1" s="287" customFormat="1" ht="12" hidden="1" customHeight="1">
      <c r="A1224" s="286"/>
    </row>
    <row r="1225" spans="1:1" s="287" customFormat="1" ht="12" hidden="1" customHeight="1">
      <c r="A1225" s="286"/>
    </row>
    <row r="1226" spans="1:1" s="287" customFormat="1" ht="12" hidden="1" customHeight="1">
      <c r="A1226" s="286"/>
    </row>
    <row r="1227" spans="1:1" s="287" customFormat="1" ht="12" hidden="1" customHeight="1">
      <c r="A1227" s="286"/>
    </row>
    <row r="1228" spans="1:1" s="287" customFormat="1" ht="12" hidden="1" customHeight="1">
      <c r="A1228" s="286"/>
    </row>
    <row r="1229" spans="1:1" s="287" customFormat="1" ht="12" hidden="1" customHeight="1">
      <c r="A1229" s="286"/>
    </row>
    <row r="1230" spans="1:1" s="287" customFormat="1" ht="12" hidden="1" customHeight="1">
      <c r="A1230" s="286"/>
    </row>
    <row r="1231" spans="1:1" s="287" customFormat="1" ht="12" hidden="1" customHeight="1">
      <c r="A1231" s="286"/>
    </row>
    <row r="1232" spans="1:1" s="287" customFormat="1" ht="12" hidden="1" customHeight="1">
      <c r="A1232" s="286"/>
    </row>
    <row r="1233" spans="1:1" s="287" customFormat="1" ht="12" hidden="1" customHeight="1">
      <c r="A1233" s="286"/>
    </row>
    <row r="1234" spans="1:1" s="287" customFormat="1" ht="12" hidden="1" customHeight="1">
      <c r="A1234" s="286"/>
    </row>
    <row r="1235" spans="1:1" s="287" customFormat="1" ht="12" hidden="1" customHeight="1">
      <c r="A1235" s="286"/>
    </row>
    <row r="1236" spans="1:1" s="287" customFormat="1" ht="12" hidden="1" customHeight="1">
      <c r="A1236" s="286"/>
    </row>
    <row r="1237" spans="1:1" s="287" customFormat="1" ht="12" hidden="1" customHeight="1">
      <c r="A1237" s="286"/>
    </row>
    <row r="1238" spans="1:1" s="287" customFormat="1" ht="12" hidden="1" customHeight="1">
      <c r="A1238" s="286"/>
    </row>
    <row r="1239" spans="1:1" s="287" customFormat="1" ht="12" hidden="1" customHeight="1">
      <c r="A1239" s="286"/>
    </row>
    <row r="1240" spans="1:1" s="287" customFormat="1" ht="12" hidden="1" customHeight="1">
      <c r="A1240" s="286"/>
    </row>
    <row r="1241" spans="1:1" s="287" customFormat="1" ht="12" hidden="1" customHeight="1">
      <c r="A1241" s="286"/>
    </row>
    <row r="1242" spans="1:1" s="287" customFormat="1" ht="12" hidden="1" customHeight="1">
      <c r="A1242" s="286"/>
    </row>
    <row r="1243" spans="1:1" s="287" customFormat="1" ht="12" hidden="1" customHeight="1">
      <c r="A1243" s="286"/>
    </row>
    <row r="1244" spans="1:1" s="287" customFormat="1" ht="12" hidden="1" customHeight="1">
      <c r="A1244" s="286"/>
    </row>
    <row r="1245" spans="1:1" s="287" customFormat="1" ht="12" hidden="1" customHeight="1">
      <c r="A1245" s="286"/>
    </row>
    <row r="1246" spans="1:1" s="287" customFormat="1" ht="12" hidden="1" customHeight="1">
      <c r="A1246" s="286"/>
    </row>
    <row r="1247" spans="1:1" s="287" customFormat="1" ht="12" hidden="1" customHeight="1">
      <c r="A1247" s="286"/>
    </row>
    <row r="1248" spans="1:1" s="287" customFormat="1" ht="12" hidden="1" customHeight="1">
      <c r="A1248" s="286"/>
    </row>
    <row r="1249" spans="1:1" s="287" customFormat="1" ht="12" hidden="1" customHeight="1">
      <c r="A1249" s="286"/>
    </row>
    <row r="1250" spans="1:1" s="287" customFormat="1" ht="12" hidden="1" customHeight="1">
      <c r="A1250" s="286"/>
    </row>
    <row r="1251" spans="1:1" s="287" customFormat="1" ht="12" hidden="1" customHeight="1">
      <c r="A1251" s="286"/>
    </row>
    <row r="1252" spans="1:1" s="287" customFormat="1" ht="12" hidden="1" customHeight="1">
      <c r="A1252" s="286"/>
    </row>
    <row r="1253" spans="1:1" s="287" customFormat="1" ht="12" hidden="1" customHeight="1">
      <c r="A1253" s="286"/>
    </row>
    <row r="1254" spans="1:1" s="287" customFormat="1" ht="12" hidden="1" customHeight="1">
      <c r="A1254" s="286"/>
    </row>
    <row r="1255" spans="1:1" s="287" customFormat="1" ht="12" hidden="1" customHeight="1">
      <c r="A1255" s="286"/>
    </row>
    <row r="1256" spans="1:1" s="287" customFormat="1" ht="12" hidden="1" customHeight="1">
      <c r="A1256" s="286"/>
    </row>
    <row r="1257" spans="1:1" s="287" customFormat="1" ht="12" hidden="1" customHeight="1">
      <c r="A1257" s="286"/>
    </row>
    <row r="1258" spans="1:1" s="287" customFormat="1" ht="12" hidden="1" customHeight="1">
      <c r="A1258" s="286"/>
    </row>
    <row r="1259" spans="1:1" s="287" customFormat="1" ht="12" hidden="1" customHeight="1">
      <c r="A1259" s="286"/>
    </row>
    <row r="1260" spans="1:1" s="287" customFormat="1" ht="12" hidden="1" customHeight="1">
      <c r="A1260" s="286"/>
    </row>
    <row r="1261" spans="1:1" s="287" customFormat="1" ht="12" hidden="1" customHeight="1">
      <c r="A1261" s="286"/>
    </row>
    <row r="1262" spans="1:1" s="287" customFormat="1" ht="12" hidden="1" customHeight="1">
      <c r="A1262" s="286"/>
    </row>
    <row r="1263" spans="1:1" s="287" customFormat="1" ht="12" hidden="1" customHeight="1">
      <c r="A1263" s="286"/>
    </row>
    <row r="1264" spans="1:1" s="287" customFormat="1" ht="12" hidden="1" customHeight="1">
      <c r="A1264" s="286"/>
    </row>
    <row r="1265" spans="1:1" s="287" customFormat="1" ht="12" hidden="1" customHeight="1">
      <c r="A1265" s="286"/>
    </row>
    <row r="1266" spans="1:1" s="287" customFormat="1" ht="12" hidden="1" customHeight="1">
      <c r="A1266" s="286"/>
    </row>
    <row r="1267" spans="1:1" s="287" customFormat="1" ht="12" hidden="1" customHeight="1">
      <c r="A1267" s="286"/>
    </row>
    <row r="1268" spans="1:1" s="287" customFormat="1" ht="12" hidden="1" customHeight="1">
      <c r="A1268" s="286"/>
    </row>
    <row r="1269" spans="1:1" s="287" customFormat="1" ht="12" hidden="1" customHeight="1">
      <c r="A1269" s="286"/>
    </row>
    <row r="1270" spans="1:1" s="287" customFormat="1" ht="12" hidden="1" customHeight="1">
      <c r="A1270" s="286"/>
    </row>
    <row r="1271" spans="1:1" s="287" customFormat="1" ht="12" hidden="1" customHeight="1">
      <c r="A1271" s="286"/>
    </row>
    <row r="1272" spans="1:1" s="287" customFormat="1" ht="12" hidden="1" customHeight="1">
      <c r="A1272" s="286"/>
    </row>
    <row r="1273" spans="1:1" s="287" customFormat="1" ht="12" hidden="1" customHeight="1">
      <c r="A1273" s="286"/>
    </row>
    <row r="1274" spans="1:1" s="287" customFormat="1" ht="12" hidden="1" customHeight="1">
      <c r="A1274" s="286"/>
    </row>
    <row r="1275" spans="1:1" s="287" customFormat="1" ht="12" hidden="1" customHeight="1">
      <c r="A1275" s="286"/>
    </row>
    <row r="1276" spans="1:1" s="287" customFormat="1" ht="12" hidden="1" customHeight="1">
      <c r="A1276" s="286"/>
    </row>
    <row r="1277" spans="1:1" s="287" customFormat="1" ht="12" hidden="1" customHeight="1">
      <c r="A1277" s="286"/>
    </row>
    <row r="1278" spans="1:1" s="287" customFormat="1" ht="12" hidden="1" customHeight="1">
      <c r="A1278" s="286"/>
    </row>
    <row r="1279" spans="1:1" s="287" customFormat="1" ht="12" hidden="1" customHeight="1">
      <c r="A1279" s="286"/>
    </row>
    <row r="1280" spans="1:1" s="287" customFormat="1" ht="12" hidden="1" customHeight="1">
      <c r="A1280" s="286"/>
    </row>
    <row r="1281" spans="1:1" s="287" customFormat="1" ht="12" hidden="1" customHeight="1">
      <c r="A1281" s="286"/>
    </row>
    <row r="1282" spans="1:1" s="287" customFormat="1" ht="12" hidden="1" customHeight="1">
      <c r="A1282" s="286"/>
    </row>
    <row r="1283" spans="1:1" s="287" customFormat="1" ht="12" hidden="1" customHeight="1">
      <c r="A1283" s="286"/>
    </row>
    <row r="1284" spans="1:1" s="287" customFormat="1" ht="12" hidden="1" customHeight="1">
      <c r="A1284" s="286"/>
    </row>
    <row r="1285" spans="1:1" s="287" customFormat="1" ht="12" hidden="1" customHeight="1">
      <c r="A1285" s="286"/>
    </row>
    <row r="1286" spans="1:1" s="287" customFormat="1" ht="12" hidden="1" customHeight="1">
      <c r="A1286" s="286"/>
    </row>
    <row r="1287" spans="1:1" s="287" customFormat="1" ht="12" hidden="1" customHeight="1">
      <c r="A1287" s="286"/>
    </row>
    <row r="1288" spans="1:1" s="287" customFormat="1" ht="12" hidden="1" customHeight="1">
      <c r="A1288" s="286"/>
    </row>
    <row r="1289" spans="1:1" s="287" customFormat="1" ht="12" hidden="1" customHeight="1">
      <c r="A1289" s="286"/>
    </row>
    <row r="1290" spans="1:1" s="287" customFormat="1" ht="12" hidden="1" customHeight="1">
      <c r="A1290" s="286"/>
    </row>
    <row r="1291" spans="1:1" s="287" customFormat="1" ht="12" hidden="1" customHeight="1">
      <c r="A1291" s="286"/>
    </row>
    <row r="1292" spans="1:1" s="287" customFormat="1" ht="12" hidden="1" customHeight="1">
      <c r="A1292" s="286"/>
    </row>
    <row r="1293" spans="1:1" s="287" customFormat="1" ht="12" hidden="1" customHeight="1">
      <c r="A1293" s="286"/>
    </row>
    <row r="1294" spans="1:1" s="287" customFormat="1" ht="12" hidden="1" customHeight="1">
      <c r="A1294" s="286"/>
    </row>
    <row r="1295" spans="1:1" s="287" customFormat="1" ht="12" hidden="1" customHeight="1">
      <c r="A1295" s="286"/>
    </row>
    <row r="1296" spans="1:1" s="287" customFormat="1" ht="12" hidden="1" customHeight="1">
      <c r="A1296" s="286"/>
    </row>
    <row r="1297" spans="1:1" s="287" customFormat="1" ht="12" hidden="1" customHeight="1">
      <c r="A1297" s="286"/>
    </row>
    <row r="1298" spans="1:1" s="287" customFormat="1" ht="12" hidden="1" customHeight="1">
      <c r="A1298" s="286"/>
    </row>
    <row r="1299" spans="1:1" s="287" customFormat="1" ht="12" hidden="1" customHeight="1">
      <c r="A1299" s="286"/>
    </row>
    <row r="1300" spans="1:1" s="287" customFormat="1" ht="12" hidden="1" customHeight="1">
      <c r="A1300" s="286"/>
    </row>
    <row r="1301" spans="1:1" s="287" customFormat="1" ht="12" hidden="1" customHeight="1">
      <c r="A1301" s="286"/>
    </row>
    <row r="1302" spans="1:1" s="287" customFormat="1" ht="12" hidden="1" customHeight="1">
      <c r="A1302" s="286"/>
    </row>
    <row r="1303" spans="1:1" s="287" customFormat="1" ht="12" hidden="1" customHeight="1">
      <c r="A1303" s="286"/>
    </row>
    <row r="1304" spans="1:1" s="287" customFormat="1" ht="12" hidden="1" customHeight="1">
      <c r="A1304" s="286"/>
    </row>
    <row r="1305" spans="1:1" s="287" customFormat="1" ht="12" hidden="1" customHeight="1">
      <c r="A1305" s="286"/>
    </row>
    <row r="1306" spans="1:1" s="287" customFormat="1" ht="12" hidden="1" customHeight="1">
      <c r="A1306" s="286"/>
    </row>
    <row r="1307" spans="1:1" s="287" customFormat="1" ht="12" hidden="1" customHeight="1">
      <c r="A1307" s="286"/>
    </row>
    <row r="1308" spans="1:1" s="287" customFormat="1" ht="12" hidden="1" customHeight="1">
      <c r="A1308" s="286"/>
    </row>
    <row r="1309" spans="1:1" s="287" customFormat="1" ht="12" hidden="1" customHeight="1">
      <c r="A1309" s="286"/>
    </row>
    <row r="1310" spans="1:1" s="287" customFormat="1" ht="12" hidden="1" customHeight="1">
      <c r="A1310" s="286"/>
    </row>
    <row r="1311" spans="1:1" s="287" customFormat="1" ht="12" hidden="1" customHeight="1">
      <c r="A1311" s="286"/>
    </row>
    <row r="1312" spans="1:1" s="287" customFormat="1" ht="12" hidden="1" customHeight="1">
      <c r="A1312" s="286"/>
    </row>
    <row r="1313" spans="1:1" s="287" customFormat="1" ht="12" hidden="1" customHeight="1">
      <c r="A1313" s="286"/>
    </row>
    <row r="1314" spans="1:1" s="287" customFormat="1" ht="12" hidden="1" customHeight="1">
      <c r="A1314" s="286"/>
    </row>
    <row r="1315" spans="1:1" s="287" customFormat="1" ht="12" hidden="1" customHeight="1">
      <c r="A1315" s="286"/>
    </row>
    <row r="1316" spans="1:1" s="287" customFormat="1" ht="12" hidden="1" customHeight="1">
      <c r="A1316" s="286"/>
    </row>
    <row r="1317" spans="1:1" s="287" customFormat="1" ht="12" hidden="1" customHeight="1">
      <c r="A1317" s="286"/>
    </row>
    <row r="1318" spans="1:1" s="287" customFormat="1" ht="12" hidden="1" customHeight="1">
      <c r="A1318" s="286"/>
    </row>
    <row r="1319" spans="1:1" s="287" customFormat="1" ht="12" hidden="1" customHeight="1">
      <c r="A1319" s="286"/>
    </row>
    <row r="1320" spans="1:1" s="287" customFormat="1" ht="12" hidden="1" customHeight="1">
      <c r="A1320" s="286"/>
    </row>
    <row r="1321" spans="1:1" s="287" customFormat="1" ht="12" hidden="1" customHeight="1">
      <c r="A1321" s="286"/>
    </row>
    <row r="1322" spans="1:1" s="287" customFormat="1" ht="12" hidden="1" customHeight="1">
      <c r="A1322" s="286"/>
    </row>
    <row r="1323" spans="1:1" s="287" customFormat="1" ht="12" hidden="1" customHeight="1">
      <c r="A1323" s="286"/>
    </row>
    <row r="1324" spans="1:1" s="287" customFormat="1" ht="12" hidden="1" customHeight="1">
      <c r="A1324" s="286"/>
    </row>
    <row r="1325" spans="1:1" s="287" customFormat="1" ht="12" hidden="1" customHeight="1">
      <c r="A1325" s="286"/>
    </row>
    <row r="1326" spans="1:1" s="287" customFormat="1" ht="12" hidden="1" customHeight="1">
      <c r="A1326" s="286"/>
    </row>
    <row r="1327" spans="1:1" s="287" customFormat="1" ht="12" hidden="1" customHeight="1">
      <c r="A1327" s="286"/>
    </row>
    <row r="1328" spans="1:1" s="287" customFormat="1" ht="12" hidden="1" customHeight="1">
      <c r="A1328" s="286"/>
    </row>
    <row r="1329" spans="1:1" s="287" customFormat="1" ht="12" hidden="1" customHeight="1">
      <c r="A1329" s="286"/>
    </row>
    <row r="1330" spans="1:1" s="287" customFormat="1" ht="12" hidden="1" customHeight="1">
      <c r="A1330" s="286"/>
    </row>
    <row r="1331" spans="1:1" s="287" customFormat="1" ht="12" hidden="1" customHeight="1">
      <c r="A1331" s="286"/>
    </row>
    <row r="1332" spans="1:1" s="287" customFormat="1" ht="12" hidden="1" customHeight="1">
      <c r="A1332" s="286"/>
    </row>
    <row r="1333" spans="1:1" s="287" customFormat="1" ht="12" hidden="1" customHeight="1">
      <c r="A1333" s="286"/>
    </row>
    <row r="1334" spans="1:1" s="287" customFormat="1" ht="12" hidden="1" customHeight="1">
      <c r="A1334" s="286"/>
    </row>
    <row r="1335" spans="1:1" s="287" customFormat="1" ht="12" hidden="1" customHeight="1">
      <c r="A1335" s="286"/>
    </row>
    <row r="1336" spans="1:1" s="287" customFormat="1" ht="12" hidden="1" customHeight="1">
      <c r="A1336" s="286"/>
    </row>
    <row r="1337" spans="1:1" s="287" customFormat="1" ht="12" hidden="1" customHeight="1">
      <c r="A1337" s="286"/>
    </row>
    <row r="1338" spans="1:1" s="287" customFormat="1" ht="12" hidden="1" customHeight="1">
      <c r="A1338" s="286"/>
    </row>
    <row r="1339" spans="1:1" s="287" customFormat="1" ht="12" hidden="1" customHeight="1">
      <c r="A1339" s="286"/>
    </row>
    <row r="1340" spans="1:1" s="287" customFormat="1" ht="12" hidden="1" customHeight="1">
      <c r="A1340" s="286"/>
    </row>
    <row r="1341" spans="1:1" s="287" customFormat="1" ht="12" hidden="1" customHeight="1">
      <c r="A1341" s="286"/>
    </row>
    <row r="1342" spans="1:1" s="287" customFormat="1" ht="12" hidden="1" customHeight="1">
      <c r="A1342" s="286"/>
    </row>
    <row r="1343" spans="1:1" s="287" customFormat="1" ht="12" hidden="1" customHeight="1">
      <c r="A1343" s="286"/>
    </row>
    <row r="1344" spans="1:1" s="287" customFormat="1" ht="12" hidden="1" customHeight="1">
      <c r="A1344" s="286"/>
    </row>
    <row r="1345" spans="1:1" s="287" customFormat="1" ht="12" hidden="1" customHeight="1">
      <c r="A1345" s="286"/>
    </row>
    <row r="1346" spans="1:1" s="287" customFormat="1" ht="12" hidden="1" customHeight="1">
      <c r="A1346" s="286"/>
    </row>
    <row r="1347" spans="1:1" s="287" customFormat="1" ht="12" hidden="1" customHeight="1">
      <c r="A1347" s="286"/>
    </row>
    <row r="1348" spans="1:1" s="287" customFormat="1" ht="12" hidden="1" customHeight="1">
      <c r="A1348" s="286"/>
    </row>
    <row r="1349" spans="1:1" s="287" customFormat="1" ht="12" hidden="1" customHeight="1">
      <c r="A1349" s="286"/>
    </row>
    <row r="1350" spans="1:1" s="287" customFormat="1" ht="12" hidden="1" customHeight="1">
      <c r="A1350" s="286"/>
    </row>
    <row r="1351" spans="1:1" s="287" customFormat="1" ht="12" hidden="1" customHeight="1">
      <c r="A1351" s="286"/>
    </row>
    <row r="1352" spans="1:1" s="287" customFormat="1" ht="12" hidden="1" customHeight="1">
      <c r="A1352" s="286"/>
    </row>
    <row r="1353" spans="1:1" s="287" customFormat="1" ht="12" hidden="1" customHeight="1">
      <c r="A1353" s="286"/>
    </row>
    <row r="1354" spans="1:1" s="287" customFormat="1" ht="12" hidden="1" customHeight="1">
      <c r="A1354" s="286"/>
    </row>
    <row r="1355" spans="1:1" s="287" customFormat="1" ht="12" hidden="1" customHeight="1">
      <c r="A1355" s="286"/>
    </row>
    <row r="1356" spans="1:1" s="287" customFormat="1" ht="12" hidden="1" customHeight="1">
      <c r="A1356" s="286"/>
    </row>
    <row r="1357" spans="1:1" s="287" customFormat="1" ht="12" hidden="1" customHeight="1">
      <c r="A1357" s="286"/>
    </row>
    <row r="1358" spans="1:1" s="287" customFormat="1" ht="12" hidden="1" customHeight="1">
      <c r="A1358" s="286"/>
    </row>
    <row r="1359" spans="1:1" s="287" customFormat="1" ht="12" hidden="1" customHeight="1">
      <c r="A1359" s="286"/>
    </row>
    <row r="1360" spans="1:1" s="287" customFormat="1" ht="12" hidden="1" customHeight="1">
      <c r="A1360" s="286"/>
    </row>
    <row r="1361" spans="1:1" s="287" customFormat="1" ht="12" hidden="1" customHeight="1">
      <c r="A1361" s="286"/>
    </row>
    <row r="1362" spans="1:1" s="287" customFormat="1" ht="12" hidden="1" customHeight="1">
      <c r="A1362" s="286"/>
    </row>
    <row r="1363" spans="1:1" s="287" customFormat="1" ht="12" hidden="1" customHeight="1">
      <c r="A1363" s="286"/>
    </row>
    <row r="1364" spans="1:1" s="287" customFormat="1" ht="12" hidden="1" customHeight="1">
      <c r="A1364" s="286"/>
    </row>
    <row r="1365" spans="1:1" s="287" customFormat="1" ht="12" hidden="1" customHeight="1">
      <c r="A1365" s="286"/>
    </row>
    <row r="1366" spans="1:1" s="287" customFormat="1" ht="12" hidden="1" customHeight="1">
      <c r="A1366" s="286"/>
    </row>
    <row r="1367" spans="1:1" s="287" customFormat="1" ht="12" hidden="1" customHeight="1">
      <c r="A1367" s="286"/>
    </row>
    <row r="1368" spans="1:1" s="287" customFormat="1" ht="12" hidden="1" customHeight="1">
      <c r="A1368" s="286"/>
    </row>
    <row r="1369" spans="1:1" s="287" customFormat="1" ht="12" hidden="1" customHeight="1">
      <c r="A1369" s="286"/>
    </row>
    <row r="1370" spans="1:1" s="287" customFormat="1" ht="12" hidden="1" customHeight="1">
      <c r="A1370" s="286"/>
    </row>
    <row r="1371" spans="1:1" s="287" customFormat="1" ht="12" hidden="1" customHeight="1">
      <c r="A1371" s="286"/>
    </row>
    <row r="1372" spans="1:1" s="287" customFormat="1" ht="12" hidden="1" customHeight="1">
      <c r="A1372" s="286"/>
    </row>
    <row r="1373" spans="1:1" s="287" customFormat="1" ht="12" hidden="1" customHeight="1">
      <c r="A1373" s="286"/>
    </row>
    <row r="1374" spans="1:1" s="287" customFormat="1" ht="12" hidden="1" customHeight="1">
      <c r="A1374" s="286"/>
    </row>
    <row r="1375" spans="1:1" s="287" customFormat="1" ht="12" hidden="1" customHeight="1">
      <c r="A1375" s="286"/>
    </row>
    <row r="1376" spans="1:1" s="287" customFormat="1" ht="12" hidden="1" customHeight="1">
      <c r="A1376" s="286"/>
    </row>
    <row r="1377" spans="1:1" s="287" customFormat="1" ht="12" hidden="1" customHeight="1">
      <c r="A1377" s="286"/>
    </row>
    <row r="1378" spans="1:1" s="287" customFormat="1" ht="12" hidden="1" customHeight="1">
      <c r="A1378" s="286"/>
    </row>
    <row r="1379" spans="1:1" s="287" customFormat="1" ht="12" hidden="1" customHeight="1">
      <c r="A1379" s="286"/>
    </row>
    <row r="1380" spans="1:1" s="287" customFormat="1" ht="12" hidden="1" customHeight="1">
      <c r="A1380" s="286"/>
    </row>
    <row r="1381" spans="1:1" s="287" customFormat="1" ht="12" hidden="1" customHeight="1">
      <c r="A1381" s="286"/>
    </row>
    <row r="1382" spans="1:1" s="287" customFormat="1" ht="12" hidden="1" customHeight="1">
      <c r="A1382" s="286"/>
    </row>
    <row r="1383" spans="1:1" s="287" customFormat="1" ht="12" hidden="1" customHeight="1">
      <c r="A1383" s="286"/>
    </row>
    <row r="1384" spans="1:1" s="287" customFormat="1" ht="12" hidden="1" customHeight="1">
      <c r="A1384" s="286"/>
    </row>
    <row r="1385" spans="1:1" s="287" customFormat="1" ht="12" hidden="1" customHeight="1">
      <c r="A1385" s="286"/>
    </row>
    <row r="1386" spans="1:1" s="287" customFormat="1" ht="12" hidden="1" customHeight="1">
      <c r="A1386" s="286"/>
    </row>
    <row r="1387" spans="1:1" s="287" customFormat="1" ht="12" hidden="1" customHeight="1">
      <c r="A1387" s="286"/>
    </row>
    <row r="1388" spans="1:1" s="287" customFormat="1" ht="12" hidden="1" customHeight="1">
      <c r="A1388" s="286"/>
    </row>
    <row r="1389" spans="1:1" s="287" customFormat="1" ht="12" hidden="1" customHeight="1">
      <c r="A1389" s="286"/>
    </row>
    <row r="1390" spans="1:1" s="287" customFormat="1" ht="12" hidden="1" customHeight="1">
      <c r="A1390" s="286"/>
    </row>
    <row r="1391" spans="1:1" s="287" customFormat="1" ht="12" hidden="1" customHeight="1">
      <c r="A1391" s="286"/>
    </row>
    <row r="1392" spans="1:1" s="287" customFormat="1" ht="12" hidden="1" customHeight="1">
      <c r="A1392" s="286"/>
    </row>
    <row r="1393" spans="1:1" s="287" customFormat="1" ht="12" hidden="1" customHeight="1">
      <c r="A1393" s="286"/>
    </row>
    <row r="1394" spans="1:1" s="287" customFormat="1" ht="12" hidden="1" customHeight="1">
      <c r="A1394" s="286"/>
    </row>
    <row r="1395" spans="1:1" s="287" customFormat="1" ht="12" hidden="1" customHeight="1">
      <c r="A1395" s="286"/>
    </row>
    <row r="1396" spans="1:1" s="287" customFormat="1" ht="12" hidden="1" customHeight="1">
      <c r="A1396" s="286"/>
    </row>
    <row r="1397" spans="1:1" s="287" customFormat="1" ht="12" hidden="1" customHeight="1">
      <c r="A1397" s="286"/>
    </row>
    <row r="1398" spans="1:1" s="287" customFormat="1" ht="12" hidden="1" customHeight="1">
      <c r="A1398" s="286"/>
    </row>
    <row r="1399" spans="1:1" s="287" customFormat="1" ht="12" hidden="1" customHeight="1">
      <c r="A1399" s="286"/>
    </row>
    <row r="1400" spans="1:1" s="287" customFormat="1" ht="12" hidden="1" customHeight="1">
      <c r="A1400" s="286"/>
    </row>
    <row r="1401" spans="1:1" s="287" customFormat="1" ht="12" hidden="1" customHeight="1">
      <c r="A1401" s="286"/>
    </row>
    <row r="1402" spans="1:1" s="287" customFormat="1" ht="12" hidden="1" customHeight="1">
      <c r="A1402" s="286"/>
    </row>
    <row r="1403" spans="1:1" s="287" customFormat="1" ht="12" hidden="1" customHeight="1">
      <c r="A1403" s="286"/>
    </row>
    <row r="1404" spans="1:1" s="287" customFormat="1" ht="12" hidden="1" customHeight="1">
      <c r="A1404" s="286"/>
    </row>
    <row r="1405" spans="1:1" s="287" customFormat="1" ht="12" hidden="1" customHeight="1">
      <c r="A1405" s="286"/>
    </row>
    <row r="1406" spans="1:1" s="287" customFormat="1" ht="12" hidden="1" customHeight="1">
      <c r="A1406" s="286"/>
    </row>
    <row r="1407" spans="1:1" s="287" customFormat="1" ht="12" hidden="1" customHeight="1">
      <c r="A1407" s="286"/>
    </row>
    <row r="1408" spans="1:1" s="287" customFormat="1" ht="12" hidden="1" customHeight="1">
      <c r="A1408" s="286"/>
    </row>
    <row r="1409" spans="1:1" s="287" customFormat="1" ht="12" hidden="1" customHeight="1">
      <c r="A1409" s="286"/>
    </row>
    <row r="1410" spans="1:1" s="287" customFormat="1" ht="12" hidden="1" customHeight="1">
      <c r="A1410" s="286"/>
    </row>
    <row r="1411" spans="1:1" s="287" customFormat="1" ht="12" hidden="1" customHeight="1">
      <c r="A1411" s="286"/>
    </row>
    <row r="1412" spans="1:1" s="287" customFormat="1" ht="12" hidden="1" customHeight="1">
      <c r="A1412" s="286"/>
    </row>
    <row r="1413" spans="1:1" s="287" customFormat="1" ht="12" hidden="1" customHeight="1">
      <c r="A1413" s="286"/>
    </row>
    <row r="1414" spans="1:1" s="287" customFormat="1" ht="12" hidden="1" customHeight="1">
      <c r="A1414" s="286"/>
    </row>
    <row r="1415" spans="1:1" s="287" customFormat="1" ht="12" hidden="1" customHeight="1">
      <c r="A1415" s="286"/>
    </row>
    <row r="1416" spans="1:1" s="287" customFormat="1" ht="12" hidden="1" customHeight="1">
      <c r="A1416" s="286"/>
    </row>
    <row r="1417" spans="1:1" s="287" customFormat="1" ht="12" hidden="1" customHeight="1">
      <c r="A1417" s="286"/>
    </row>
    <row r="1418" spans="1:1" s="287" customFormat="1" ht="12" hidden="1" customHeight="1">
      <c r="A1418" s="286"/>
    </row>
    <row r="1419" spans="1:1" s="287" customFormat="1" ht="12" hidden="1" customHeight="1">
      <c r="A1419" s="286"/>
    </row>
    <row r="1420" spans="1:1" s="287" customFormat="1" ht="12" hidden="1" customHeight="1">
      <c r="A1420" s="286"/>
    </row>
    <row r="1421" spans="1:1" s="287" customFormat="1" ht="12" hidden="1" customHeight="1">
      <c r="A1421" s="286"/>
    </row>
    <row r="1422" spans="1:1" s="287" customFormat="1" ht="12" hidden="1" customHeight="1">
      <c r="A1422" s="286"/>
    </row>
    <row r="1423" spans="1:1" s="287" customFormat="1" ht="12" hidden="1" customHeight="1">
      <c r="A1423" s="286"/>
    </row>
    <row r="1424" spans="1:1" s="287" customFormat="1" ht="12" hidden="1" customHeight="1">
      <c r="A1424" s="286"/>
    </row>
    <row r="1425" spans="1:1" s="287" customFormat="1" ht="12" hidden="1" customHeight="1">
      <c r="A1425" s="286"/>
    </row>
    <row r="1426" spans="1:1" s="287" customFormat="1" ht="12" hidden="1" customHeight="1">
      <c r="A1426" s="286"/>
    </row>
    <row r="1427" spans="1:1" s="287" customFormat="1" ht="12" hidden="1" customHeight="1">
      <c r="A1427" s="286"/>
    </row>
    <row r="1428" spans="1:1" s="287" customFormat="1" ht="12" hidden="1" customHeight="1">
      <c r="A1428" s="286"/>
    </row>
    <row r="1429" spans="1:1" s="287" customFormat="1" ht="12" hidden="1" customHeight="1">
      <c r="A1429" s="286"/>
    </row>
    <row r="1430" spans="1:1" s="287" customFormat="1" ht="12" hidden="1" customHeight="1">
      <c r="A1430" s="286"/>
    </row>
    <row r="1431" spans="1:1" s="287" customFormat="1" ht="12" hidden="1" customHeight="1">
      <c r="A1431" s="286"/>
    </row>
    <row r="1432" spans="1:1" s="287" customFormat="1" ht="12" hidden="1" customHeight="1">
      <c r="A1432" s="286"/>
    </row>
    <row r="1433" spans="1:1" s="287" customFormat="1" ht="12" hidden="1" customHeight="1">
      <c r="A1433" s="286"/>
    </row>
    <row r="1434" spans="1:1" s="287" customFormat="1" ht="12" hidden="1" customHeight="1">
      <c r="A1434" s="286"/>
    </row>
    <row r="1435" spans="1:1" s="287" customFormat="1" ht="12" hidden="1" customHeight="1">
      <c r="A1435" s="286"/>
    </row>
    <row r="1436" spans="1:1" s="287" customFormat="1" ht="12" hidden="1" customHeight="1">
      <c r="A1436" s="286"/>
    </row>
    <row r="1437" spans="1:1" s="287" customFormat="1" ht="12" hidden="1" customHeight="1">
      <c r="A1437" s="286"/>
    </row>
    <row r="1438" spans="1:1" s="287" customFormat="1" ht="12" hidden="1" customHeight="1">
      <c r="A1438" s="286"/>
    </row>
    <row r="1439" spans="1:1" s="287" customFormat="1" ht="12" hidden="1" customHeight="1">
      <c r="A1439" s="286"/>
    </row>
    <row r="1440" spans="1:1" s="287" customFormat="1" ht="12" hidden="1" customHeight="1">
      <c r="A1440" s="286"/>
    </row>
    <row r="1441" spans="1:1" s="287" customFormat="1" ht="12" hidden="1" customHeight="1">
      <c r="A1441" s="286"/>
    </row>
    <row r="1442" spans="1:1" s="287" customFormat="1" ht="12" hidden="1" customHeight="1">
      <c r="A1442" s="286"/>
    </row>
    <row r="1443" spans="1:1" s="287" customFormat="1" ht="12" hidden="1" customHeight="1">
      <c r="A1443" s="286"/>
    </row>
    <row r="1444" spans="1:1" s="287" customFormat="1" ht="12" hidden="1" customHeight="1">
      <c r="A1444" s="286"/>
    </row>
    <row r="1445" spans="1:1" s="287" customFormat="1" ht="12" hidden="1" customHeight="1">
      <c r="A1445" s="286"/>
    </row>
    <row r="1446" spans="1:1" s="287" customFormat="1" ht="12" hidden="1" customHeight="1">
      <c r="A1446" s="286"/>
    </row>
    <row r="1447" spans="1:1" s="287" customFormat="1" ht="12" hidden="1" customHeight="1">
      <c r="A1447" s="286"/>
    </row>
    <row r="1448" spans="1:1" s="287" customFormat="1" ht="12" hidden="1" customHeight="1">
      <c r="A1448" s="286"/>
    </row>
    <row r="1449" spans="1:1" s="287" customFormat="1" ht="12" hidden="1" customHeight="1">
      <c r="A1449" s="286"/>
    </row>
    <row r="1450" spans="1:1" s="287" customFormat="1" ht="12" hidden="1" customHeight="1">
      <c r="A1450" s="286"/>
    </row>
    <row r="1451" spans="1:1" s="287" customFormat="1" ht="12" hidden="1" customHeight="1">
      <c r="A1451" s="286"/>
    </row>
    <row r="1452" spans="1:1" s="287" customFormat="1" ht="12" hidden="1" customHeight="1">
      <c r="A1452" s="286"/>
    </row>
    <row r="1453" spans="1:1" s="287" customFormat="1" ht="12" hidden="1" customHeight="1">
      <c r="A1453" s="286"/>
    </row>
    <row r="1454" spans="1:1" s="287" customFormat="1" ht="12" hidden="1" customHeight="1">
      <c r="A1454" s="286"/>
    </row>
    <row r="1455" spans="1:1" s="287" customFormat="1" ht="12" hidden="1" customHeight="1">
      <c r="A1455" s="286"/>
    </row>
    <row r="1456" spans="1:1" s="287" customFormat="1" ht="12" hidden="1" customHeight="1">
      <c r="A1456" s="286"/>
    </row>
    <row r="1457" spans="1:1" s="287" customFormat="1" ht="12" hidden="1" customHeight="1">
      <c r="A1457" s="286"/>
    </row>
    <row r="1458" spans="1:1" s="287" customFormat="1" ht="12" hidden="1" customHeight="1">
      <c r="A1458" s="286"/>
    </row>
    <row r="1459" spans="1:1" s="287" customFormat="1" ht="12" hidden="1" customHeight="1">
      <c r="A1459" s="286"/>
    </row>
    <row r="1460" spans="1:1" s="287" customFormat="1" ht="12" hidden="1" customHeight="1">
      <c r="A1460" s="286"/>
    </row>
    <row r="1461" spans="1:1" s="287" customFormat="1" ht="12" hidden="1" customHeight="1">
      <c r="A1461" s="286"/>
    </row>
    <row r="1462" spans="1:1" s="287" customFormat="1" ht="12" hidden="1" customHeight="1">
      <c r="A1462" s="286"/>
    </row>
    <row r="1463" spans="1:1" s="287" customFormat="1" ht="12" hidden="1" customHeight="1">
      <c r="A1463" s="286"/>
    </row>
    <row r="1464" spans="1:1" s="287" customFormat="1" ht="12" hidden="1" customHeight="1">
      <c r="A1464" s="286"/>
    </row>
    <row r="1465" spans="1:1" s="287" customFormat="1" ht="12" hidden="1" customHeight="1">
      <c r="A1465" s="286"/>
    </row>
    <row r="1466" spans="1:1" s="287" customFormat="1" ht="12" hidden="1" customHeight="1">
      <c r="A1466" s="286"/>
    </row>
    <row r="1467" spans="1:1" s="287" customFormat="1" ht="12" hidden="1" customHeight="1">
      <c r="A1467" s="286"/>
    </row>
    <row r="1468" spans="1:1" s="287" customFormat="1" ht="12" hidden="1" customHeight="1">
      <c r="A1468" s="286"/>
    </row>
    <row r="1469" spans="1:1" s="287" customFormat="1" ht="12" hidden="1" customHeight="1">
      <c r="A1469" s="286"/>
    </row>
    <row r="1470" spans="1:1" s="287" customFormat="1" ht="12" hidden="1" customHeight="1">
      <c r="A1470" s="286"/>
    </row>
    <row r="1471" spans="1:1" s="287" customFormat="1" ht="12" hidden="1" customHeight="1">
      <c r="A1471" s="286"/>
    </row>
    <row r="1472" spans="1:1" s="287" customFormat="1" ht="12" hidden="1" customHeight="1">
      <c r="A1472" s="286"/>
    </row>
    <row r="1473" spans="1:1" s="287" customFormat="1" ht="12" hidden="1" customHeight="1">
      <c r="A1473" s="286"/>
    </row>
    <row r="1474" spans="1:1" s="287" customFormat="1" ht="12" hidden="1" customHeight="1">
      <c r="A1474" s="286"/>
    </row>
    <row r="1475" spans="1:1" s="287" customFormat="1" ht="12" hidden="1" customHeight="1">
      <c r="A1475" s="286"/>
    </row>
    <row r="1476" spans="1:1" s="287" customFormat="1" ht="12" hidden="1" customHeight="1">
      <c r="A1476" s="286"/>
    </row>
    <row r="1477" spans="1:1" s="287" customFormat="1" ht="12" hidden="1" customHeight="1">
      <c r="A1477" s="286"/>
    </row>
    <row r="1478" spans="1:1" s="287" customFormat="1" ht="12" hidden="1" customHeight="1">
      <c r="A1478" s="286"/>
    </row>
    <row r="1479" spans="1:1" s="287" customFormat="1" ht="12" hidden="1" customHeight="1">
      <c r="A1479" s="286"/>
    </row>
    <row r="1480" spans="1:1" s="287" customFormat="1" ht="12" hidden="1" customHeight="1">
      <c r="A1480" s="286"/>
    </row>
    <row r="1481" spans="1:1" s="287" customFormat="1" ht="12" hidden="1" customHeight="1">
      <c r="A1481" s="286"/>
    </row>
    <row r="1482" spans="1:1" s="287" customFormat="1" ht="12" hidden="1" customHeight="1">
      <c r="A1482" s="286"/>
    </row>
    <row r="1483" spans="1:1" s="287" customFormat="1" ht="12" hidden="1" customHeight="1">
      <c r="A1483" s="286"/>
    </row>
    <row r="1484" spans="1:1" s="287" customFormat="1" ht="12" hidden="1" customHeight="1">
      <c r="A1484" s="286"/>
    </row>
    <row r="1485" spans="1:1" s="287" customFormat="1" ht="12" hidden="1" customHeight="1">
      <c r="A1485" s="286"/>
    </row>
    <row r="1486" spans="1:1" s="287" customFormat="1" ht="12" hidden="1" customHeight="1">
      <c r="A1486" s="286"/>
    </row>
    <row r="1487" spans="1:1" s="287" customFormat="1" ht="12" hidden="1" customHeight="1">
      <c r="A1487" s="286"/>
    </row>
    <row r="1488" spans="1:1" s="287" customFormat="1" ht="12" hidden="1" customHeight="1">
      <c r="A1488" s="286"/>
    </row>
    <row r="1489" spans="1:1" s="287" customFormat="1" ht="12" hidden="1" customHeight="1">
      <c r="A1489" s="286"/>
    </row>
    <row r="1490" spans="1:1" s="287" customFormat="1" ht="12" hidden="1" customHeight="1">
      <c r="A1490" s="286"/>
    </row>
    <row r="1491" spans="1:1" s="287" customFormat="1" ht="12" hidden="1" customHeight="1">
      <c r="A1491" s="286"/>
    </row>
    <row r="1492" spans="1:1" s="287" customFormat="1" ht="12" hidden="1" customHeight="1">
      <c r="A1492" s="286"/>
    </row>
    <row r="1493" spans="1:1" s="287" customFormat="1" ht="12" hidden="1" customHeight="1">
      <c r="A1493" s="286"/>
    </row>
    <row r="1494" spans="1:1" s="287" customFormat="1" ht="12" hidden="1" customHeight="1">
      <c r="A1494" s="286"/>
    </row>
    <row r="1495" spans="1:1" s="287" customFormat="1" ht="12" hidden="1" customHeight="1">
      <c r="A1495" s="286"/>
    </row>
    <row r="1496" spans="1:1" s="287" customFormat="1" ht="12" hidden="1" customHeight="1">
      <c r="A1496" s="286"/>
    </row>
    <row r="1497" spans="1:1" s="287" customFormat="1" ht="12" hidden="1" customHeight="1">
      <c r="A1497" s="286"/>
    </row>
    <row r="1498" spans="1:1" s="287" customFormat="1" ht="12" hidden="1" customHeight="1">
      <c r="A1498" s="286"/>
    </row>
    <row r="1499" spans="1:1" s="287" customFormat="1" ht="12" hidden="1" customHeight="1">
      <c r="A1499" s="286"/>
    </row>
    <row r="1500" spans="1:1" s="287" customFormat="1" ht="12" hidden="1" customHeight="1">
      <c r="A1500" s="286"/>
    </row>
    <row r="1501" spans="1:1" s="287" customFormat="1" ht="12" hidden="1" customHeight="1">
      <c r="A1501" s="286"/>
    </row>
    <row r="1502" spans="1:1" s="287" customFormat="1" ht="12" hidden="1" customHeight="1">
      <c r="A1502" s="286"/>
    </row>
    <row r="1503" spans="1:1" s="287" customFormat="1" ht="12" hidden="1" customHeight="1">
      <c r="A1503" s="286"/>
    </row>
    <row r="1504" spans="1:1" s="287" customFormat="1" ht="12" hidden="1" customHeight="1">
      <c r="A1504" s="286"/>
    </row>
    <row r="1505" spans="1:1" s="287" customFormat="1" ht="12" hidden="1" customHeight="1">
      <c r="A1505" s="286"/>
    </row>
    <row r="1506" spans="1:1" s="287" customFormat="1" ht="12" hidden="1" customHeight="1">
      <c r="A1506" s="286"/>
    </row>
    <row r="1507" spans="1:1" s="287" customFormat="1" ht="12" hidden="1" customHeight="1">
      <c r="A1507" s="286"/>
    </row>
    <row r="1508" spans="1:1" s="287" customFormat="1" ht="12" hidden="1" customHeight="1">
      <c r="A1508" s="286"/>
    </row>
    <row r="1509" spans="1:1" s="287" customFormat="1" ht="12" hidden="1" customHeight="1">
      <c r="A1509" s="286"/>
    </row>
    <row r="1510" spans="1:1" s="287" customFormat="1" ht="12" hidden="1" customHeight="1">
      <c r="A1510" s="286"/>
    </row>
    <row r="1511" spans="1:1" s="287" customFormat="1" ht="12" hidden="1" customHeight="1">
      <c r="A1511" s="286"/>
    </row>
    <row r="1512" spans="1:1" s="287" customFormat="1" ht="12" hidden="1" customHeight="1">
      <c r="A1512" s="286"/>
    </row>
    <row r="1513" spans="1:1" s="287" customFormat="1" ht="12" hidden="1" customHeight="1">
      <c r="A1513" s="286"/>
    </row>
    <row r="1514" spans="1:1" s="287" customFormat="1" ht="12" hidden="1" customHeight="1">
      <c r="A1514" s="286"/>
    </row>
    <row r="1515" spans="1:1" s="287" customFormat="1" ht="12" hidden="1" customHeight="1">
      <c r="A1515" s="286"/>
    </row>
    <row r="1516" spans="1:1" s="287" customFormat="1" ht="12" hidden="1" customHeight="1">
      <c r="A1516" s="286"/>
    </row>
    <row r="1517" spans="1:1" s="287" customFormat="1" ht="12" hidden="1" customHeight="1">
      <c r="A1517" s="286"/>
    </row>
    <row r="1518" spans="1:1" s="287" customFormat="1" ht="12" hidden="1" customHeight="1">
      <c r="A1518" s="286"/>
    </row>
    <row r="1519" spans="1:1" s="287" customFormat="1" ht="12" hidden="1" customHeight="1">
      <c r="A1519" s="286"/>
    </row>
    <row r="1520" spans="1:1" s="287" customFormat="1" ht="12" hidden="1" customHeight="1">
      <c r="A1520" s="286"/>
    </row>
    <row r="1521" spans="1:1" s="287" customFormat="1" ht="12" hidden="1" customHeight="1">
      <c r="A1521" s="286"/>
    </row>
    <row r="1522" spans="1:1" s="287" customFormat="1" ht="12" hidden="1" customHeight="1">
      <c r="A1522" s="286"/>
    </row>
    <row r="1523" spans="1:1" s="287" customFormat="1" ht="12" hidden="1" customHeight="1">
      <c r="A1523" s="286"/>
    </row>
    <row r="1524" spans="1:1" s="287" customFormat="1" ht="12" hidden="1" customHeight="1">
      <c r="A1524" s="286"/>
    </row>
    <row r="1525" spans="1:1" s="287" customFormat="1" ht="12" hidden="1" customHeight="1">
      <c r="A1525" s="286"/>
    </row>
    <row r="1526" spans="1:1" s="287" customFormat="1" ht="12" hidden="1" customHeight="1">
      <c r="A1526" s="286"/>
    </row>
    <row r="1527" spans="1:1" s="287" customFormat="1" ht="12" hidden="1" customHeight="1">
      <c r="A1527" s="286"/>
    </row>
    <row r="1528" spans="1:1" s="287" customFormat="1" ht="12" hidden="1" customHeight="1">
      <c r="A1528" s="286"/>
    </row>
    <row r="1529" spans="1:1" s="287" customFormat="1" ht="12" hidden="1" customHeight="1">
      <c r="A1529" s="286"/>
    </row>
    <row r="1530" spans="1:1" s="287" customFormat="1" ht="12" hidden="1" customHeight="1">
      <c r="A1530" s="286"/>
    </row>
    <row r="1531" spans="1:1" s="287" customFormat="1" ht="12" hidden="1" customHeight="1">
      <c r="A1531" s="286"/>
    </row>
    <row r="1532" spans="1:1" s="287" customFormat="1" ht="12" hidden="1" customHeight="1">
      <c r="A1532" s="286"/>
    </row>
    <row r="1533" spans="1:1" s="287" customFormat="1" ht="12" hidden="1" customHeight="1">
      <c r="A1533" s="286"/>
    </row>
    <row r="1534" spans="1:1" s="287" customFormat="1" ht="12" hidden="1" customHeight="1">
      <c r="A1534" s="286"/>
    </row>
    <row r="1535" spans="1:1" s="287" customFormat="1" ht="12" hidden="1" customHeight="1">
      <c r="A1535" s="286"/>
    </row>
    <row r="1536" spans="1:1" s="287" customFormat="1" ht="12" hidden="1" customHeight="1">
      <c r="A1536" s="286"/>
    </row>
    <row r="1537" spans="1:1" s="287" customFormat="1" ht="12" hidden="1" customHeight="1">
      <c r="A1537" s="286"/>
    </row>
    <row r="1538" spans="1:1" s="287" customFormat="1" ht="12" hidden="1" customHeight="1">
      <c r="A1538" s="286"/>
    </row>
    <row r="1539" spans="1:1" s="287" customFormat="1" ht="12" hidden="1" customHeight="1">
      <c r="A1539" s="286"/>
    </row>
    <row r="1540" spans="1:1" s="287" customFormat="1" ht="12" hidden="1" customHeight="1">
      <c r="A1540" s="286"/>
    </row>
    <row r="1541" spans="1:1" s="287" customFormat="1" ht="12" hidden="1" customHeight="1">
      <c r="A1541" s="286"/>
    </row>
    <row r="1542" spans="1:1" s="287" customFormat="1" ht="12" hidden="1" customHeight="1">
      <c r="A1542" s="286"/>
    </row>
    <row r="1543" spans="1:1" s="287" customFormat="1" ht="12" hidden="1" customHeight="1">
      <c r="A1543" s="286"/>
    </row>
    <row r="1544" spans="1:1" s="287" customFormat="1" ht="12" hidden="1" customHeight="1">
      <c r="A1544" s="286"/>
    </row>
    <row r="1545" spans="1:1" s="287" customFormat="1" ht="12" hidden="1" customHeight="1">
      <c r="A1545" s="286"/>
    </row>
    <row r="1546" spans="1:1" s="287" customFormat="1" ht="12" hidden="1" customHeight="1">
      <c r="A1546" s="286"/>
    </row>
    <row r="1547" spans="1:1" s="287" customFormat="1" ht="12" hidden="1" customHeight="1">
      <c r="A1547" s="286"/>
    </row>
    <row r="1548" spans="1:1" s="287" customFormat="1" ht="12" hidden="1" customHeight="1">
      <c r="A1548" s="286"/>
    </row>
    <row r="1549" spans="1:1" s="287" customFormat="1" ht="12" hidden="1" customHeight="1">
      <c r="A1549" s="286"/>
    </row>
    <row r="1550" spans="1:1" s="287" customFormat="1" ht="12" hidden="1" customHeight="1">
      <c r="A1550" s="286"/>
    </row>
    <row r="1551" spans="1:1" s="287" customFormat="1" ht="12" hidden="1" customHeight="1">
      <c r="A1551" s="286"/>
    </row>
    <row r="1552" spans="1:1" s="287" customFormat="1" ht="12" hidden="1" customHeight="1">
      <c r="A1552" s="286"/>
    </row>
    <row r="1553" spans="1:1" s="287" customFormat="1" ht="12" hidden="1" customHeight="1">
      <c r="A1553" s="286"/>
    </row>
    <row r="1554" spans="1:1" s="287" customFormat="1" ht="12" hidden="1" customHeight="1">
      <c r="A1554" s="286"/>
    </row>
    <row r="1555" spans="1:1" s="287" customFormat="1" ht="12" hidden="1" customHeight="1">
      <c r="A1555" s="286"/>
    </row>
    <row r="1556" spans="1:1" s="287" customFormat="1" ht="12" hidden="1" customHeight="1">
      <c r="A1556" s="286"/>
    </row>
    <row r="1557" spans="1:1" s="287" customFormat="1" ht="12" hidden="1" customHeight="1">
      <c r="A1557" s="286"/>
    </row>
    <row r="1558" spans="1:1" s="287" customFormat="1" ht="12" hidden="1" customHeight="1">
      <c r="A1558" s="286"/>
    </row>
    <row r="1559" spans="1:1" s="287" customFormat="1" ht="12" hidden="1" customHeight="1">
      <c r="A1559" s="286"/>
    </row>
    <row r="1560" spans="1:1" s="287" customFormat="1" ht="12" hidden="1" customHeight="1">
      <c r="A1560" s="286"/>
    </row>
    <row r="1561" spans="1:1" s="287" customFormat="1" ht="12" hidden="1" customHeight="1">
      <c r="A1561" s="286"/>
    </row>
    <row r="1562" spans="1:1" s="287" customFormat="1" ht="12" hidden="1" customHeight="1">
      <c r="A1562" s="286"/>
    </row>
    <row r="1563" spans="1:1" s="287" customFormat="1" ht="12" hidden="1" customHeight="1">
      <c r="A1563" s="286"/>
    </row>
    <row r="1564" spans="1:1" s="287" customFormat="1" ht="12" hidden="1" customHeight="1">
      <c r="A1564" s="286"/>
    </row>
    <row r="1565" spans="1:1" s="287" customFormat="1" ht="12" hidden="1" customHeight="1">
      <c r="A1565" s="286"/>
    </row>
    <row r="1566" spans="1:1" s="287" customFormat="1" ht="12" hidden="1" customHeight="1">
      <c r="A1566" s="286"/>
    </row>
    <row r="1567" spans="1:1" s="287" customFormat="1" ht="12" hidden="1" customHeight="1">
      <c r="A1567" s="286"/>
    </row>
    <row r="1568" spans="1:1" s="287" customFormat="1" ht="12" hidden="1" customHeight="1">
      <c r="A1568" s="286"/>
    </row>
    <row r="1569" spans="1:1" s="287" customFormat="1" ht="12" hidden="1" customHeight="1">
      <c r="A1569" s="286"/>
    </row>
    <row r="1570" spans="1:1" s="287" customFormat="1" ht="12" hidden="1" customHeight="1">
      <c r="A1570" s="286"/>
    </row>
    <row r="1571" spans="1:1" s="287" customFormat="1" ht="12" hidden="1" customHeight="1">
      <c r="A1571" s="286"/>
    </row>
    <row r="1572" spans="1:1" s="287" customFormat="1" ht="12" hidden="1" customHeight="1">
      <c r="A1572" s="286"/>
    </row>
    <row r="1573" spans="1:1" s="287" customFormat="1" ht="12" hidden="1" customHeight="1">
      <c r="A1573" s="286"/>
    </row>
    <row r="1574" spans="1:1" s="287" customFormat="1" ht="12" hidden="1" customHeight="1">
      <c r="A1574" s="286"/>
    </row>
    <row r="1575" spans="1:1" s="287" customFormat="1" ht="12" hidden="1" customHeight="1">
      <c r="A1575" s="286"/>
    </row>
    <row r="1576" spans="1:1" s="287" customFormat="1" ht="12" hidden="1" customHeight="1">
      <c r="A1576" s="286"/>
    </row>
    <row r="1577" spans="1:1" s="287" customFormat="1" ht="12" hidden="1" customHeight="1">
      <c r="A1577" s="286"/>
    </row>
    <row r="1578" spans="1:1" s="287" customFormat="1" ht="12" hidden="1" customHeight="1">
      <c r="A1578" s="286"/>
    </row>
    <row r="1579" spans="1:1" s="287" customFormat="1" ht="12" hidden="1" customHeight="1">
      <c r="A1579" s="286"/>
    </row>
    <row r="1580" spans="1:1" s="287" customFormat="1" ht="12" hidden="1" customHeight="1">
      <c r="A1580" s="286"/>
    </row>
    <row r="1581" spans="1:1" s="287" customFormat="1" ht="12" hidden="1" customHeight="1">
      <c r="A1581" s="286"/>
    </row>
    <row r="1582" spans="1:1" s="287" customFormat="1" ht="12" hidden="1" customHeight="1">
      <c r="A1582" s="286"/>
    </row>
    <row r="1583" spans="1:1" s="287" customFormat="1" ht="12" hidden="1" customHeight="1">
      <c r="A1583" s="286"/>
    </row>
    <row r="1584" spans="1:1" s="287" customFormat="1" ht="12" hidden="1" customHeight="1">
      <c r="A1584" s="286"/>
    </row>
    <row r="1585" spans="1:1" s="287" customFormat="1" ht="12" hidden="1" customHeight="1">
      <c r="A1585" s="286"/>
    </row>
    <row r="1586" spans="1:1" s="287" customFormat="1" ht="12" hidden="1" customHeight="1">
      <c r="A1586" s="286"/>
    </row>
    <row r="1587" spans="1:1" s="287" customFormat="1" ht="12" hidden="1" customHeight="1">
      <c r="A1587" s="286"/>
    </row>
    <row r="1588" spans="1:1" s="287" customFormat="1" ht="12" hidden="1" customHeight="1">
      <c r="A1588" s="286"/>
    </row>
    <row r="1589" spans="1:1" s="287" customFormat="1" ht="12" hidden="1" customHeight="1">
      <c r="A1589" s="286"/>
    </row>
    <row r="1590" spans="1:1" s="287" customFormat="1" ht="12" hidden="1" customHeight="1">
      <c r="A1590" s="286"/>
    </row>
    <row r="1591" spans="1:1" s="287" customFormat="1" ht="12" hidden="1" customHeight="1">
      <c r="A1591" s="286"/>
    </row>
    <row r="1592" spans="1:1" s="287" customFormat="1" ht="12" hidden="1" customHeight="1">
      <c r="A1592" s="286"/>
    </row>
    <row r="1593" spans="1:1" s="287" customFormat="1" ht="12" hidden="1" customHeight="1">
      <c r="A1593" s="286"/>
    </row>
    <row r="1594" spans="1:1" s="287" customFormat="1" ht="12" hidden="1" customHeight="1">
      <c r="A1594" s="286"/>
    </row>
    <row r="1595" spans="1:1" s="287" customFormat="1" ht="12" hidden="1" customHeight="1">
      <c r="A1595" s="286"/>
    </row>
    <row r="1596" spans="1:1" s="287" customFormat="1" ht="12" hidden="1" customHeight="1">
      <c r="A1596" s="286"/>
    </row>
    <row r="1597" spans="1:1" s="287" customFormat="1" ht="12" hidden="1" customHeight="1">
      <c r="A1597" s="286"/>
    </row>
    <row r="1598" spans="1:1" s="287" customFormat="1" ht="12" hidden="1" customHeight="1">
      <c r="A1598" s="286"/>
    </row>
    <row r="1599" spans="1:1" s="287" customFormat="1" ht="12" hidden="1" customHeight="1">
      <c r="A1599" s="286"/>
    </row>
    <row r="1600" spans="1:1" s="287" customFormat="1" ht="12" hidden="1" customHeight="1">
      <c r="A1600" s="286"/>
    </row>
    <row r="1601" spans="1:1" s="287" customFormat="1" ht="12" hidden="1" customHeight="1">
      <c r="A1601" s="286"/>
    </row>
    <row r="1602" spans="1:1" s="287" customFormat="1" ht="12" hidden="1" customHeight="1">
      <c r="A1602" s="286"/>
    </row>
    <row r="1603" spans="1:1" s="287" customFormat="1" ht="12" hidden="1" customHeight="1">
      <c r="A1603" s="286"/>
    </row>
    <row r="1604" spans="1:1" s="287" customFormat="1" ht="12" hidden="1" customHeight="1">
      <c r="A1604" s="286"/>
    </row>
    <row r="1605" spans="1:1" s="287" customFormat="1" ht="12" hidden="1" customHeight="1">
      <c r="A1605" s="286"/>
    </row>
    <row r="1606" spans="1:1" s="287" customFormat="1" ht="12" hidden="1" customHeight="1">
      <c r="A1606" s="286"/>
    </row>
    <row r="1607" spans="1:1" s="287" customFormat="1" ht="12" hidden="1" customHeight="1">
      <c r="A1607" s="286"/>
    </row>
    <row r="1608" spans="1:1" s="287" customFormat="1" ht="12" hidden="1" customHeight="1">
      <c r="A1608" s="286"/>
    </row>
    <row r="1609" spans="1:1" s="287" customFormat="1" ht="12" hidden="1" customHeight="1">
      <c r="A1609" s="286"/>
    </row>
    <row r="1610" spans="1:1" s="287" customFormat="1" ht="12" hidden="1" customHeight="1">
      <c r="A1610" s="286"/>
    </row>
    <row r="1611" spans="1:1" s="287" customFormat="1" ht="12" hidden="1" customHeight="1">
      <c r="A1611" s="286"/>
    </row>
    <row r="1612" spans="1:1" s="287" customFormat="1" ht="12" hidden="1" customHeight="1">
      <c r="A1612" s="286"/>
    </row>
    <row r="1613" spans="1:1" s="287" customFormat="1" ht="12" hidden="1" customHeight="1">
      <c r="A1613" s="286"/>
    </row>
    <row r="1614" spans="1:1" s="287" customFormat="1" ht="12" hidden="1" customHeight="1">
      <c r="A1614" s="286"/>
    </row>
    <row r="1615" spans="1:1" s="287" customFormat="1" ht="12" hidden="1" customHeight="1">
      <c r="A1615" s="286"/>
    </row>
    <row r="1616" spans="1:1" s="287" customFormat="1" ht="12" hidden="1" customHeight="1">
      <c r="A1616" s="286"/>
    </row>
    <row r="1617" spans="1:1" s="287" customFormat="1" ht="12" hidden="1" customHeight="1">
      <c r="A1617" s="286"/>
    </row>
    <row r="1618" spans="1:1" s="287" customFormat="1" ht="12" hidden="1" customHeight="1">
      <c r="A1618" s="286"/>
    </row>
    <row r="1619" spans="1:1" s="287" customFormat="1" ht="12" hidden="1" customHeight="1">
      <c r="A1619" s="286"/>
    </row>
    <row r="1620" spans="1:1" s="287" customFormat="1" ht="12" hidden="1" customHeight="1">
      <c r="A1620" s="286"/>
    </row>
    <row r="1621" spans="1:1" s="287" customFormat="1" ht="12" hidden="1" customHeight="1">
      <c r="A1621" s="286"/>
    </row>
    <row r="1622" spans="1:1" s="287" customFormat="1" ht="12" hidden="1" customHeight="1">
      <c r="A1622" s="286"/>
    </row>
    <row r="1623" spans="1:1" s="287" customFormat="1" ht="12" hidden="1" customHeight="1">
      <c r="A1623" s="286"/>
    </row>
    <row r="1624" spans="1:1" s="287" customFormat="1" ht="12" hidden="1" customHeight="1">
      <c r="A1624" s="286"/>
    </row>
    <row r="1625" spans="1:1" s="287" customFormat="1" ht="12" hidden="1" customHeight="1">
      <c r="A1625" s="286"/>
    </row>
    <row r="1626" spans="1:1" s="287" customFormat="1" ht="12" hidden="1" customHeight="1">
      <c r="A1626" s="286"/>
    </row>
    <row r="1627" spans="1:1" s="287" customFormat="1" ht="12" hidden="1" customHeight="1">
      <c r="A1627" s="286"/>
    </row>
    <row r="1628" spans="1:1" s="287" customFormat="1" ht="12" hidden="1" customHeight="1">
      <c r="A1628" s="286"/>
    </row>
    <row r="1629" spans="1:1" s="287" customFormat="1" ht="12" hidden="1" customHeight="1">
      <c r="A1629" s="286"/>
    </row>
    <row r="1630" spans="1:1" s="287" customFormat="1" ht="12" hidden="1" customHeight="1">
      <c r="A1630" s="286"/>
    </row>
    <row r="1631" spans="1:1" s="287" customFormat="1" ht="12" hidden="1" customHeight="1">
      <c r="A1631" s="286"/>
    </row>
    <row r="1632" spans="1:1" s="287" customFormat="1" ht="12" hidden="1" customHeight="1">
      <c r="A1632" s="286"/>
    </row>
    <row r="1633" spans="1:1" s="287" customFormat="1" ht="12" hidden="1" customHeight="1">
      <c r="A1633" s="286"/>
    </row>
    <row r="1634" spans="1:1" s="287" customFormat="1" ht="12" hidden="1" customHeight="1">
      <c r="A1634" s="286"/>
    </row>
    <row r="1635" spans="1:1" s="287" customFormat="1" ht="12" hidden="1" customHeight="1">
      <c r="A1635" s="286"/>
    </row>
    <row r="1636" spans="1:1" s="287" customFormat="1" ht="12" hidden="1" customHeight="1">
      <c r="A1636" s="286"/>
    </row>
    <row r="1637" spans="1:1" s="287" customFormat="1" ht="12" hidden="1" customHeight="1">
      <c r="A1637" s="286"/>
    </row>
    <row r="1638" spans="1:1" s="287" customFormat="1" ht="12" hidden="1" customHeight="1">
      <c r="A1638" s="286"/>
    </row>
    <row r="1639" spans="1:1" s="287" customFormat="1" ht="12" hidden="1" customHeight="1">
      <c r="A1639" s="286"/>
    </row>
    <row r="1640" spans="1:1" s="287" customFormat="1" ht="12" hidden="1" customHeight="1">
      <c r="A1640" s="286"/>
    </row>
    <row r="1641" spans="1:1" s="287" customFormat="1" ht="12" hidden="1" customHeight="1">
      <c r="A1641" s="286"/>
    </row>
    <row r="1642" spans="1:1" s="287" customFormat="1" ht="12" hidden="1" customHeight="1">
      <c r="A1642" s="286"/>
    </row>
    <row r="1643" spans="1:1" s="287" customFormat="1" ht="12" hidden="1" customHeight="1">
      <c r="A1643" s="286"/>
    </row>
    <row r="1644" spans="1:1" s="287" customFormat="1" ht="12" hidden="1" customHeight="1">
      <c r="A1644" s="286"/>
    </row>
    <row r="1645" spans="1:1" s="287" customFormat="1" ht="12" hidden="1" customHeight="1">
      <c r="A1645" s="286"/>
    </row>
    <row r="1646" spans="1:1" s="287" customFormat="1" ht="12" hidden="1" customHeight="1">
      <c r="A1646" s="286"/>
    </row>
    <row r="1647" spans="1:1" s="287" customFormat="1" ht="12" hidden="1" customHeight="1">
      <c r="A1647" s="286"/>
    </row>
    <row r="1648" spans="1:1" s="287" customFormat="1" ht="12" hidden="1" customHeight="1">
      <c r="A1648" s="286"/>
    </row>
    <row r="1649" spans="1:1" s="287" customFormat="1" ht="12" hidden="1" customHeight="1">
      <c r="A1649" s="286"/>
    </row>
    <row r="1650" spans="1:1" s="287" customFormat="1" ht="12" hidden="1" customHeight="1">
      <c r="A1650" s="286"/>
    </row>
    <row r="1651" spans="1:1" s="287" customFormat="1" ht="12" hidden="1" customHeight="1">
      <c r="A1651" s="286"/>
    </row>
    <row r="1652" spans="1:1" s="287" customFormat="1" ht="12" hidden="1" customHeight="1">
      <c r="A1652" s="286"/>
    </row>
    <row r="1653" spans="1:1" s="287" customFormat="1" ht="12" hidden="1" customHeight="1">
      <c r="A1653" s="286"/>
    </row>
    <row r="1654" spans="1:1" s="287" customFormat="1" ht="12" hidden="1" customHeight="1">
      <c r="A1654" s="286"/>
    </row>
    <row r="1655" spans="1:1" s="287" customFormat="1" ht="12" hidden="1" customHeight="1">
      <c r="A1655" s="286"/>
    </row>
    <row r="1656" spans="1:1" s="287" customFormat="1" ht="12" hidden="1" customHeight="1">
      <c r="A1656" s="286"/>
    </row>
    <row r="1657" spans="1:1" s="287" customFormat="1" ht="12" hidden="1" customHeight="1">
      <c r="A1657" s="286"/>
    </row>
    <row r="1658" spans="1:1" s="287" customFormat="1" ht="12" hidden="1" customHeight="1">
      <c r="A1658" s="286"/>
    </row>
    <row r="1659" spans="1:1" s="287" customFormat="1" ht="12" hidden="1" customHeight="1">
      <c r="A1659" s="286"/>
    </row>
    <row r="1660" spans="1:1" s="287" customFormat="1" ht="12" hidden="1" customHeight="1">
      <c r="A1660" s="286"/>
    </row>
    <row r="1661" spans="1:1" s="287" customFormat="1" ht="12" hidden="1" customHeight="1">
      <c r="A1661" s="286"/>
    </row>
    <row r="1662" spans="1:1" s="287" customFormat="1" ht="12" hidden="1" customHeight="1">
      <c r="A1662" s="286"/>
    </row>
    <row r="1663" spans="1:1" s="287" customFormat="1" ht="12" hidden="1" customHeight="1">
      <c r="A1663" s="286"/>
    </row>
    <row r="1664" spans="1:1" s="287" customFormat="1" ht="12" hidden="1" customHeight="1">
      <c r="A1664" s="286"/>
    </row>
    <row r="1665" spans="1:1" s="287" customFormat="1" ht="12" hidden="1" customHeight="1">
      <c r="A1665" s="286"/>
    </row>
    <row r="1666" spans="1:1" s="287" customFormat="1" ht="12" hidden="1" customHeight="1">
      <c r="A1666" s="286"/>
    </row>
    <row r="1667" spans="1:1" s="287" customFormat="1" ht="12" hidden="1" customHeight="1">
      <c r="A1667" s="286"/>
    </row>
    <row r="1668" spans="1:1" s="287" customFormat="1" ht="12" hidden="1" customHeight="1">
      <c r="A1668" s="286"/>
    </row>
    <row r="1669" spans="1:1" s="287" customFormat="1" ht="12" hidden="1" customHeight="1">
      <c r="A1669" s="286"/>
    </row>
    <row r="1670" spans="1:1" s="287" customFormat="1" ht="12" hidden="1" customHeight="1">
      <c r="A1670" s="286"/>
    </row>
    <row r="1671" spans="1:1" s="287" customFormat="1" ht="12" hidden="1" customHeight="1">
      <c r="A1671" s="286"/>
    </row>
    <row r="1672" spans="1:1" s="287" customFormat="1" ht="12" hidden="1" customHeight="1">
      <c r="A1672" s="286"/>
    </row>
    <row r="1673" spans="1:1" s="287" customFormat="1" ht="12" hidden="1" customHeight="1">
      <c r="A1673" s="286"/>
    </row>
    <row r="1674" spans="1:1" s="287" customFormat="1" ht="12" hidden="1" customHeight="1">
      <c r="A1674" s="286"/>
    </row>
    <row r="1675" spans="1:1" s="287" customFormat="1" ht="12" hidden="1" customHeight="1">
      <c r="A1675" s="286"/>
    </row>
    <row r="1676" spans="1:1" s="287" customFormat="1" ht="12" hidden="1" customHeight="1">
      <c r="A1676" s="286"/>
    </row>
    <row r="1677" spans="1:1" s="287" customFormat="1" ht="12" hidden="1" customHeight="1">
      <c r="A1677" s="286"/>
    </row>
    <row r="1678" spans="1:1" s="287" customFormat="1" ht="12" hidden="1" customHeight="1">
      <c r="A1678" s="286"/>
    </row>
    <row r="1679" spans="1:1" s="287" customFormat="1" ht="12" hidden="1" customHeight="1">
      <c r="A1679" s="286"/>
    </row>
    <row r="1680" spans="1:1" s="287" customFormat="1" ht="12" hidden="1" customHeight="1">
      <c r="A1680" s="286"/>
    </row>
    <row r="1681" spans="1:1" s="287" customFormat="1" ht="12" hidden="1" customHeight="1">
      <c r="A1681" s="286"/>
    </row>
    <row r="1682" spans="1:1" s="287" customFormat="1" ht="12" hidden="1" customHeight="1">
      <c r="A1682" s="286"/>
    </row>
    <row r="1683" spans="1:1" s="287" customFormat="1" ht="12" hidden="1" customHeight="1">
      <c r="A1683" s="286"/>
    </row>
    <row r="1684" spans="1:1" s="287" customFormat="1" ht="12" hidden="1" customHeight="1">
      <c r="A1684" s="286"/>
    </row>
    <row r="1685" spans="1:1" s="287" customFormat="1" ht="12" hidden="1" customHeight="1">
      <c r="A1685" s="286"/>
    </row>
    <row r="1686" spans="1:1" s="287" customFormat="1" ht="12" hidden="1" customHeight="1">
      <c r="A1686" s="286"/>
    </row>
    <row r="1687" spans="1:1" s="287" customFormat="1" ht="12" hidden="1" customHeight="1">
      <c r="A1687" s="286"/>
    </row>
    <row r="1688" spans="1:1" s="287" customFormat="1" ht="12" hidden="1" customHeight="1">
      <c r="A1688" s="286"/>
    </row>
    <row r="1689" spans="1:1" s="287" customFormat="1" ht="12" hidden="1" customHeight="1">
      <c r="A1689" s="286"/>
    </row>
    <row r="1690" spans="1:1" s="287" customFormat="1" ht="12" hidden="1" customHeight="1">
      <c r="A1690" s="286"/>
    </row>
    <row r="1691" spans="1:1" s="287" customFormat="1" ht="12" hidden="1" customHeight="1">
      <c r="A1691" s="286"/>
    </row>
    <row r="1692" spans="1:1" s="287" customFormat="1" ht="12" hidden="1" customHeight="1">
      <c r="A1692" s="286"/>
    </row>
    <row r="1693" spans="1:1" s="287" customFormat="1" ht="12" hidden="1" customHeight="1">
      <c r="A1693" s="286"/>
    </row>
    <row r="1694" spans="1:1" s="287" customFormat="1" ht="12" hidden="1" customHeight="1">
      <c r="A1694" s="286"/>
    </row>
    <row r="1695" spans="1:1" s="287" customFormat="1" ht="12" hidden="1" customHeight="1">
      <c r="A1695" s="286"/>
    </row>
    <row r="1696" spans="1:1" s="287" customFormat="1" ht="12" hidden="1" customHeight="1">
      <c r="A1696" s="286"/>
    </row>
    <row r="1697" spans="1:1" s="287" customFormat="1" ht="12" hidden="1" customHeight="1">
      <c r="A1697" s="286"/>
    </row>
    <row r="1698" spans="1:1" s="287" customFormat="1" ht="12" hidden="1" customHeight="1">
      <c r="A1698" s="286"/>
    </row>
    <row r="1699" spans="1:1" s="287" customFormat="1" ht="12" hidden="1" customHeight="1">
      <c r="A1699" s="286"/>
    </row>
    <row r="1700" spans="1:1" s="287" customFormat="1" ht="12" hidden="1" customHeight="1">
      <c r="A1700" s="286"/>
    </row>
    <row r="1701" spans="1:1" s="287" customFormat="1" ht="12" hidden="1" customHeight="1">
      <c r="A1701" s="286"/>
    </row>
    <row r="1702" spans="1:1" s="287" customFormat="1" ht="12" hidden="1" customHeight="1">
      <c r="A1702" s="286"/>
    </row>
    <row r="1703" spans="1:1" s="287" customFormat="1" ht="12" hidden="1" customHeight="1">
      <c r="A1703" s="286"/>
    </row>
    <row r="1704" spans="1:1" s="287" customFormat="1" ht="12" hidden="1" customHeight="1">
      <c r="A1704" s="286"/>
    </row>
    <row r="1705" spans="1:1" s="287" customFormat="1" ht="12" hidden="1" customHeight="1">
      <c r="A1705" s="286"/>
    </row>
    <row r="1706" spans="1:1" s="287" customFormat="1" ht="12" hidden="1" customHeight="1">
      <c r="A1706" s="286"/>
    </row>
    <row r="1707" spans="1:1" s="287" customFormat="1" ht="12" hidden="1" customHeight="1">
      <c r="A1707" s="286"/>
    </row>
    <row r="1708" spans="1:1" s="287" customFormat="1" ht="12" hidden="1" customHeight="1">
      <c r="A1708" s="286"/>
    </row>
    <row r="1709" spans="1:1" s="287" customFormat="1" ht="12" hidden="1" customHeight="1">
      <c r="A1709" s="286"/>
    </row>
    <row r="1710" spans="1:1" s="287" customFormat="1" ht="12" hidden="1" customHeight="1">
      <c r="A1710" s="286"/>
    </row>
    <row r="1711" spans="1:1" s="287" customFormat="1" ht="12" hidden="1" customHeight="1">
      <c r="A1711" s="286"/>
    </row>
    <row r="1712" spans="1:1" s="287" customFormat="1" ht="12" hidden="1" customHeight="1">
      <c r="A1712" s="286"/>
    </row>
    <row r="1713" spans="1:1" s="287" customFormat="1" ht="12" hidden="1" customHeight="1">
      <c r="A1713" s="286"/>
    </row>
    <row r="1714" spans="1:1" s="287" customFormat="1" ht="12" hidden="1" customHeight="1">
      <c r="A1714" s="286"/>
    </row>
    <row r="1715" spans="1:1" s="287" customFormat="1" ht="12" hidden="1" customHeight="1">
      <c r="A1715" s="286"/>
    </row>
    <row r="1716" spans="1:1" s="287" customFormat="1" ht="12" hidden="1" customHeight="1">
      <c r="A1716" s="286"/>
    </row>
    <row r="1717" spans="1:1" s="287" customFormat="1" ht="12" hidden="1" customHeight="1">
      <c r="A1717" s="286"/>
    </row>
    <row r="1718" spans="1:1" s="287" customFormat="1" ht="12" hidden="1" customHeight="1">
      <c r="A1718" s="286"/>
    </row>
    <row r="1719" spans="1:1" s="287" customFormat="1" ht="12" hidden="1" customHeight="1">
      <c r="A1719" s="286"/>
    </row>
    <row r="1720" spans="1:1" s="287" customFormat="1" ht="12" hidden="1" customHeight="1">
      <c r="A1720" s="286"/>
    </row>
    <row r="1721" spans="1:1" s="287" customFormat="1" ht="12" hidden="1" customHeight="1">
      <c r="A1721" s="286"/>
    </row>
    <row r="1722" spans="1:1" s="287" customFormat="1" ht="12" hidden="1" customHeight="1">
      <c r="A1722" s="286"/>
    </row>
    <row r="1723" spans="1:1" s="287" customFormat="1" ht="12" hidden="1" customHeight="1">
      <c r="A1723" s="286"/>
    </row>
    <row r="1724" spans="1:1" s="287" customFormat="1" ht="12" hidden="1" customHeight="1">
      <c r="A1724" s="286"/>
    </row>
    <row r="1725" spans="1:1" s="287" customFormat="1" ht="12" hidden="1" customHeight="1">
      <c r="A1725" s="286"/>
    </row>
    <row r="1726" spans="1:1" s="287" customFormat="1" ht="12" hidden="1" customHeight="1">
      <c r="A1726" s="286"/>
    </row>
    <row r="1727" spans="1:1" s="287" customFormat="1" ht="12" hidden="1" customHeight="1">
      <c r="A1727" s="286"/>
    </row>
    <row r="1728" spans="1:1" s="287" customFormat="1" ht="12" hidden="1" customHeight="1">
      <c r="A1728" s="286"/>
    </row>
    <row r="1729" spans="1:1" s="287" customFormat="1" ht="12" hidden="1" customHeight="1">
      <c r="A1729" s="286"/>
    </row>
    <row r="1730" spans="1:1" s="287" customFormat="1" ht="12" hidden="1" customHeight="1">
      <c r="A1730" s="286"/>
    </row>
    <row r="1731" spans="1:1" s="287" customFormat="1" ht="12" hidden="1" customHeight="1">
      <c r="A1731" s="286"/>
    </row>
    <row r="1732" spans="1:1" s="287" customFormat="1" ht="12" hidden="1" customHeight="1">
      <c r="A1732" s="286"/>
    </row>
    <row r="1733" spans="1:1" s="287" customFormat="1" ht="12" hidden="1" customHeight="1">
      <c r="A1733" s="286"/>
    </row>
    <row r="1734" spans="1:1" s="287" customFormat="1" ht="12" hidden="1" customHeight="1">
      <c r="A1734" s="286"/>
    </row>
    <row r="1735" spans="1:1" s="287" customFormat="1" ht="12" hidden="1" customHeight="1">
      <c r="A1735" s="286"/>
    </row>
    <row r="1736" spans="1:1" s="287" customFormat="1" ht="12" hidden="1" customHeight="1">
      <c r="A1736" s="286"/>
    </row>
    <row r="1737" spans="1:1" s="287" customFormat="1" ht="12" hidden="1" customHeight="1">
      <c r="A1737" s="286"/>
    </row>
    <row r="1738" spans="1:1" s="287" customFormat="1" ht="12" hidden="1" customHeight="1">
      <c r="A1738" s="286"/>
    </row>
    <row r="1739" spans="1:1" s="287" customFormat="1" ht="12" hidden="1" customHeight="1">
      <c r="A1739" s="286"/>
    </row>
    <row r="1740" spans="1:1" s="287" customFormat="1" ht="12" hidden="1" customHeight="1">
      <c r="A1740" s="286"/>
    </row>
    <row r="1741" spans="1:1" s="287" customFormat="1" ht="12" hidden="1" customHeight="1">
      <c r="A1741" s="286"/>
    </row>
    <row r="1742" spans="1:1" s="287" customFormat="1" ht="12" hidden="1" customHeight="1">
      <c r="A1742" s="286"/>
    </row>
    <row r="1743" spans="1:1" s="287" customFormat="1" ht="12" hidden="1" customHeight="1">
      <c r="A1743" s="286"/>
    </row>
    <row r="1744" spans="1:1" s="287" customFormat="1" ht="12" hidden="1" customHeight="1">
      <c r="A1744" s="286"/>
    </row>
    <row r="1745" spans="1:1" s="287" customFormat="1" ht="12" hidden="1" customHeight="1">
      <c r="A1745" s="286"/>
    </row>
    <row r="1746" spans="1:1" s="287" customFormat="1" ht="12" hidden="1" customHeight="1">
      <c r="A1746" s="286"/>
    </row>
    <row r="1747" spans="1:1" s="287" customFormat="1" ht="12" hidden="1" customHeight="1">
      <c r="A1747" s="286"/>
    </row>
    <row r="1748" spans="1:1" s="287" customFormat="1" ht="12" hidden="1" customHeight="1">
      <c r="A1748" s="286"/>
    </row>
    <row r="1749" spans="1:1" s="287" customFormat="1" ht="12" hidden="1" customHeight="1">
      <c r="A1749" s="286"/>
    </row>
    <row r="1750" spans="1:1" s="287" customFormat="1" ht="12" hidden="1" customHeight="1">
      <c r="A1750" s="286"/>
    </row>
    <row r="1751" spans="1:1" s="287" customFormat="1" ht="12" hidden="1" customHeight="1">
      <c r="A1751" s="286"/>
    </row>
    <row r="1752" spans="1:1" s="287" customFormat="1" ht="12" hidden="1" customHeight="1">
      <c r="A1752" s="286"/>
    </row>
    <row r="1753" spans="1:1" s="287" customFormat="1" ht="12" hidden="1" customHeight="1">
      <c r="A1753" s="286"/>
    </row>
    <row r="1754" spans="1:1" s="287" customFormat="1" ht="12" hidden="1" customHeight="1">
      <c r="A1754" s="286"/>
    </row>
    <row r="1755" spans="1:1" s="287" customFormat="1" ht="12" hidden="1" customHeight="1">
      <c r="A1755" s="286"/>
    </row>
    <row r="1756" spans="1:1" s="287" customFormat="1" ht="12" hidden="1" customHeight="1">
      <c r="A1756" s="286"/>
    </row>
    <row r="1757" spans="1:1" s="287" customFormat="1" ht="12" hidden="1" customHeight="1">
      <c r="A1757" s="286"/>
    </row>
    <row r="1758" spans="1:1" s="287" customFormat="1" ht="12" hidden="1" customHeight="1">
      <c r="A1758" s="286"/>
    </row>
    <row r="1759" spans="1:1" s="287" customFormat="1" ht="12" hidden="1" customHeight="1">
      <c r="A1759" s="286"/>
    </row>
    <row r="1760" spans="1:1" s="287" customFormat="1" ht="12" hidden="1" customHeight="1">
      <c r="A1760" s="286"/>
    </row>
    <row r="1761" spans="1:1" s="287" customFormat="1" ht="12" hidden="1" customHeight="1">
      <c r="A1761" s="286"/>
    </row>
    <row r="1762" spans="1:1" s="287" customFormat="1" ht="12" hidden="1" customHeight="1">
      <c r="A1762" s="286"/>
    </row>
    <row r="1763" spans="1:1" s="287" customFormat="1" ht="12" hidden="1" customHeight="1">
      <c r="A1763" s="286"/>
    </row>
    <row r="1764" spans="1:1" s="287" customFormat="1" ht="12" hidden="1" customHeight="1">
      <c r="A1764" s="286"/>
    </row>
    <row r="1765" spans="1:1" s="287" customFormat="1" ht="12" hidden="1" customHeight="1">
      <c r="A1765" s="286"/>
    </row>
    <row r="1766" spans="1:1" s="287" customFormat="1" ht="12" hidden="1" customHeight="1">
      <c r="A1766" s="286"/>
    </row>
    <row r="1767" spans="1:1" s="287" customFormat="1" ht="12" hidden="1" customHeight="1">
      <c r="A1767" s="286"/>
    </row>
    <row r="1768" spans="1:1" s="287" customFormat="1" ht="12" hidden="1" customHeight="1">
      <c r="A1768" s="286"/>
    </row>
    <row r="1769" spans="1:1" s="287" customFormat="1" ht="12" hidden="1" customHeight="1">
      <c r="A1769" s="286"/>
    </row>
    <row r="1770" spans="1:1" s="287" customFormat="1" ht="12" hidden="1" customHeight="1">
      <c r="A1770" s="286"/>
    </row>
    <row r="1771" spans="1:1" s="287" customFormat="1" ht="12" hidden="1" customHeight="1">
      <c r="A1771" s="286"/>
    </row>
    <row r="1772" spans="1:1" s="287" customFormat="1" ht="12" hidden="1" customHeight="1">
      <c r="A1772" s="286"/>
    </row>
    <row r="1773" spans="1:1" s="287" customFormat="1" ht="12" hidden="1" customHeight="1">
      <c r="A1773" s="286"/>
    </row>
    <row r="1774" spans="1:1" s="287" customFormat="1" ht="12" hidden="1" customHeight="1">
      <c r="A1774" s="286"/>
    </row>
    <row r="1775" spans="1:1" s="287" customFormat="1" ht="12" hidden="1" customHeight="1">
      <c r="A1775" s="286"/>
    </row>
    <row r="1776" spans="1:1" s="287" customFormat="1" ht="12" hidden="1" customHeight="1">
      <c r="A1776" s="286"/>
    </row>
    <row r="1777" spans="1:1" s="287" customFormat="1" ht="12" hidden="1" customHeight="1">
      <c r="A1777" s="286"/>
    </row>
    <row r="1778" spans="1:1" s="287" customFormat="1" ht="12" hidden="1" customHeight="1">
      <c r="A1778" s="286"/>
    </row>
    <row r="1779" spans="1:1" s="287" customFormat="1" ht="12" hidden="1" customHeight="1">
      <c r="A1779" s="286"/>
    </row>
    <row r="1780" spans="1:1" s="287" customFormat="1" ht="12" hidden="1" customHeight="1">
      <c r="A1780" s="286"/>
    </row>
    <row r="1781" spans="1:1" s="287" customFormat="1" ht="12" hidden="1" customHeight="1">
      <c r="A1781" s="286"/>
    </row>
    <row r="1782" spans="1:1" s="287" customFormat="1" ht="12" hidden="1" customHeight="1">
      <c r="A1782" s="286"/>
    </row>
    <row r="1783" spans="1:1" s="287" customFormat="1" ht="12" hidden="1" customHeight="1">
      <c r="A1783" s="286"/>
    </row>
    <row r="1784" spans="1:1" s="287" customFormat="1" ht="12" hidden="1" customHeight="1">
      <c r="A1784" s="286"/>
    </row>
    <row r="1785" spans="1:1" s="287" customFormat="1" ht="12" hidden="1" customHeight="1">
      <c r="A1785" s="286"/>
    </row>
    <row r="1786" spans="1:1" s="287" customFormat="1" ht="12" hidden="1" customHeight="1">
      <c r="A1786" s="286"/>
    </row>
    <row r="1787" spans="1:1" s="287" customFormat="1" ht="12" hidden="1" customHeight="1">
      <c r="A1787" s="286"/>
    </row>
    <row r="1788" spans="1:1" s="287" customFormat="1" ht="12" hidden="1" customHeight="1">
      <c r="A1788" s="286"/>
    </row>
    <row r="1789" spans="1:1" s="287" customFormat="1" ht="12" hidden="1" customHeight="1">
      <c r="A1789" s="286"/>
    </row>
    <row r="1790" spans="1:1" s="287" customFormat="1" ht="12" hidden="1" customHeight="1">
      <c r="A1790" s="286"/>
    </row>
    <row r="1791" spans="1:1" s="287" customFormat="1" ht="12" hidden="1" customHeight="1">
      <c r="A1791" s="286"/>
    </row>
    <row r="1792" spans="1:1" s="287" customFormat="1" ht="12" hidden="1" customHeight="1">
      <c r="A1792" s="286"/>
    </row>
    <row r="1793" spans="1:1" s="287" customFormat="1" ht="12" hidden="1" customHeight="1">
      <c r="A1793" s="286"/>
    </row>
    <row r="1794" spans="1:1" s="287" customFormat="1" ht="12" hidden="1" customHeight="1">
      <c r="A1794" s="286"/>
    </row>
    <row r="1795" spans="1:1" s="287" customFormat="1" ht="12" hidden="1" customHeight="1">
      <c r="A1795" s="286"/>
    </row>
    <row r="1796" spans="1:1" s="287" customFormat="1" ht="12" hidden="1" customHeight="1">
      <c r="A1796" s="286"/>
    </row>
    <row r="1797" spans="1:1" s="287" customFormat="1" ht="12" hidden="1" customHeight="1">
      <c r="A1797" s="286"/>
    </row>
    <row r="1798" spans="1:1" s="287" customFormat="1" ht="12" hidden="1" customHeight="1">
      <c r="A1798" s="286"/>
    </row>
    <row r="1799" spans="1:1" s="287" customFormat="1" ht="12" hidden="1" customHeight="1">
      <c r="A1799" s="286"/>
    </row>
    <row r="1800" spans="1:1" s="287" customFormat="1" ht="12" hidden="1" customHeight="1">
      <c r="A1800" s="286"/>
    </row>
    <row r="1801" spans="1:1" s="287" customFormat="1" ht="12" hidden="1" customHeight="1">
      <c r="A1801" s="286"/>
    </row>
    <row r="1802" spans="1:1" s="287" customFormat="1" ht="12" hidden="1" customHeight="1">
      <c r="A1802" s="286"/>
    </row>
    <row r="1803" spans="1:1" s="287" customFormat="1" ht="12" hidden="1" customHeight="1">
      <c r="A1803" s="286"/>
    </row>
    <row r="1804" spans="1:1" s="287" customFormat="1" ht="12" hidden="1" customHeight="1">
      <c r="A1804" s="286"/>
    </row>
    <row r="1805" spans="1:1" s="287" customFormat="1" ht="12" hidden="1" customHeight="1">
      <c r="A1805" s="286"/>
    </row>
    <row r="1806" spans="1:1" s="287" customFormat="1" ht="12" hidden="1" customHeight="1">
      <c r="A1806" s="286"/>
    </row>
    <row r="1807" spans="1:1" s="287" customFormat="1" ht="12" hidden="1" customHeight="1">
      <c r="A1807" s="286"/>
    </row>
    <row r="1808" spans="1:1" s="287" customFormat="1" ht="12" hidden="1" customHeight="1">
      <c r="A1808" s="286"/>
    </row>
    <row r="1809" spans="1:1" s="287" customFormat="1" ht="12" hidden="1" customHeight="1">
      <c r="A1809" s="286"/>
    </row>
    <row r="1810" spans="1:1" s="287" customFormat="1" ht="12" hidden="1" customHeight="1">
      <c r="A1810" s="286"/>
    </row>
    <row r="1811" spans="1:1" s="287" customFormat="1" ht="12" hidden="1" customHeight="1">
      <c r="A1811" s="286"/>
    </row>
    <row r="1812" spans="1:1" s="287" customFormat="1" ht="12" hidden="1" customHeight="1">
      <c r="A1812" s="286"/>
    </row>
    <row r="1813" spans="1:1" s="287" customFormat="1" ht="12" hidden="1" customHeight="1">
      <c r="A1813" s="286"/>
    </row>
    <row r="1814" spans="1:1" s="287" customFormat="1" ht="12" hidden="1" customHeight="1">
      <c r="A1814" s="286"/>
    </row>
    <row r="1815" spans="1:1" s="287" customFormat="1" ht="12" hidden="1" customHeight="1">
      <c r="A1815" s="286"/>
    </row>
    <row r="1816" spans="1:1" s="287" customFormat="1" ht="12" hidden="1" customHeight="1">
      <c r="A1816" s="286"/>
    </row>
    <row r="1817" spans="1:1" s="287" customFormat="1" ht="12" hidden="1" customHeight="1">
      <c r="A1817" s="286"/>
    </row>
    <row r="1818" spans="1:1" s="287" customFormat="1" ht="12" hidden="1" customHeight="1">
      <c r="A1818" s="286"/>
    </row>
    <row r="1819" spans="1:1" s="287" customFormat="1" ht="12" hidden="1" customHeight="1">
      <c r="A1819" s="286"/>
    </row>
    <row r="1820" spans="1:1" s="287" customFormat="1" ht="12" hidden="1" customHeight="1">
      <c r="A1820" s="286"/>
    </row>
    <row r="1821" spans="1:1" s="287" customFormat="1" ht="12" hidden="1" customHeight="1">
      <c r="A1821" s="286"/>
    </row>
    <row r="1822" spans="1:1" s="287" customFormat="1" ht="12" hidden="1" customHeight="1">
      <c r="A1822" s="286"/>
    </row>
    <row r="1823" spans="1:1" s="287" customFormat="1" ht="12" hidden="1" customHeight="1">
      <c r="A1823" s="286"/>
    </row>
    <row r="1824" spans="1:1" s="287" customFormat="1" ht="12" hidden="1" customHeight="1">
      <c r="A1824" s="286"/>
    </row>
    <row r="1825" spans="1:1" s="287" customFormat="1" ht="12" hidden="1" customHeight="1">
      <c r="A1825" s="286"/>
    </row>
    <row r="1826" spans="1:1" s="287" customFormat="1" ht="12" hidden="1" customHeight="1">
      <c r="A1826" s="286"/>
    </row>
    <row r="1827" spans="1:1" s="287" customFormat="1" ht="12" hidden="1" customHeight="1">
      <c r="A1827" s="286"/>
    </row>
    <row r="1828" spans="1:1" s="287" customFormat="1" ht="12" hidden="1" customHeight="1">
      <c r="A1828" s="286"/>
    </row>
    <row r="1829" spans="1:1" s="287" customFormat="1" ht="12" hidden="1" customHeight="1">
      <c r="A1829" s="286"/>
    </row>
    <row r="1830" spans="1:1" s="287" customFormat="1" ht="12" hidden="1" customHeight="1">
      <c r="A1830" s="286"/>
    </row>
    <row r="1831" spans="1:1" s="287" customFormat="1" ht="12" hidden="1" customHeight="1">
      <c r="A1831" s="286"/>
    </row>
    <row r="1832" spans="1:1" s="287" customFormat="1" ht="12" hidden="1" customHeight="1">
      <c r="A1832" s="286"/>
    </row>
    <row r="1833" spans="1:1" s="287" customFormat="1" ht="12" hidden="1" customHeight="1">
      <c r="A1833" s="286"/>
    </row>
    <row r="1834" spans="1:1" s="287" customFormat="1" ht="12" hidden="1" customHeight="1">
      <c r="A1834" s="286"/>
    </row>
    <row r="1835" spans="1:1" s="287" customFormat="1" ht="12" hidden="1" customHeight="1">
      <c r="A1835" s="286"/>
    </row>
    <row r="1836" spans="1:1" s="287" customFormat="1" ht="12" hidden="1" customHeight="1">
      <c r="A1836" s="286"/>
    </row>
    <row r="1837" spans="1:1" s="287" customFormat="1" ht="12" hidden="1" customHeight="1">
      <c r="A1837" s="286"/>
    </row>
    <row r="1838" spans="1:1" s="287" customFormat="1" ht="12" hidden="1" customHeight="1">
      <c r="A1838" s="286"/>
    </row>
    <row r="1839" spans="1:1" s="287" customFormat="1" ht="12" hidden="1" customHeight="1">
      <c r="A1839" s="286"/>
    </row>
    <row r="1840" spans="1:1" s="287" customFormat="1" ht="12" hidden="1" customHeight="1">
      <c r="A1840" s="286"/>
    </row>
    <row r="1841" spans="1:1" s="287" customFormat="1" ht="12" hidden="1" customHeight="1">
      <c r="A1841" s="286"/>
    </row>
    <row r="1842" spans="1:1" s="287" customFormat="1" ht="12" hidden="1" customHeight="1">
      <c r="A1842" s="286"/>
    </row>
    <row r="1843" spans="1:1" s="287" customFormat="1" ht="12" hidden="1" customHeight="1">
      <c r="A1843" s="286"/>
    </row>
    <row r="1844" spans="1:1" s="287" customFormat="1" ht="12" hidden="1" customHeight="1">
      <c r="A1844" s="286"/>
    </row>
    <row r="1845" spans="1:1" s="287" customFormat="1" ht="12" hidden="1" customHeight="1">
      <c r="A1845" s="286"/>
    </row>
    <row r="1846" spans="1:1" s="287" customFormat="1" ht="12" hidden="1" customHeight="1">
      <c r="A1846" s="286"/>
    </row>
    <row r="1847" spans="1:1" s="287" customFormat="1" ht="12" hidden="1" customHeight="1">
      <c r="A1847" s="286"/>
    </row>
    <row r="1848" spans="1:1" s="287" customFormat="1" ht="12" hidden="1" customHeight="1">
      <c r="A1848" s="286"/>
    </row>
    <row r="1849" spans="1:1" s="287" customFormat="1" ht="12" hidden="1" customHeight="1">
      <c r="A1849" s="286"/>
    </row>
    <row r="1850" spans="1:1" s="287" customFormat="1" ht="12" hidden="1" customHeight="1">
      <c r="A1850" s="286"/>
    </row>
    <row r="1851" spans="1:1" s="287" customFormat="1" ht="12" hidden="1" customHeight="1">
      <c r="A1851" s="286"/>
    </row>
    <row r="1852" spans="1:1" s="287" customFormat="1" ht="12" hidden="1" customHeight="1">
      <c r="A1852" s="286"/>
    </row>
    <row r="1853" spans="1:1" s="287" customFormat="1" ht="12" hidden="1" customHeight="1">
      <c r="A1853" s="286"/>
    </row>
    <row r="1854" spans="1:1" s="287" customFormat="1" ht="12" hidden="1" customHeight="1">
      <c r="A1854" s="286"/>
    </row>
    <row r="1855" spans="1:1" s="287" customFormat="1" ht="12" hidden="1" customHeight="1">
      <c r="A1855" s="286"/>
    </row>
    <row r="1856" spans="1:1" s="287" customFormat="1" ht="12" hidden="1" customHeight="1">
      <c r="A1856" s="286"/>
    </row>
    <row r="1857" spans="1:1" s="287" customFormat="1" ht="12" hidden="1" customHeight="1">
      <c r="A1857" s="286"/>
    </row>
    <row r="1858" spans="1:1" s="287" customFormat="1" ht="12" hidden="1" customHeight="1">
      <c r="A1858" s="286"/>
    </row>
    <row r="1859" spans="1:1" s="287" customFormat="1" ht="12" hidden="1" customHeight="1">
      <c r="A1859" s="286"/>
    </row>
    <row r="1860" spans="1:1" s="287" customFormat="1" ht="12" hidden="1" customHeight="1">
      <c r="A1860" s="286"/>
    </row>
    <row r="1861" spans="1:1" s="287" customFormat="1" ht="12" hidden="1" customHeight="1">
      <c r="A1861" s="286"/>
    </row>
    <row r="1862" spans="1:1" s="287" customFormat="1" ht="12" hidden="1" customHeight="1">
      <c r="A1862" s="286"/>
    </row>
    <row r="1863" spans="1:1" s="287" customFormat="1" ht="12" hidden="1" customHeight="1">
      <c r="A1863" s="286"/>
    </row>
    <row r="1864" spans="1:1" s="287" customFormat="1" ht="12" hidden="1" customHeight="1">
      <c r="A1864" s="286"/>
    </row>
    <row r="1865" spans="1:1" s="287" customFormat="1" ht="12" hidden="1" customHeight="1">
      <c r="A1865" s="286"/>
    </row>
    <row r="1866" spans="1:1" s="287" customFormat="1" ht="12" hidden="1" customHeight="1">
      <c r="A1866" s="286"/>
    </row>
    <row r="1867" spans="1:1" s="287" customFormat="1" ht="12" hidden="1" customHeight="1">
      <c r="A1867" s="286"/>
    </row>
    <row r="1868" spans="1:1" s="287" customFormat="1" ht="12" hidden="1" customHeight="1">
      <c r="A1868" s="286"/>
    </row>
    <row r="1869" spans="1:1" s="287" customFormat="1" ht="12" hidden="1" customHeight="1">
      <c r="A1869" s="286"/>
    </row>
    <row r="1870" spans="1:1" s="287" customFormat="1" ht="12" hidden="1" customHeight="1">
      <c r="A1870" s="286"/>
    </row>
    <row r="1871" spans="1:1" s="287" customFormat="1" ht="12" hidden="1" customHeight="1">
      <c r="A1871" s="286"/>
    </row>
    <row r="1872" spans="1:1" s="287" customFormat="1" ht="12" hidden="1" customHeight="1">
      <c r="A1872" s="286"/>
    </row>
    <row r="1873" spans="1:1" s="287" customFormat="1" ht="12" hidden="1" customHeight="1">
      <c r="A1873" s="286"/>
    </row>
    <row r="1874" spans="1:1" s="287" customFormat="1" ht="12" hidden="1" customHeight="1">
      <c r="A1874" s="286"/>
    </row>
    <row r="1875" spans="1:1" s="287" customFormat="1" ht="12" hidden="1" customHeight="1">
      <c r="A1875" s="286"/>
    </row>
    <row r="1876" spans="1:1" s="287" customFormat="1" ht="12" hidden="1" customHeight="1">
      <c r="A1876" s="286"/>
    </row>
    <row r="1877" spans="1:1" s="287" customFormat="1" ht="12" hidden="1" customHeight="1">
      <c r="A1877" s="286"/>
    </row>
    <row r="1878" spans="1:1" s="287" customFormat="1" ht="12" hidden="1" customHeight="1">
      <c r="A1878" s="286"/>
    </row>
    <row r="1879" spans="1:1" s="287" customFormat="1" ht="12" hidden="1" customHeight="1">
      <c r="A1879" s="286"/>
    </row>
    <row r="1880" spans="1:1" s="287" customFormat="1" ht="12" hidden="1" customHeight="1">
      <c r="A1880" s="286"/>
    </row>
    <row r="1881" spans="1:1" s="287" customFormat="1" ht="12" hidden="1" customHeight="1">
      <c r="A1881" s="286"/>
    </row>
    <row r="1882" spans="1:1" s="287" customFormat="1" ht="12" hidden="1" customHeight="1">
      <c r="A1882" s="286"/>
    </row>
    <row r="1883" spans="1:1" s="287" customFormat="1" ht="12" hidden="1" customHeight="1">
      <c r="A1883" s="286"/>
    </row>
    <row r="1884" spans="1:1" s="287" customFormat="1" ht="12" hidden="1" customHeight="1">
      <c r="A1884" s="286"/>
    </row>
    <row r="1885" spans="1:1" s="287" customFormat="1" ht="12" hidden="1" customHeight="1">
      <c r="A1885" s="286"/>
    </row>
    <row r="1886" spans="1:1" s="287" customFormat="1" ht="12" hidden="1" customHeight="1">
      <c r="A1886" s="286"/>
    </row>
    <row r="1887" spans="1:1" s="287" customFormat="1" ht="12" hidden="1" customHeight="1">
      <c r="A1887" s="286"/>
    </row>
    <row r="1888" spans="1:1" s="287" customFormat="1" ht="12" hidden="1" customHeight="1">
      <c r="A1888" s="286"/>
    </row>
    <row r="1889" spans="1:1" s="287" customFormat="1" ht="12" hidden="1" customHeight="1">
      <c r="A1889" s="286"/>
    </row>
    <row r="1890" spans="1:1" s="287" customFormat="1" ht="12" hidden="1" customHeight="1">
      <c r="A1890" s="286"/>
    </row>
    <row r="1891" spans="1:1" s="287" customFormat="1" ht="12" hidden="1" customHeight="1">
      <c r="A1891" s="286"/>
    </row>
    <row r="1892" spans="1:1" s="287" customFormat="1" ht="12" hidden="1" customHeight="1">
      <c r="A1892" s="286"/>
    </row>
    <row r="1893" spans="1:1" s="287" customFormat="1" ht="12" hidden="1" customHeight="1">
      <c r="A1893" s="286"/>
    </row>
    <row r="1894" spans="1:1" s="287" customFormat="1" ht="12" hidden="1" customHeight="1">
      <c r="A1894" s="286"/>
    </row>
    <row r="1895" spans="1:1" s="287" customFormat="1" ht="12" hidden="1" customHeight="1">
      <c r="A1895" s="286"/>
    </row>
    <row r="1896" spans="1:1" s="287" customFormat="1" ht="12" hidden="1" customHeight="1">
      <c r="A1896" s="286"/>
    </row>
    <row r="1897" spans="1:1" s="287" customFormat="1" ht="12" hidden="1" customHeight="1">
      <c r="A1897" s="286"/>
    </row>
    <row r="1898" spans="1:1" s="287" customFormat="1" ht="12" hidden="1" customHeight="1">
      <c r="A1898" s="286"/>
    </row>
    <row r="1899" spans="1:1" s="287" customFormat="1" ht="12" hidden="1" customHeight="1">
      <c r="A1899" s="286"/>
    </row>
    <row r="1900" spans="1:1" s="287" customFormat="1" ht="12" hidden="1" customHeight="1">
      <c r="A1900" s="286"/>
    </row>
    <row r="1901" spans="1:1" s="287" customFormat="1" ht="12" hidden="1" customHeight="1">
      <c r="A1901" s="286"/>
    </row>
    <row r="1902" spans="1:1" s="287" customFormat="1" ht="12" hidden="1" customHeight="1">
      <c r="A1902" s="286"/>
    </row>
    <row r="1903" spans="1:1" s="287" customFormat="1" ht="12" hidden="1" customHeight="1">
      <c r="A1903" s="286"/>
    </row>
    <row r="1904" spans="1:1" s="287" customFormat="1" ht="12" hidden="1" customHeight="1">
      <c r="A1904" s="286"/>
    </row>
    <row r="1905" spans="1:1" s="287" customFormat="1" ht="12" hidden="1" customHeight="1">
      <c r="A1905" s="286"/>
    </row>
    <row r="1906" spans="1:1" s="287" customFormat="1" ht="12" hidden="1" customHeight="1">
      <c r="A1906" s="286"/>
    </row>
    <row r="1907" spans="1:1" s="287" customFormat="1" ht="12" hidden="1" customHeight="1">
      <c r="A1907" s="286"/>
    </row>
    <row r="1908" spans="1:1" s="287" customFormat="1" ht="12" hidden="1" customHeight="1">
      <c r="A1908" s="286"/>
    </row>
    <row r="1909" spans="1:1" s="287" customFormat="1" ht="12" hidden="1" customHeight="1">
      <c r="A1909" s="286"/>
    </row>
    <row r="1910" spans="1:1" s="287" customFormat="1" ht="12" hidden="1" customHeight="1">
      <c r="A1910" s="286"/>
    </row>
    <row r="1911" spans="1:1" s="287" customFormat="1" ht="12" hidden="1" customHeight="1">
      <c r="A1911" s="286"/>
    </row>
    <row r="1912" spans="1:1" s="287" customFormat="1" ht="12" hidden="1" customHeight="1">
      <c r="A1912" s="286"/>
    </row>
    <row r="1913" spans="1:1" s="287" customFormat="1" ht="12" hidden="1" customHeight="1">
      <c r="A1913" s="286"/>
    </row>
    <row r="1914" spans="1:1" s="287" customFormat="1" ht="12" hidden="1" customHeight="1">
      <c r="A1914" s="286"/>
    </row>
    <row r="1915" spans="1:1" s="287" customFormat="1" ht="12" hidden="1" customHeight="1">
      <c r="A1915" s="286"/>
    </row>
    <row r="1916" spans="1:1" s="287" customFormat="1" ht="12" hidden="1" customHeight="1">
      <c r="A1916" s="286"/>
    </row>
    <row r="1917" spans="1:1" s="287" customFormat="1" ht="12" hidden="1" customHeight="1">
      <c r="A1917" s="286"/>
    </row>
    <row r="1918" spans="1:1" s="287" customFormat="1" ht="12" hidden="1" customHeight="1">
      <c r="A1918" s="286"/>
    </row>
    <row r="1919" spans="1:1" s="287" customFormat="1" ht="12" hidden="1" customHeight="1">
      <c r="A1919" s="286"/>
    </row>
    <row r="1920" spans="1:1" s="287" customFormat="1" ht="12" hidden="1" customHeight="1">
      <c r="A1920" s="286"/>
    </row>
    <row r="1921" spans="1:1" s="287" customFormat="1" ht="12" hidden="1" customHeight="1">
      <c r="A1921" s="286"/>
    </row>
    <row r="1922" spans="1:1" s="287" customFormat="1" ht="12" hidden="1" customHeight="1">
      <c r="A1922" s="286"/>
    </row>
    <row r="1923" spans="1:1" s="287" customFormat="1" ht="12" hidden="1" customHeight="1">
      <c r="A1923" s="286"/>
    </row>
    <row r="1924" spans="1:1" s="287" customFormat="1" ht="12" hidden="1" customHeight="1">
      <c r="A1924" s="286"/>
    </row>
    <row r="1925" spans="1:1" s="287" customFormat="1" ht="12" hidden="1" customHeight="1">
      <c r="A1925" s="286"/>
    </row>
    <row r="1926" spans="1:1" s="287" customFormat="1" ht="12" hidden="1" customHeight="1">
      <c r="A1926" s="286"/>
    </row>
    <row r="1927" spans="1:1" s="287" customFormat="1" ht="12" hidden="1" customHeight="1">
      <c r="A1927" s="286"/>
    </row>
    <row r="1928" spans="1:1" s="287" customFormat="1" ht="12" hidden="1" customHeight="1">
      <c r="A1928" s="286"/>
    </row>
    <row r="1929" spans="1:1" s="287" customFormat="1" ht="12" hidden="1" customHeight="1">
      <c r="A1929" s="286"/>
    </row>
    <row r="1930" spans="1:1" s="287" customFormat="1" ht="12" hidden="1" customHeight="1">
      <c r="A1930" s="286"/>
    </row>
    <row r="1931" spans="1:1" s="287" customFormat="1" ht="12" hidden="1" customHeight="1">
      <c r="A1931" s="286"/>
    </row>
    <row r="1932" spans="1:1" s="287" customFormat="1" ht="12" hidden="1" customHeight="1">
      <c r="A1932" s="286"/>
    </row>
    <row r="1933" spans="1:1" s="287" customFormat="1" ht="12" hidden="1" customHeight="1">
      <c r="A1933" s="286"/>
    </row>
    <row r="1934" spans="1:1" s="287" customFormat="1" ht="12" hidden="1" customHeight="1">
      <c r="A1934" s="286"/>
    </row>
    <row r="1935" spans="1:1" s="287" customFormat="1" ht="12" hidden="1" customHeight="1">
      <c r="A1935" s="286"/>
    </row>
    <row r="1936" spans="1:1" s="287" customFormat="1" ht="12" hidden="1" customHeight="1">
      <c r="A1936" s="286"/>
    </row>
    <row r="1937" spans="1:1" s="287" customFormat="1" ht="12" hidden="1" customHeight="1">
      <c r="A1937" s="286"/>
    </row>
    <row r="1938" spans="1:1" s="287" customFormat="1" ht="12" hidden="1" customHeight="1">
      <c r="A1938" s="286"/>
    </row>
    <row r="1939" spans="1:1" s="287" customFormat="1" ht="12" hidden="1" customHeight="1">
      <c r="A1939" s="286"/>
    </row>
    <row r="1940" spans="1:1" s="287" customFormat="1" ht="12" hidden="1" customHeight="1">
      <c r="A1940" s="286"/>
    </row>
    <row r="1941" spans="1:1" s="287" customFormat="1" ht="12" hidden="1" customHeight="1">
      <c r="A1941" s="286"/>
    </row>
    <row r="1942" spans="1:1" s="287" customFormat="1" ht="12" hidden="1" customHeight="1">
      <c r="A1942" s="286"/>
    </row>
    <row r="1943" spans="1:1" s="287" customFormat="1" ht="12" hidden="1" customHeight="1">
      <c r="A1943" s="286"/>
    </row>
    <row r="1944" spans="1:1" s="287" customFormat="1" ht="12" hidden="1" customHeight="1">
      <c r="A1944" s="286"/>
    </row>
    <row r="1945" spans="1:1" s="287" customFormat="1" ht="12" hidden="1" customHeight="1">
      <c r="A1945" s="286"/>
    </row>
    <row r="1946" spans="1:1" s="287" customFormat="1" ht="12" hidden="1" customHeight="1">
      <c r="A1946" s="286"/>
    </row>
    <row r="1947" spans="1:1" s="287" customFormat="1" ht="12" hidden="1" customHeight="1">
      <c r="A1947" s="286"/>
    </row>
    <row r="1948" spans="1:1" s="287" customFormat="1" ht="12" hidden="1" customHeight="1">
      <c r="A1948" s="286"/>
    </row>
    <row r="1949" spans="1:1" s="287" customFormat="1" ht="12" hidden="1" customHeight="1">
      <c r="A1949" s="286"/>
    </row>
    <row r="1950" spans="1:1" s="287" customFormat="1" ht="12" hidden="1" customHeight="1">
      <c r="A1950" s="286"/>
    </row>
    <row r="1951" spans="1:1" s="287" customFormat="1" ht="12" hidden="1" customHeight="1">
      <c r="A1951" s="286"/>
    </row>
    <row r="1952" spans="1:1" s="287" customFormat="1" ht="12" hidden="1" customHeight="1">
      <c r="A1952" s="286"/>
    </row>
    <row r="1953" spans="1:1" s="287" customFormat="1" ht="12" hidden="1" customHeight="1">
      <c r="A1953" s="286"/>
    </row>
    <row r="1954" spans="1:1" s="287" customFormat="1" ht="12" hidden="1" customHeight="1">
      <c r="A1954" s="286"/>
    </row>
    <row r="1955" spans="1:1" s="287" customFormat="1" ht="12" hidden="1" customHeight="1">
      <c r="A1955" s="286"/>
    </row>
    <row r="1956" spans="1:1" s="287" customFormat="1" ht="12" hidden="1" customHeight="1">
      <c r="A1956" s="286"/>
    </row>
    <row r="1957" spans="1:1" s="287" customFormat="1" ht="12" hidden="1" customHeight="1">
      <c r="A1957" s="286"/>
    </row>
    <row r="1958" spans="1:1" s="287" customFormat="1" ht="12" hidden="1" customHeight="1">
      <c r="A1958" s="286"/>
    </row>
    <row r="1959" spans="1:1" s="287" customFormat="1" ht="12" hidden="1" customHeight="1">
      <c r="A1959" s="286"/>
    </row>
    <row r="1960" spans="1:1" s="287" customFormat="1" ht="12" hidden="1" customHeight="1">
      <c r="A1960" s="286"/>
    </row>
    <row r="1961" spans="1:1" s="287" customFormat="1" ht="12" hidden="1" customHeight="1">
      <c r="A1961" s="286"/>
    </row>
    <row r="1962" spans="1:1" s="287" customFormat="1" ht="12" hidden="1" customHeight="1">
      <c r="A1962" s="286"/>
    </row>
    <row r="1963" spans="1:1" s="287" customFormat="1" ht="12" hidden="1" customHeight="1">
      <c r="A1963" s="286"/>
    </row>
    <row r="1964" spans="1:1" s="287" customFormat="1" ht="12" hidden="1" customHeight="1">
      <c r="A1964" s="286"/>
    </row>
    <row r="1965" spans="1:1" s="287" customFormat="1" ht="12" hidden="1" customHeight="1">
      <c r="A1965" s="286"/>
    </row>
    <row r="1966" spans="1:1" s="287" customFormat="1" ht="12" hidden="1" customHeight="1">
      <c r="A1966" s="286"/>
    </row>
    <row r="1967" spans="1:1" s="287" customFormat="1" ht="12" hidden="1" customHeight="1">
      <c r="A1967" s="286"/>
    </row>
    <row r="1968" spans="1:1" s="287" customFormat="1" ht="12" hidden="1" customHeight="1">
      <c r="A1968" s="286"/>
    </row>
    <row r="1969" spans="1:1" s="287" customFormat="1" ht="12" hidden="1" customHeight="1">
      <c r="A1969" s="286"/>
    </row>
    <row r="1970" spans="1:1" s="287" customFormat="1" ht="12" hidden="1" customHeight="1">
      <c r="A1970" s="286"/>
    </row>
    <row r="1971" spans="1:1" s="287" customFormat="1" ht="12" hidden="1" customHeight="1">
      <c r="A1971" s="286"/>
    </row>
    <row r="1972" spans="1:1" s="287" customFormat="1" ht="12" hidden="1" customHeight="1">
      <c r="A1972" s="286"/>
    </row>
    <row r="1973" spans="1:1" s="287" customFormat="1" ht="12" hidden="1" customHeight="1">
      <c r="A1973" s="286"/>
    </row>
    <row r="1974" spans="1:1" s="287" customFormat="1" ht="12" hidden="1" customHeight="1">
      <c r="A1974" s="286"/>
    </row>
    <row r="1975" spans="1:1" s="287" customFormat="1" ht="12" hidden="1" customHeight="1">
      <c r="A1975" s="286"/>
    </row>
    <row r="1976" spans="1:1" s="287" customFormat="1" ht="12" hidden="1" customHeight="1">
      <c r="A1976" s="286"/>
    </row>
    <row r="1977" spans="1:1" s="287" customFormat="1" ht="12" hidden="1" customHeight="1">
      <c r="A1977" s="286"/>
    </row>
    <row r="1978" spans="1:1" s="287" customFormat="1" ht="12" hidden="1" customHeight="1">
      <c r="A1978" s="286"/>
    </row>
    <row r="1979" spans="1:1" s="287" customFormat="1" ht="12" hidden="1" customHeight="1">
      <c r="A1979" s="286"/>
    </row>
    <row r="1980" spans="1:1" s="287" customFormat="1" ht="12" hidden="1" customHeight="1">
      <c r="A1980" s="286"/>
    </row>
    <row r="1981" spans="1:1" s="287" customFormat="1" ht="12" hidden="1" customHeight="1">
      <c r="A1981" s="286"/>
    </row>
    <row r="1982" spans="1:1" s="287" customFormat="1" ht="12" hidden="1" customHeight="1">
      <c r="A1982" s="286"/>
    </row>
    <row r="1983" spans="1:1" s="287" customFormat="1" ht="12" hidden="1" customHeight="1">
      <c r="A1983" s="286"/>
    </row>
    <row r="1984" spans="1:1" s="287" customFormat="1" ht="12" hidden="1" customHeight="1">
      <c r="A1984" s="286"/>
    </row>
    <row r="1985" spans="1:1" s="287" customFormat="1" ht="12" hidden="1" customHeight="1">
      <c r="A1985" s="286"/>
    </row>
    <row r="1986" spans="1:1" s="287" customFormat="1" ht="12" hidden="1" customHeight="1">
      <c r="A1986" s="286"/>
    </row>
    <row r="1987" spans="1:1" s="287" customFormat="1" ht="12" hidden="1" customHeight="1">
      <c r="A1987" s="286"/>
    </row>
    <row r="1988" spans="1:1" s="287" customFormat="1" ht="12" hidden="1" customHeight="1">
      <c r="A1988" s="286"/>
    </row>
    <row r="1989" spans="1:1" s="287" customFormat="1" ht="12" hidden="1" customHeight="1">
      <c r="A1989" s="286"/>
    </row>
    <row r="1990" spans="1:1" s="287" customFormat="1" ht="12" hidden="1" customHeight="1">
      <c r="A1990" s="286"/>
    </row>
    <row r="1991" spans="1:1" s="287" customFormat="1" ht="12" hidden="1" customHeight="1">
      <c r="A1991" s="286"/>
    </row>
    <row r="1992" spans="1:1" s="287" customFormat="1" ht="12" hidden="1" customHeight="1">
      <c r="A1992" s="286"/>
    </row>
    <row r="1993" spans="1:1" s="287" customFormat="1" ht="12" hidden="1" customHeight="1">
      <c r="A1993" s="286"/>
    </row>
    <row r="1994" spans="1:1" s="287" customFormat="1" ht="12" hidden="1" customHeight="1">
      <c r="A1994" s="286"/>
    </row>
    <row r="1995" spans="1:1" s="287" customFormat="1" ht="12" hidden="1" customHeight="1">
      <c r="A1995" s="286"/>
    </row>
    <row r="1996" spans="1:1" s="287" customFormat="1" ht="12" hidden="1" customHeight="1">
      <c r="A1996" s="286"/>
    </row>
    <row r="1997" spans="1:1" s="287" customFormat="1" ht="12" hidden="1" customHeight="1">
      <c r="A1997" s="286"/>
    </row>
    <row r="1998" spans="1:1" s="287" customFormat="1" ht="12" hidden="1" customHeight="1">
      <c r="A1998" s="286"/>
    </row>
    <row r="1999" spans="1:1" s="287" customFormat="1" ht="12" hidden="1" customHeight="1">
      <c r="A1999" s="286"/>
    </row>
    <row r="2000" spans="1:1" s="287" customFormat="1" ht="12" hidden="1" customHeight="1">
      <c r="A2000" s="286"/>
    </row>
    <row r="2001" spans="1:1" s="287" customFormat="1" ht="12" hidden="1" customHeight="1">
      <c r="A2001" s="286"/>
    </row>
    <row r="2002" spans="1:1" s="287" customFormat="1" ht="12" hidden="1" customHeight="1">
      <c r="A2002" s="286"/>
    </row>
    <row r="2003" spans="1:1" s="287" customFormat="1" ht="12" hidden="1" customHeight="1">
      <c r="A2003" s="286"/>
    </row>
    <row r="2004" spans="1:1" s="287" customFormat="1" ht="12" hidden="1" customHeight="1">
      <c r="A2004" s="286"/>
    </row>
    <row r="2005" spans="1:1" s="287" customFormat="1" ht="12" hidden="1" customHeight="1">
      <c r="A2005" s="286"/>
    </row>
    <row r="2006" spans="1:1" s="287" customFormat="1" ht="12" hidden="1" customHeight="1">
      <c r="A2006" s="286"/>
    </row>
    <row r="2007" spans="1:1" s="287" customFormat="1" ht="12" hidden="1" customHeight="1">
      <c r="A2007" s="286"/>
    </row>
    <row r="2008" spans="1:1" s="287" customFormat="1" ht="12" hidden="1" customHeight="1">
      <c r="A2008" s="286"/>
    </row>
    <row r="2009" spans="1:1" s="287" customFormat="1" ht="12" hidden="1" customHeight="1">
      <c r="A2009" s="286"/>
    </row>
    <row r="2010" spans="1:1" s="287" customFormat="1" ht="12" hidden="1" customHeight="1">
      <c r="A2010" s="286"/>
    </row>
    <row r="2011" spans="1:1" s="287" customFormat="1" ht="12" hidden="1" customHeight="1">
      <c r="A2011" s="286"/>
    </row>
    <row r="2012" spans="1:1" s="287" customFormat="1" ht="12" hidden="1" customHeight="1">
      <c r="A2012" s="286"/>
    </row>
    <row r="2013" spans="1:1" s="287" customFormat="1" ht="12" hidden="1" customHeight="1">
      <c r="A2013" s="286"/>
    </row>
    <row r="2014" spans="1:1" s="287" customFormat="1" ht="12" hidden="1" customHeight="1">
      <c r="A2014" s="286"/>
    </row>
    <row r="2015" spans="1:1" s="287" customFormat="1" ht="12" hidden="1" customHeight="1">
      <c r="A2015" s="286"/>
    </row>
    <row r="2016" spans="1:1" s="287" customFormat="1" ht="12" hidden="1" customHeight="1">
      <c r="A2016" s="286"/>
    </row>
    <row r="2017" spans="1:1" s="287" customFormat="1" ht="12" hidden="1" customHeight="1">
      <c r="A2017" s="286"/>
    </row>
    <row r="2018" spans="1:1" s="287" customFormat="1" ht="12" hidden="1" customHeight="1">
      <c r="A2018" s="286"/>
    </row>
    <row r="2019" spans="1:1" s="287" customFormat="1" ht="12" hidden="1" customHeight="1">
      <c r="A2019" s="286"/>
    </row>
    <row r="2020" spans="1:1" s="287" customFormat="1" ht="12" hidden="1" customHeight="1">
      <c r="A2020" s="286"/>
    </row>
    <row r="2021" spans="1:1" s="287" customFormat="1" ht="12" hidden="1" customHeight="1">
      <c r="A2021" s="286"/>
    </row>
    <row r="2022" spans="1:1" s="287" customFormat="1" ht="12" hidden="1" customHeight="1">
      <c r="A2022" s="286"/>
    </row>
    <row r="2023" spans="1:1" s="287" customFormat="1" ht="12" hidden="1" customHeight="1">
      <c r="A2023" s="286"/>
    </row>
    <row r="2024" spans="1:1" s="287" customFormat="1" ht="12" hidden="1" customHeight="1">
      <c r="A2024" s="286"/>
    </row>
    <row r="2025" spans="1:1" s="287" customFormat="1" ht="12" hidden="1" customHeight="1">
      <c r="A2025" s="286"/>
    </row>
    <row r="2026" spans="1:1" s="287" customFormat="1" ht="12" hidden="1" customHeight="1">
      <c r="A2026" s="286"/>
    </row>
    <row r="2027" spans="1:1" s="287" customFormat="1" ht="12" hidden="1" customHeight="1">
      <c r="A2027" s="286"/>
    </row>
    <row r="2028" spans="1:1" s="287" customFormat="1" ht="12" hidden="1" customHeight="1">
      <c r="A2028" s="286"/>
    </row>
    <row r="2029" spans="1:1" s="287" customFormat="1" ht="12" hidden="1" customHeight="1">
      <c r="A2029" s="286"/>
    </row>
    <row r="2030" spans="1:1" s="287" customFormat="1" ht="12" hidden="1" customHeight="1">
      <c r="A2030" s="286"/>
    </row>
    <row r="2031" spans="1:1" s="287" customFormat="1" ht="12" hidden="1" customHeight="1">
      <c r="A2031" s="286"/>
    </row>
    <row r="2032" spans="1:1" s="287" customFormat="1" ht="12" hidden="1" customHeight="1">
      <c r="A2032" s="286"/>
    </row>
    <row r="2033" spans="1:1" s="287" customFormat="1" ht="12" hidden="1" customHeight="1">
      <c r="A2033" s="286"/>
    </row>
    <row r="2034" spans="1:1" s="287" customFormat="1" ht="12" hidden="1" customHeight="1">
      <c r="A2034" s="286"/>
    </row>
    <row r="2035" spans="1:1" s="287" customFormat="1" ht="12" hidden="1" customHeight="1">
      <c r="A2035" s="286"/>
    </row>
    <row r="2036" spans="1:1" s="287" customFormat="1" ht="12" hidden="1" customHeight="1">
      <c r="A2036" s="286"/>
    </row>
    <row r="2037" spans="1:1" s="287" customFormat="1" ht="12" hidden="1" customHeight="1">
      <c r="A2037" s="286"/>
    </row>
    <row r="2038" spans="1:1" s="287" customFormat="1" ht="12" hidden="1" customHeight="1">
      <c r="A2038" s="286"/>
    </row>
    <row r="2039" spans="1:1" s="287" customFormat="1" ht="12" hidden="1" customHeight="1">
      <c r="A2039" s="286"/>
    </row>
    <row r="2040" spans="1:1" s="287" customFormat="1" ht="12" hidden="1" customHeight="1">
      <c r="A2040" s="286"/>
    </row>
    <row r="2041" spans="1:1" s="287" customFormat="1" ht="12" hidden="1" customHeight="1">
      <c r="A2041" s="286"/>
    </row>
    <row r="2042" spans="1:1" s="287" customFormat="1" ht="12" hidden="1" customHeight="1">
      <c r="A2042" s="286"/>
    </row>
    <row r="2043" spans="1:1" s="287" customFormat="1" ht="12" hidden="1" customHeight="1">
      <c r="A2043" s="286"/>
    </row>
    <row r="2044" spans="1:1" s="287" customFormat="1" ht="12" hidden="1" customHeight="1">
      <c r="A2044" s="286"/>
    </row>
    <row r="2045" spans="1:1" s="287" customFormat="1" ht="12" hidden="1" customHeight="1">
      <c r="A2045" s="286"/>
    </row>
    <row r="2046" spans="1:1" s="287" customFormat="1" ht="12" hidden="1" customHeight="1">
      <c r="A2046" s="286"/>
    </row>
    <row r="2047" spans="1:1" s="287" customFormat="1" ht="12" hidden="1" customHeight="1">
      <c r="A2047" s="286"/>
    </row>
    <row r="2048" spans="1:1" s="287" customFormat="1" ht="12" hidden="1" customHeight="1">
      <c r="A2048" s="286"/>
    </row>
    <row r="2049" spans="1:1" s="287" customFormat="1" ht="12" hidden="1" customHeight="1">
      <c r="A2049" s="286"/>
    </row>
    <row r="2050" spans="1:1" s="287" customFormat="1" ht="12" hidden="1" customHeight="1">
      <c r="A2050" s="286"/>
    </row>
    <row r="2051" spans="1:1" s="287" customFormat="1" ht="12" hidden="1" customHeight="1">
      <c r="A2051" s="286"/>
    </row>
    <row r="2052" spans="1:1" s="287" customFormat="1" ht="12" hidden="1" customHeight="1">
      <c r="A2052" s="286"/>
    </row>
    <row r="2053" spans="1:1" s="287" customFormat="1" ht="12" hidden="1" customHeight="1">
      <c r="A2053" s="286"/>
    </row>
    <row r="2054" spans="1:1" s="287" customFormat="1" ht="12" hidden="1" customHeight="1">
      <c r="A2054" s="286"/>
    </row>
    <row r="2055" spans="1:1" s="287" customFormat="1" ht="12" hidden="1" customHeight="1">
      <c r="A2055" s="286"/>
    </row>
    <row r="2056" spans="1:1" s="287" customFormat="1" ht="12" hidden="1" customHeight="1">
      <c r="A2056" s="286"/>
    </row>
    <row r="2057" spans="1:1" s="287" customFormat="1" ht="12" hidden="1" customHeight="1">
      <c r="A2057" s="286"/>
    </row>
    <row r="2058" spans="1:1" s="287" customFormat="1" ht="12" hidden="1" customHeight="1">
      <c r="A2058" s="286"/>
    </row>
    <row r="2059" spans="1:1" s="287" customFormat="1" ht="12" hidden="1" customHeight="1">
      <c r="A2059" s="286"/>
    </row>
    <row r="2060" spans="1:1" s="287" customFormat="1" ht="12" hidden="1" customHeight="1">
      <c r="A2060" s="286"/>
    </row>
    <row r="2061" spans="1:1" s="287" customFormat="1" ht="12" hidden="1" customHeight="1">
      <c r="A2061" s="286"/>
    </row>
    <row r="2062" spans="1:1" s="287" customFormat="1" ht="12" hidden="1" customHeight="1">
      <c r="A2062" s="286"/>
    </row>
    <row r="2063" spans="1:1" s="287" customFormat="1" ht="12" hidden="1" customHeight="1">
      <c r="A2063" s="286"/>
    </row>
    <row r="2064" spans="1:1" s="287" customFormat="1" ht="12" hidden="1" customHeight="1">
      <c r="A2064" s="286"/>
    </row>
    <row r="2065" spans="1:1" s="287" customFormat="1" ht="12" hidden="1" customHeight="1">
      <c r="A2065" s="286"/>
    </row>
    <row r="2066" spans="1:1" s="287" customFormat="1" ht="12" hidden="1" customHeight="1">
      <c r="A2066" s="286"/>
    </row>
    <row r="2067" spans="1:1" s="287" customFormat="1" ht="12" hidden="1" customHeight="1">
      <c r="A2067" s="286"/>
    </row>
    <row r="2068" spans="1:1" s="287" customFormat="1" ht="12" hidden="1" customHeight="1">
      <c r="A2068" s="286"/>
    </row>
    <row r="2069" spans="1:1" s="287" customFormat="1" ht="12" hidden="1" customHeight="1">
      <c r="A2069" s="286"/>
    </row>
    <row r="2070" spans="1:1" s="287" customFormat="1" ht="12" hidden="1" customHeight="1">
      <c r="A2070" s="286"/>
    </row>
    <row r="2071" spans="1:1" s="287" customFormat="1" ht="12" hidden="1" customHeight="1">
      <c r="A2071" s="286"/>
    </row>
    <row r="2072" spans="1:1" s="287" customFormat="1" ht="12" hidden="1" customHeight="1">
      <c r="A2072" s="286"/>
    </row>
    <row r="2073" spans="1:1" s="287" customFormat="1" ht="12" hidden="1" customHeight="1">
      <c r="A2073" s="286"/>
    </row>
    <row r="2074" spans="1:1" s="287" customFormat="1" ht="12" hidden="1" customHeight="1">
      <c r="A2074" s="286"/>
    </row>
    <row r="2075" spans="1:1" s="287" customFormat="1" ht="12" hidden="1" customHeight="1">
      <c r="A2075" s="286"/>
    </row>
    <row r="2076" spans="1:1" s="287" customFormat="1" ht="12" hidden="1" customHeight="1">
      <c r="A2076" s="286"/>
    </row>
    <row r="2077" spans="1:1" s="287" customFormat="1" ht="12" hidden="1" customHeight="1">
      <c r="A2077" s="286"/>
    </row>
    <row r="2078" spans="1:1" s="287" customFormat="1" ht="12" hidden="1" customHeight="1">
      <c r="A2078" s="286"/>
    </row>
    <row r="2079" spans="1:1" s="287" customFormat="1" ht="12" hidden="1" customHeight="1">
      <c r="A2079" s="286"/>
    </row>
    <row r="2080" spans="1:1" s="287" customFormat="1" ht="12" hidden="1" customHeight="1">
      <c r="A2080" s="286"/>
    </row>
    <row r="2081" spans="1:1" s="287" customFormat="1" ht="12" hidden="1" customHeight="1">
      <c r="A2081" s="286"/>
    </row>
    <row r="2082" spans="1:1" s="287" customFormat="1" ht="12" hidden="1" customHeight="1">
      <c r="A2082" s="286"/>
    </row>
    <row r="2083" spans="1:1" s="287" customFormat="1" ht="12" hidden="1" customHeight="1">
      <c r="A2083" s="286"/>
    </row>
    <row r="2084" spans="1:1" s="287" customFormat="1" ht="12" hidden="1" customHeight="1">
      <c r="A2084" s="286"/>
    </row>
    <row r="2085" spans="1:1" s="287" customFormat="1" ht="12" hidden="1" customHeight="1">
      <c r="A2085" s="286"/>
    </row>
    <row r="2086" spans="1:1" s="287" customFormat="1" ht="12" hidden="1" customHeight="1">
      <c r="A2086" s="286"/>
    </row>
    <row r="2087" spans="1:1" s="287" customFormat="1" ht="12" hidden="1" customHeight="1">
      <c r="A2087" s="286"/>
    </row>
    <row r="2088" spans="1:1" s="287" customFormat="1" ht="12" hidden="1" customHeight="1">
      <c r="A2088" s="286"/>
    </row>
    <row r="2089" spans="1:1" s="287" customFormat="1" ht="12" hidden="1" customHeight="1">
      <c r="A2089" s="286"/>
    </row>
    <row r="2090" spans="1:1" s="287" customFormat="1" ht="12" hidden="1" customHeight="1">
      <c r="A2090" s="286"/>
    </row>
    <row r="2091" spans="1:1" s="287" customFormat="1" ht="12" hidden="1" customHeight="1">
      <c r="A2091" s="286"/>
    </row>
    <row r="2092" spans="1:1" s="287" customFormat="1" ht="12" hidden="1" customHeight="1">
      <c r="A2092" s="286"/>
    </row>
    <row r="2093" spans="1:1" s="287" customFormat="1" ht="12" hidden="1" customHeight="1">
      <c r="A2093" s="286"/>
    </row>
    <row r="2094" spans="1:1" s="287" customFormat="1" ht="12" hidden="1" customHeight="1">
      <c r="A2094" s="286"/>
    </row>
    <row r="2095" spans="1:1" s="287" customFormat="1" ht="12" hidden="1" customHeight="1">
      <c r="A2095" s="286"/>
    </row>
    <row r="2096" spans="1:1" s="287" customFormat="1" ht="12" hidden="1" customHeight="1">
      <c r="A2096" s="286"/>
    </row>
    <row r="2097" spans="1:1" s="287" customFormat="1" ht="12" hidden="1" customHeight="1">
      <c r="A2097" s="286"/>
    </row>
    <row r="2098" spans="1:1" s="287" customFormat="1" ht="12" hidden="1" customHeight="1">
      <c r="A2098" s="286"/>
    </row>
    <row r="2099" spans="1:1" s="287" customFormat="1" ht="12" hidden="1" customHeight="1">
      <c r="A2099" s="286"/>
    </row>
    <row r="2100" spans="1:1" s="287" customFormat="1" ht="12" hidden="1" customHeight="1">
      <c r="A2100" s="286"/>
    </row>
    <row r="2101" spans="1:1" s="287" customFormat="1" ht="12" hidden="1" customHeight="1">
      <c r="A2101" s="286"/>
    </row>
    <row r="2102" spans="1:1" s="287" customFormat="1" ht="12" hidden="1" customHeight="1">
      <c r="A2102" s="286"/>
    </row>
    <row r="2103" spans="1:1" s="287" customFormat="1" ht="12" hidden="1" customHeight="1">
      <c r="A2103" s="286"/>
    </row>
    <row r="2104" spans="1:1" s="287" customFormat="1" ht="12" hidden="1" customHeight="1">
      <c r="A2104" s="286"/>
    </row>
    <row r="2105" spans="1:1" s="287" customFormat="1" ht="12" hidden="1" customHeight="1">
      <c r="A2105" s="286"/>
    </row>
    <row r="2106" spans="1:1" s="287" customFormat="1" ht="12" hidden="1" customHeight="1">
      <c r="A2106" s="286"/>
    </row>
    <row r="2107" spans="1:1" s="287" customFormat="1" ht="12" hidden="1" customHeight="1">
      <c r="A2107" s="286"/>
    </row>
    <row r="2108" spans="1:1" s="287" customFormat="1" ht="12" hidden="1" customHeight="1">
      <c r="A2108" s="286"/>
    </row>
    <row r="2109" spans="1:1" s="287" customFormat="1" ht="12" hidden="1" customHeight="1">
      <c r="A2109" s="286"/>
    </row>
    <row r="2110" spans="1:1" s="287" customFormat="1" ht="12" hidden="1" customHeight="1">
      <c r="A2110" s="286"/>
    </row>
    <row r="2111" spans="1:1" s="287" customFormat="1" ht="12" hidden="1" customHeight="1">
      <c r="A2111" s="286"/>
    </row>
    <row r="2112" spans="1:1" s="287" customFormat="1" ht="12" hidden="1" customHeight="1">
      <c r="A2112" s="286"/>
    </row>
    <row r="2113" spans="1:1" s="287" customFormat="1" ht="12" hidden="1" customHeight="1">
      <c r="A2113" s="286"/>
    </row>
    <row r="2114" spans="1:1" s="287" customFormat="1" ht="12" hidden="1" customHeight="1">
      <c r="A2114" s="286"/>
    </row>
    <row r="2115" spans="1:1" s="287" customFormat="1" ht="12" hidden="1" customHeight="1">
      <c r="A2115" s="286"/>
    </row>
    <row r="2116" spans="1:1" s="287" customFormat="1" ht="12" hidden="1" customHeight="1">
      <c r="A2116" s="286"/>
    </row>
    <row r="2117" spans="1:1" s="287" customFormat="1" ht="12" hidden="1" customHeight="1">
      <c r="A2117" s="286"/>
    </row>
    <row r="2118" spans="1:1" s="287" customFormat="1" ht="12" hidden="1" customHeight="1">
      <c r="A2118" s="286"/>
    </row>
    <row r="2119" spans="1:1" s="287" customFormat="1" ht="12" hidden="1" customHeight="1">
      <c r="A2119" s="286"/>
    </row>
    <row r="2120" spans="1:1" s="287" customFormat="1" ht="12" hidden="1" customHeight="1">
      <c r="A2120" s="286"/>
    </row>
    <row r="2121" spans="1:1" s="287" customFormat="1" ht="12" hidden="1" customHeight="1">
      <c r="A2121" s="286"/>
    </row>
    <row r="2122" spans="1:1" s="287" customFormat="1" ht="12" hidden="1" customHeight="1">
      <c r="A2122" s="286"/>
    </row>
    <row r="2123" spans="1:1" s="287" customFormat="1" ht="12" hidden="1" customHeight="1">
      <c r="A2123" s="286"/>
    </row>
    <row r="2124" spans="1:1" s="287" customFormat="1" ht="12" hidden="1" customHeight="1">
      <c r="A2124" s="286"/>
    </row>
    <row r="2125" spans="1:1" s="287" customFormat="1" ht="12" hidden="1" customHeight="1">
      <c r="A2125" s="286"/>
    </row>
    <row r="2126" spans="1:1" s="287" customFormat="1" ht="12" hidden="1" customHeight="1">
      <c r="A2126" s="286"/>
    </row>
    <row r="2127" spans="1:1" s="287" customFormat="1" ht="12" hidden="1" customHeight="1">
      <c r="A2127" s="286"/>
    </row>
    <row r="2128" spans="1:1" s="287" customFormat="1" ht="12" hidden="1" customHeight="1">
      <c r="A2128" s="286"/>
    </row>
    <row r="2129" spans="1:1" s="287" customFormat="1" ht="12" hidden="1" customHeight="1">
      <c r="A2129" s="286"/>
    </row>
    <row r="2130" spans="1:1" s="287" customFormat="1" ht="12" hidden="1" customHeight="1">
      <c r="A2130" s="286"/>
    </row>
    <row r="2131" spans="1:1" s="287" customFormat="1" ht="12" hidden="1" customHeight="1">
      <c r="A2131" s="286"/>
    </row>
    <row r="2132" spans="1:1" s="287" customFormat="1" ht="12" hidden="1" customHeight="1">
      <c r="A2132" s="286"/>
    </row>
    <row r="2133" spans="1:1" s="287" customFormat="1" ht="12" hidden="1" customHeight="1">
      <c r="A2133" s="286"/>
    </row>
    <row r="2134" spans="1:1" s="287" customFormat="1" ht="12" hidden="1" customHeight="1">
      <c r="A2134" s="286"/>
    </row>
    <row r="2135" spans="1:1" s="287" customFormat="1" ht="12" hidden="1" customHeight="1">
      <c r="A2135" s="286"/>
    </row>
    <row r="2136" spans="1:1" s="287" customFormat="1" ht="12" hidden="1" customHeight="1">
      <c r="A2136" s="286"/>
    </row>
    <row r="2137" spans="1:1" s="287" customFormat="1" ht="12" hidden="1" customHeight="1">
      <c r="A2137" s="286"/>
    </row>
    <row r="2138" spans="1:1" s="287" customFormat="1" ht="12" hidden="1" customHeight="1">
      <c r="A2138" s="286"/>
    </row>
    <row r="2139" spans="1:1" s="287" customFormat="1" ht="12" hidden="1" customHeight="1">
      <c r="A2139" s="286"/>
    </row>
    <row r="2140" spans="1:1" s="287" customFormat="1" ht="12" hidden="1" customHeight="1">
      <c r="A2140" s="286"/>
    </row>
    <row r="2141" spans="1:1" s="287" customFormat="1" ht="12" hidden="1" customHeight="1">
      <c r="A2141" s="286"/>
    </row>
    <row r="2142" spans="1:1" s="287" customFormat="1" ht="12" hidden="1" customHeight="1">
      <c r="A2142" s="286"/>
    </row>
    <row r="2143" spans="1:1" s="287" customFormat="1" ht="12" hidden="1" customHeight="1">
      <c r="A2143" s="286"/>
    </row>
    <row r="2144" spans="1:1" s="287" customFormat="1" ht="12" hidden="1" customHeight="1">
      <c r="A2144" s="286"/>
    </row>
    <row r="2145" spans="1:1" s="287" customFormat="1" ht="12" hidden="1" customHeight="1">
      <c r="A2145" s="286"/>
    </row>
    <row r="2146" spans="1:1" s="287" customFormat="1" ht="12" hidden="1" customHeight="1">
      <c r="A2146" s="286"/>
    </row>
    <row r="2147" spans="1:1" s="287" customFormat="1" ht="12" hidden="1" customHeight="1">
      <c r="A2147" s="286"/>
    </row>
    <row r="2148" spans="1:1" s="287" customFormat="1" ht="12" hidden="1" customHeight="1">
      <c r="A2148" s="286"/>
    </row>
    <row r="2149" spans="1:1" s="287" customFormat="1" ht="12" hidden="1" customHeight="1">
      <c r="A2149" s="286"/>
    </row>
    <row r="2150" spans="1:1" s="287" customFormat="1" ht="12" hidden="1" customHeight="1">
      <c r="A2150" s="286"/>
    </row>
    <row r="2151" spans="1:1" s="287" customFormat="1" ht="12" hidden="1" customHeight="1">
      <c r="A2151" s="286"/>
    </row>
    <row r="2152" spans="1:1" s="287" customFormat="1" ht="12" hidden="1" customHeight="1">
      <c r="A2152" s="286"/>
    </row>
    <row r="2153" spans="1:1" s="287" customFormat="1" ht="12" hidden="1" customHeight="1">
      <c r="A2153" s="286"/>
    </row>
    <row r="2154" spans="1:1" s="287" customFormat="1" ht="12" hidden="1" customHeight="1">
      <c r="A2154" s="286"/>
    </row>
    <row r="2155" spans="1:1" s="287" customFormat="1" ht="12" hidden="1" customHeight="1">
      <c r="A2155" s="286"/>
    </row>
    <row r="2156" spans="1:1" s="287" customFormat="1" ht="12" hidden="1" customHeight="1">
      <c r="A2156" s="286"/>
    </row>
    <row r="2157" spans="1:1" s="287" customFormat="1" ht="12" hidden="1" customHeight="1">
      <c r="A2157" s="286"/>
    </row>
    <row r="2158" spans="1:1" s="287" customFormat="1" ht="12" hidden="1" customHeight="1">
      <c r="A2158" s="286"/>
    </row>
    <row r="2159" spans="1:1" s="287" customFormat="1" ht="12" hidden="1" customHeight="1">
      <c r="A2159" s="286"/>
    </row>
    <row r="2160" spans="1:1" s="287" customFormat="1" ht="12" hidden="1" customHeight="1">
      <c r="A2160" s="286"/>
    </row>
    <row r="2161" spans="1:1" s="287" customFormat="1" ht="12" hidden="1" customHeight="1">
      <c r="A2161" s="286"/>
    </row>
    <row r="2162" spans="1:1" s="287" customFormat="1" ht="12" hidden="1" customHeight="1">
      <c r="A2162" s="286"/>
    </row>
    <row r="2163" spans="1:1" s="287" customFormat="1" ht="12" hidden="1" customHeight="1">
      <c r="A2163" s="286"/>
    </row>
    <row r="2164" spans="1:1" s="287" customFormat="1" ht="12" hidden="1" customHeight="1">
      <c r="A2164" s="286"/>
    </row>
    <row r="2165" spans="1:1" s="287" customFormat="1" ht="12" hidden="1" customHeight="1">
      <c r="A2165" s="286"/>
    </row>
    <row r="2166" spans="1:1" s="287" customFormat="1" ht="12" hidden="1" customHeight="1">
      <c r="A2166" s="286"/>
    </row>
    <row r="2167" spans="1:1" s="287" customFormat="1" ht="12" hidden="1" customHeight="1">
      <c r="A2167" s="286"/>
    </row>
    <row r="2168" spans="1:1" s="287" customFormat="1" ht="12" hidden="1" customHeight="1">
      <c r="A2168" s="286"/>
    </row>
    <row r="2169" spans="1:1" s="287" customFormat="1" ht="12" hidden="1" customHeight="1">
      <c r="A2169" s="286"/>
    </row>
    <row r="2170" spans="1:1" s="287" customFormat="1" ht="12" hidden="1" customHeight="1">
      <c r="A2170" s="286"/>
    </row>
    <row r="2171" spans="1:1" s="287" customFormat="1" ht="12" hidden="1" customHeight="1">
      <c r="A2171" s="286"/>
    </row>
    <row r="2172" spans="1:1" s="287" customFormat="1" ht="12" hidden="1" customHeight="1">
      <c r="A2172" s="286"/>
    </row>
    <row r="2173" spans="1:1" s="287" customFormat="1" ht="12" hidden="1" customHeight="1">
      <c r="A2173" s="286"/>
    </row>
    <row r="2174" spans="1:1" s="287" customFormat="1" ht="12" hidden="1" customHeight="1">
      <c r="A2174" s="286"/>
    </row>
    <row r="2175" spans="1:1" s="287" customFormat="1" ht="12" hidden="1" customHeight="1">
      <c r="A2175" s="286"/>
    </row>
    <row r="2176" spans="1:1" s="287" customFormat="1" ht="12" hidden="1" customHeight="1">
      <c r="A2176" s="286"/>
    </row>
    <row r="2177" spans="1:1" s="287" customFormat="1" ht="12" hidden="1" customHeight="1">
      <c r="A2177" s="286"/>
    </row>
    <row r="2178" spans="1:1" s="287" customFormat="1" ht="12" hidden="1" customHeight="1">
      <c r="A2178" s="286"/>
    </row>
    <row r="2179" spans="1:1" s="287" customFormat="1" ht="12" hidden="1" customHeight="1">
      <c r="A2179" s="286"/>
    </row>
    <row r="2180" spans="1:1" s="287" customFormat="1" ht="12" hidden="1" customHeight="1">
      <c r="A2180" s="286"/>
    </row>
    <row r="2181" spans="1:1" s="287" customFormat="1" ht="12" hidden="1" customHeight="1">
      <c r="A2181" s="286"/>
    </row>
    <row r="2182" spans="1:1" s="287" customFormat="1" ht="12" hidden="1" customHeight="1">
      <c r="A2182" s="286"/>
    </row>
    <row r="2183" spans="1:1" s="287" customFormat="1" ht="12" hidden="1" customHeight="1">
      <c r="A2183" s="286"/>
    </row>
    <row r="2184" spans="1:1" s="287" customFormat="1" ht="12" hidden="1" customHeight="1">
      <c r="A2184" s="286"/>
    </row>
    <row r="2185" spans="1:1" s="287" customFormat="1" ht="12" hidden="1" customHeight="1">
      <c r="A2185" s="286"/>
    </row>
    <row r="2186" spans="1:1" s="287" customFormat="1" ht="12" hidden="1" customHeight="1">
      <c r="A2186" s="286"/>
    </row>
    <row r="2187" spans="1:1" s="287" customFormat="1" ht="12" hidden="1" customHeight="1">
      <c r="A2187" s="286"/>
    </row>
    <row r="2188" spans="1:1" s="287" customFormat="1" ht="12" hidden="1" customHeight="1">
      <c r="A2188" s="286"/>
    </row>
    <row r="2189" spans="1:1" s="287" customFormat="1" ht="12" hidden="1" customHeight="1">
      <c r="A2189" s="286"/>
    </row>
    <row r="2190" spans="1:1" s="287" customFormat="1" ht="12" hidden="1" customHeight="1">
      <c r="A2190" s="286"/>
    </row>
    <row r="2191" spans="1:1" s="287" customFormat="1" ht="12" hidden="1" customHeight="1">
      <c r="A2191" s="286"/>
    </row>
    <row r="2192" spans="1:1" s="287" customFormat="1" ht="12" hidden="1" customHeight="1">
      <c r="A2192" s="286"/>
    </row>
    <row r="2193" spans="1:1" s="287" customFormat="1" ht="12" hidden="1" customHeight="1">
      <c r="A2193" s="286"/>
    </row>
    <row r="2194" spans="1:1" s="287" customFormat="1" ht="12" hidden="1" customHeight="1">
      <c r="A2194" s="286"/>
    </row>
    <row r="2195" spans="1:1" s="287" customFormat="1" ht="12" hidden="1" customHeight="1">
      <c r="A2195" s="286"/>
    </row>
    <row r="2196" spans="1:1" s="287" customFormat="1" ht="12" hidden="1" customHeight="1">
      <c r="A2196" s="286"/>
    </row>
    <row r="2197" spans="1:1" s="287" customFormat="1" ht="12" hidden="1" customHeight="1">
      <c r="A2197" s="286"/>
    </row>
    <row r="2198" spans="1:1" s="287" customFormat="1" ht="12" hidden="1" customHeight="1">
      <c r="A2198" s="286"/>
    </row>
    <row r="2199" spans="1:1" s="287" customFormat="1" ht="12" hidden="1" customHeight="1">
      <c r="A2199" s="286"/>
    </row>
    <row r="2200" spans="1:1" s="287" customFormat="1" ht="12" hidden="1" customHeight="1">
      <c r="A2200" s="286"/>
    </row>
    <row r="2201" spans="1:1" s="287" customFormat="1" ht="12" hidden="1" customHeight="1">
      <c r="A2201" s="286"/>
    </row>
    <row r="2202" spans="1:1" s="287" customFormat="1" ht="12" hidden="1" customHeight="1">
      <c r="A2202" s="286"/>
    </row>
    <row r="2203" spans="1:1" s="287" customFormat="1" ht="12" hidden="1" customHeight="1">
      <c r="A2203" s="286"/>
    </row>
    <row r="2204" spans="1:1" s="287" customFormat="1" ht="12" hidden="1" customHeight="1">
      <c r="A2204" s="286"/>
    </row>
    <row r="2205" spans="1:1" s="287" customFormat="1" ht="12" hidden="1" customHeight="1">
      <c r="A2205" s="286"/>
    </row>
    <row r="2206" spans="1:1" s="287" customFormat="1" ht="12" hidden="1" customHeight="1">
      <c r="A2206" s="286"/>
    </row>
    <row r="2207" spans="1:1" s="287" customFormat="1" ht="12" hidden="1" customHeight="1">
      <c r="A2207" s="286"/>
    </row>
    <row r="2208" spans="1:1" s="287" customFormat="1" ht="12" hidden="1" customHeight="1">
      <c r="A2208" s="286"/>
    </row>
    <row r="2209" spans="1:1" s="287" customFormat="1" ht="12" hidden="1" customHeight="1">
      <c r="A2209" s="286"/>
    </row>
    <row r="2210" spans="1:1" s="287" customFormat="1" ht="12" hidden="1" customHeight="1">
      <c r="A2210" s="286"/>
    </row>
    <row r="2211" spans="1:1" s="287" customFormat="1" ht="12" hidden="1" customHeight="1">
      <c r="A2211" s="286"/>
    </row>
    <row r="2212" spans="1:1" s="287" customFormat="1" ht="12" hidden="1" customHeight="1">
      <c r="A2212" s="286"/>
    </row>
    <row r="2213" spans="1:1" s="287" customFormat="1" ht="12" hidden="1" customHeight="1">
      <c r="A2213" s="286"/>
    </row>
    <row r="2214" spans="1:1" s="287" customFormat="1" ht="12" hidden="1" customHeight="1">
      <c r="A2214" s="286"/>
    </row>
    <row r="2215" spans="1:1" s="287" customFormat="1" ht="12" hidden="1" customHeight="1">
      <c r="A2215" s="286"/>
    </row>
    <row r="2216" spans="1:1" s="287" customFormat="1" ht="12" hidden="1" customHeight="1">
      <c r="A2216" s="286"/>
    </row>
    <row r="2217" spans="1:1" s="287" customFormat="1" ht="12" hidden="1" customHeight="1">
      <c r="A2217" s="286"/>
    </row>
    <row r="2218" spans="1:1" s="287" customFormat="1" ht="12" hidden="1" customHeight="1">
      <c r="A2218" s="286"/>
    </row>
    <row r="2219" spans="1:1" s="287" customFormat="1" ht="12" hidden="1" customHeight="1">
      <c r="A2219" s="286"/>
    </row>
    <row r="2220" spans="1:1" s="287" customFormat="1" ht="12" hidden="1" customHeight="1">
      <c r="A2220" s="286"/>
    </row>
    <row r="2221" spans="1:1" s="287" customFormat="1" ht="12" hidden="1" customHeight="1">
      <c r="A2221" s="286"/>
    </row>
    <row r="2222" spans="1:1" s="287" customFormat="1" ht="12" hidden="1" customHeight="1">
      <c r="A2222" s="286"/>
    </row>
    <row r="2223" spans="1:1" s="287" customFormat="1" ht="12" hidden="1" customHeight="1">
      <c r="A2223" s="286"/>
    </row>
    <row r="2224" spans="1:1" s="287" customFormat="1" ht="12" hidden="1" customHeight="1">
      <c r="A2224" s="286"/>
    </row>
    <row r="2225" spans="1:1" s="287" customFormat="1" ht="12" hidden="1" customHeight="1">
      <c r="A2225" s="286"/>
    </row>
    <row r="2226" spans="1:1" s="287" customFormat="1" ht="12" hidden="1" customHeight="1">
      <c r="A2226" s="286"/>
    </row>
    <row r="2227" spans="1:1" s="287" customFormat="1" ht="12" hidden="1" customHeight="1">
      <c r="A2227" s="286"/>
    </row>
    <row r="2228" spans="1:1" s="287" customFormat="1" ht="12" hidden="1" customHeight="1">
      <c r="A2228" s="286"/>
    </row>
    <row r="2229" spans="1:1" s="287" customFormat="1" ht="12" hidden="1" customHeight="1">
      <c r="A2229" s="286"/>
    </row>
    <row r="2230" spans="1:1" s="287" customFormat="1" ht="12" hidden="1" customHeight="1">
      <c r="A2230" s="286"/>
    </row>
    <row r="2231" spans="1:1" s="287" customFormat="1" ht="12" hidden="1" customHeight="1">
      <c r="A2231" s="286"/>
    </row>
    <row r="2232" spans="1:1" s="287" customFormat="1" ht="12" hidden="1" customHeight="1">
      <c r="A2232" s="286"/>
    </row>
    <row r="2233" spans="1:1" s="287" customFormat="1" ht="12" hidden="1" customHeight="1">
      <c r="A2233" s="286"/>
    </row>
    <row r="2234" spans="1:1" s="287" customFormat="1" ht="12" hidden="1" customHeight="1">
      <c r="A2234" s="286"/>
    </row>
    <row r="2235" spans="1:1" s="287" customFormat="1" ht="12" hidden="1" customHeight="1">
      <c r="A2235" s="286"/>
    </row>
    <row r="2236" spans="1:1" s="287" customFormat="1" ht="12" hidden="1" customHeight="1">
      <c r="A2236" s="286"/>
    </row>
    <row r="2237" spans="1:1" s="287" customFormat="1" ht="12" hidden="1" customHeight="1">
      <c r="A2237" s="286"/>
    </row>
    <row r="2238" spans="1:1" s="287" customFormat="1" ht="12" hidden="1" customHeight="1">
      <c r="A2238" s="286"/>
    </row>
    <row r="2239" spans="1:1" s="287" customFormat="1" ht="12" hidden="1" customHeight="1">
      <c r="A2239" s="286"/>
    </row>
    <row r="2240" spans="1:1" s="287" customFormat="1" ht="12" hidden="1" customHeight="1">
      <c r="A2240" s="286"/>
    </row>
    <row r="2241" spans="1:1" s="287" customFormat="1" ht="12" hidden="1" customHeight="1">
      <c r="A2241" s="286"/>
    </row>
    <row r="2242" spans="1:1" s="287" customFormat="1" ht="12" hidden="1" customHeight="1">
      <c r="A2242" s="286"/>
    </row>
    <row r="2243" spans="1:1" s="287" customFormat="1" ht="12" hidden="1" customHeight="1">
      <c r="A2243" s="286"/>
    </row>
    <row r="2244" spans="1:1" s="287" customFormat="1" ht="12" hidden="1" customHeight="1">
      <c r="A2244" s="286"/>
    </row>
    <row r="2245" spans="1:1" s="287" customFormat="1" ht="12" hidden="1" customHeight="1">
      <c r="A2245" s="286"/>
    </row>
    <row r="2246" spans="1:1" s="287" customFormat="1" ht="12" hidden="1" customHeight="1">
      <c r="A2246" s="286"/>
    </row>
    <row r="2247" spans="1:1" s="287" customFormat="1" ht="12" hidden="1" customHeight="1">
      <c r="A2247" s="286"/>
    </row>
    <row r="2248" spans="1:1" s="287" customFormat="1" ht="12" hidden="1" customHeight="1">
      <c r="A2248" s="286"/>
    </row>
    <row r="2249" spans="1:1" s="287" customFormat="1" ht="12" hidden="1" customHeight="1">
      <c r="A2249" s="286"/>
    </row>
    <row r="2250" spans="1:1" s="287" customFormat="1" ht="12" hidden="1" customHeight="1">
      <c r="A2250" s="286"/>
    </row>
    <row r="2251" spans="1:1" s="287" customFormat="1" ht="12" hidden="1" customHeight="1">
      <c r="A2251" s="286"/>
    </row>
    <row r="2252" spans="1:1" s="287" customFormat="1" ht="12" hidden="1" customHeight="1">
      <c r="A2252" s="286"/>
    </row>
    <row r="2253" spans="1:1" s="287" customFormat="1" ht="12" hidden="1" customHeight="1">
      <c r="A2253" s="286"/>
    </row>
    <row r="2254" spans="1:1" s="287" customFormat="1" ht="12" hidden="1" customHeight="1">
      <c r="A2254" s="286"/>
    </row>
    <row r="2255" spans="1:1" s="287" customFormat="1" ht="12" hidden="1" customHeight="1">
      <c r="A2255" s="286"/>
    </row>
    <row r="2256" spans="1:1" s="287" customFormat="1" ht="12" hidden="1" customHeight="1">
      <c r="A2256" s="286"/>
    </row>
    <row r="2257" spans="1:1" s="287" customFormat="1" ht="12" hidden="1" customHeight="1">
      <c r="A2257" s="286"/>
    </row>
    <row r="2258" spans="1:1" s="287" customFormat="1" ht="12" hidden="1" customHeight="1">
      <c r="A2258" s="286"/>
    </row>
    <row r="2259" spans="1:1" s="287" customFormat="1" ht="12" hidden="1" customHeight="1">
      <c r="A2259" s="286"/>
    </row>
    <row r="2260" spans="1:1" s="287" customFormat="1" ht="12" hidden="1" customHeight="1">
      <c r="A2260" s="286"/>
    </row>
    <row r="2261" spans="1:1" s="287" customFormat="1" ht="12" hidden="1" customHeight="1">
      <c r="A2261" s="286"/>
    </row>
    <row r="2262" spans="1:1" s="287" customFormat="1" ht="12" hidden="1" customHeight="1">
      <c r="A2262" s="286"/>
    </row>
    <row r="2263" spans="1:1" s="287" customFormat="1" ht="12" hidden="1" customHeight="1">
      <c r="A2263" s="286"/>
    </row>
    <row r="2264" spans="1:1" s="287" customFormat="1" ht="12" hidden="1" customHeight="1">
      <c r="A2264" s="286"/>
    </row>
    <row r="2265" spans="1:1" s="287" customFormat="1" ht="12" hidden="1" customHeight="1">
      <c r="A2265" s="286"/>
    </row>
    <row r="2266" spans="1:1" s="287" customFormat="1" ht="12" hidden="1" customHeight="1">
      <c r="A2266" s="286"/>
    </row>
    <row r="2267" spans="1:1" s="287" customFormat="1" ht="12" hidden="1" customHeight="1">
      <c r="A2267" s="286"/>
    </row>
    <row r="2268" spans="1:1" s="287" customFormat="1" ht="12" hidden="1" customHeight="1">
      <c r="A2268" s="286"/>
    </row>
    <row r="2269" spans="1:1" s="287" customFormat="1" ht="12" hidden="1" customHeight="1">
      <c r="A2269" s="286"/>
    </row>
    <row r="2270" spans="1:1" s="287" customFormat="1" ht="12" hidden="1" customHeight="1">
      <c r="A2270" s="286"/>
    </row>
    <row r="2271" spans="1:1" s="287" customFormat="1" ht="12" hidden="1" customHeight="1">
      <c r="A2271" s="286"/>
    </row>
    <row r="2272" spans="1:1" s="287" customFormat="1" ht="12" hidden="1" customHeight="1">
      <c r="A2272" s="286"/>
    </row>
    <row r="2273" spans="1:1" s="287" customFormat="1" ht="12" hidden="1" customHeight="1">
      <c r="A2273" s="286"/>
    </row>
    <row r="2274" spans="1:1" s="287" customFormat="1" ht="12" hidden="1" customHeight="1">
      <c r="A2274" s="286"/>
    </row>
    <row r="2275" spans="1:1" s="287" customFormat="1" ht="12" hidden="1" customHeight="1">
      <c r="A2275" s="286"/>
    </row>
    <row r="2276" spans="1:1" s="287" customFormat="1" ht="12" hidden="1" customHeight="1">
      <c r="A2276" s="286"/>
    </row>
    <row r="2277" spans="1:1" s="287" customFormat="1" ht="12" hidden="1" customHeight="1">
      <c r="A2277" s="286"/>
    </row>
    <row r="2278" spans="1:1" s="287" customFormat="1" ht="12" hidden="1" customHeight="1">
      <c r="A2278" s="286"/>
    </row>
    <row r="2279" spans="1:1" s="287" customFormat="1" ht="12" hidden="1" customHeight="1">
      <c r="A2279" s="286"/>
    </row>
    <row r="2280" spans="1:1" s="287" customFormat="1" ht="12" hidden="1" customHeight="1">
      <c r="A2280" s="286"/>
    </row>
    <row r="2281" spans="1:1" s="287" customFormat="1" ht="12" hidden="1" customHeight="1">
      <c r="A2281" s="286"/>
    </row>
    <row r="2282" spans="1:1" s="287" customFormat="1" ht="12" hidden="1" customHeight="1">
      <c r="A2282" s="286"/>
    </row>
    <row r="2283" spans="1:1" s="287" customFormat="1" ht="12" hidden="1" customHeight="1">
      <c r="A2283" s="286"/>
    </row>
    <row r="2284" spans="1:1" s="287" customFormat="1" ht="12" hidden="1" customHeight="1">
      <c r="A2284" s="286"/>
    </row>
    <row r="2285" spans="1:1" s="287" customFormat="1" ht="12" hidden="1" customHeight="1">
      <c r="A2285" s="286"/>
    </row>
    <row r="2286" spans="1:1" s="287" customFormat="1" ht="12" hidden="1" customHeight="1">
      <c r="A2286" s="286"/>
    </row>
    <row r="2287" spans="1:1" s="287" customFormat="1" ht="12" hidden="1" customHeight="1">
      <c r="A2287" s="286"/>
    </row>
    <row r="2288" spans="1:1" s="287" customFormat="1" ht="12" hidden="1" customHeight="1">
      <c r="A2288" s="286"/>
    </row>
    <row r="2289" spans="1:1" s="287" customFormat="1" ht="12" hidden="1" customHeight="1">
      <c r="A2289" s="286"/>
    </row>
    <row r="2290" spans="1:1" s="287" customFormat="1" ht="12" hidden="1" customHeight="1">
      <c r="A2290" s="286"/>
    </row>
    <row r="2291" spans="1:1" s="287" customFormat="1" ht="12" hidden="1" customHeight="1">
      <c r="A2291" s="286"/>
    </row>
    <row r="2292" spans="1:1" s="287" customFormat="1" ht="12" hidden="1" customHeight="1">
      <c r="A2292" s="286"/>
    </row>
    <row r="2293" spans="1:1" s="287" customFormat="1" ht="12" hidden="1" customHeight="1">
      <c r="A2293" s="286"/>
    </row>
    <row r="2294" spans="1:1" s="287" customFormat="1" ht="12" hidden="1" customHeight="1">
      <c r="A2294" s="286"/>
    </row>
    <row r="2295" spans="1:1" s="287" customFormat="1" ht="12" hidden="1" customHeight="1">
      <c r="A2295" s="286"/>
    </row>
    <row r="2296" spans="1:1" s="287" customFormat="1" ht="12" hidden="1" customHeight="1">
      <c r="A2296" s="286"/>
    </row>
    <row r="2297" spans="1:1" s="287" customFormat="1" ht="12" hidden="1" customHeight="1">
      <c r="A2297" s="286"/>
    </row>
    <row r="2298" spans="1:1" s="287" customFormat="1" ht="12" hidden="1" customHeight="1">
      <c r="A2298" s="286"/>
    </row>
    <row r="2299" spans="1:1" s="287" customFormat="1" ht="12" hidden="1" customHeight="1">
      <c r="A2299" s="286"/>
    </row>
    <row r="2300" spans="1:1" s="287" customFormat="1" ht="12" hidden="1" customHeight="1">
      <c r="A2300" s="286"/>
    </row>
    <row r="2301" spans="1:1" s="287" customFormat="1" ht="12" hidden="1" customHeight="1">
      <c r="A2301" s="286"/>
    </row>
    <row r="2302" spans="1:1" s="287" customFormat="1" ht="12" hidden="1" customHeight="1">
      <c r="A2302" s="286"/>
    </row>
    <row r="2303" spans="1:1" s="287" customFormat="1" ht="12" hidden="1" customHeight="1">
      <c r="A2303" s="286"/>
    </row>
    <row r="2304" spans="1:1" s="287" customFormat="1" ht="12" hidden="1" customHeight="1">
      <c r="A2304" s="286"/>
    </row>
    <row r="2305" spans="1:1" s="287" customFormat="1" ht="12" hidden="1" customHeight="1">
      <c r="A2305" s="286"/>
    </row>
    <row r="2306" spans="1:1" s="287" customFormat="1" ht="12" hidden="1" customHeight="1">
      <c r="A2306" s="286"/>
    </row>
    <row r="2307" spans="1:1" s="287" customFormat="1" ht="12" hidden="1" customHeight="1">
      <c r="A2307" s="286"/>
    </row>
    <row r="2308" spans="1:1" s="287" customFormat="1" ht="12" hidden="1" customHeight="1">
      <c r="A2308" s="286"/>
    </row>
    <row r="2309" spans="1:1" s="287" customFormat="1" ht="12" hidden="1" customHeight="1">
      <c r="A2309" s="286"/>
    </row>
    <row r="2310" spans="1:1" s="287" customFormat="1" ht="12" hidden="1" customHeight="1">
      <c r="A2310" s="286"/>
    </row>
    <row r="2311" spans="1:1" s="287" customFormat="1" ht="12" hidden="1" customHeight="1">
      <c r="A2311" s="286"/>
    </row>
    <row r="2312" spans="1:1" s="287" customFormat="1" ht="12" hidden="1" customHeight="1">
      <c r="A2312" s="286"/>
    </row>
    <row r="2313" spans="1:1" s="287" customFormat="1" ht="12" hidden="1" customHeight="1">
      <c r="A2313" s="286"/>
    </row>
    <row r="2314" spans="1:1" s="287" customFormat="1" ht="12" hidden="1" customHeight="1">
      <c r="A2314" s="286"/>
    </row>
    <row r="2315" spans="1:1" s="287" customFormat="1" ht="12" hidden="1" customHeight="1">
      <c r="A2315" s="286"/>
    </row>
    <row r="2316" spans="1:1" s="287" customFormat="1" ht="12" hidden="1" customHeight="1">
      <c r="A2316" s="286"/>
    </row>
    <row r="2317" spans="1:1" s="287" customFormat="1" ht="12" hidden="1" customHeight="1">
      <c r="A2317" s="286"/>
    </row>
    <row r="2318" spans="1:1" s="287" customFormat="1" ht="12" hidden="1" customHeight="1">
      <c r="A2318" s="286"/>
    </row>
    <row r="2319" spans="1:1" s="287" customFormat="1" ht="12" hidden="1" customHeight="1">
      <c r="A2319" s="286"/>
    </row>
    <row r="2320" spans="1:1" s="287" customFormat="1" ht="12" hidden="1" customHeight="1">
      <c r="A2320" s="286"/>
    </row>
    <row r="2321" spans="1:1" s="287" customFormat="1" ht="12" hidden="1" customHeight="1">
      <c r="A2321" s="286"/>
    </row>
    <row r="2322" spans="1:1" s="287" customFormat="1" ht="12" hidden="1" customHeight="1">
      <c r="A2322" s="286"/>
    </row>
    <row r="2323" spans="1:1" s="287" customFormat="1" ht="12" hidden="1" customHeight="1">
      <c r="A2323" s="286"/>
    </row>
    <row r="2324" spans="1:1" s="287" customFormat="1" ht="12" hidden="1" customHeight="1">
      <c r="A2324" s="286"/>
    </row>
    <row r="2325" spans="1:1" s="287" customFormat="1" ht="12" hidden="1" customHeight="1">
      <c r="A2325" s="286"/>
    </row>
    <row r="2326" spans="1:1" s="287" customFormat="1" ht="12" hidden="1" customHeight="1">
      <c r="A2326" s="286"/>
    </row>
    <row r="2327" spans="1:1" s="287" customFormat="1" ht="12" hidden="1" customHeight="1">
      <c r="A2327" s="286"/>
    </row>
    <row r="2328" spans="1:1" s="287" customFormat="1" ht="12" hidden="1" customHeight="1">
      <c r="A2328" s="286"/>
    </row>
    <row r="2329" spans="1:1" s="287" customFormat="1" ht="12" hidden="1" customHeight="1">
      <c r="A2329" s="286"/>
    </row>
    <row r="2330" spans="1:1" s="287" customFormat="1" ht="12" hidden="1" customHeight="1">
      <c r="A2330" s="286"/>
    </row>
    <row r="2331" spans="1:1" s="287" customFormat="1" ht="12" hidden="1" customHeight="1">
      <c r="A2331" s="286"/>
    </row>
    <row r="2332" spans="1:1" s="287" customFormat="1" ht="12" hidden="1" customHeight="1">
      <c r="A2332" s="286"/>
    </row>
    <row r="2333" spans="1:1" s="287" customFormat="1" ht="12" hidden="1" customHeight="1">
      <c r="A2333" s="286"/>
    </row>
    <row r="2334" spans="1:1" s="287" customFormat="1" ht="12" hidden="1" customHeight="1">
      <c r="A2334" s="286"/>
    </row>
    <row r="2335" spans="1:1" s="287" customFormat="1" ht="12" hidden="1" customHeight="1">
      <c r="A2335" s="286"/>
    </row>
    <row r="2336" spans="1:1" s="287" customFormat="1" ht="12" hidden="1" customHeight="1">
      <c r="A2336" s="286"/>
    </row>
    <row r="2337" spans="1:1" s="287" customFormat="1" ht="12" hidden="1" customHeight="1">
      <c r="A2337" s="286"/>
    </row>
    <row r="2338" spans="1:1" s="287" customFormat="1" ht="12" hidden="1" customHeight="1">
      <c r="A2338" s="286"/>
    </row>
    <row r="2339" spans="1:1" s="287" customFormat="1" ht="12" hidden="1" customHeight="1">
      <c r="A2339" s="286"/>
    </row>
    <row r="2340" spans="1:1" s="287" customFormat="1" ht="12" hidden="1" customHeight="1">
      <c r="A2340" s="286"/>
    </row>
    <row r="2341" spans="1:1" s="287" customFormat="1" ht="12" hidden="1" customHeight="1">
      <c r="A2341" s="286"/>
    </row>
    <row r="2342" spans="1:1" s="287" customFormat="1" ht="12" hidden="1" customHeight="1">
      <c r="A2342" s="286"/>
    </row>
    <row r="2343" spans="1:1" s="287" customFormat="1" ht="12" hidden="1" customHeight="1">
      <c r="A2343" s="286"/>
    </row>
    <row r="2344" spans="1:1" s="287" customFormat="1" ht="12" hidden="1" customHeight="1">
      <c r="A2344" s="286"/>
    </row>
    <row r="2345" spans="1:1" s="287" customFormat="1" ht="12" hidden="1" customHeight="1">
      <c r="A2345" s="286"/>
    </row>
    <row r="2346" spans="1:1" s="287" customFormat="1" ht="12" hidden="1" customHeight="1">
      <c r="A2346" s="286"/>
    </row>
    <row r="2347" spans="1:1" s="287" customFormat="1" ht="12" hidden="1" customHeight="1">
      <c r="A2347" s="286"/>
    </row>
    <row r="2348" spans="1:1" s="287" customFormat="1" ht="12" hidden="1" customHeight="1">
      <c r="A2348" s="286"/>
    </row>
    <row r="2349" spans="1:1" s="287" customFormat="1" ht="12" hidden="1" customHeight="1">
      <c r="A2349" s="286"/>
    </row>
    <row r="2350" spans="1:1" s="287" customFormat="1" ht="12" hidden="1" customHeight="1">
      <c r="A2350" s="286"/>
    </row>
    <row r="2351" spans="1:1" s="287" customFormat="1" ht="12" hidden="1" customHeight="1">
      <c r="A2351" s="286"/>
    </row>
    <row r="2352" spans="1:1" s="287" customFormat="1" ht="12" hidden="1" customHeight="1">
      <c r="A2352" s="286"/>
    </row>
    <row r="2353" spans="1:1" s="287" customFormat="1" ht="12" hidden="1" customHeight="1">
      <c r="A2353" s="286"/>
    </row>
    <row r="2354" spans="1:1" s="287" customFormat="1" ht="12" hidden="1" customHeight="1">
      <c r="A2354" s="286"/>
    </row>
    <row r="2355" spans="1:1" s="287" customFormat="1" ht="12" hidden="1" customHeight="1">
      <c r="A2355" s="286"/>
    </row>
    <row r="2356" spans="1:1" s="287" customFormat="1" ht="12" hidden="1" customHeight="1">
      <c r="A2356" s="286"/>
    </row>
    <row r="2357" spans="1:1" s="287" customFormat="1" ht="12" hidden="1" customHeight="1">
      <c r="A2357" s="286"/>
    </row>
    <row r="2358" spans="1:1" s="287" customFormat="1" ht="12" hidden="1" customHeight="1">
      <c r="A2358" s="286"/>
    </row>
    <row r="2359" spans="1:1" s="287" customFormat="1" ht="12" hidden="1" customHeight="1">
      <c r="A2359" s="286"/>
    </row>
    <row r="2360" spans="1:1" s="287" customFormat="1" ht="12" hidden="1" customHeight="1">
      <c r="A2360" s="286"/>
    </row>
    <row r="2361" spans="1:1" s="287" customFormat="1" ht="12" hidden="1" customHeight="1">
      <c r="A2361" s="286"/>
    </row>
    <row r="2362" spans="1:1" s="287" customFormat="1" ht="12" hidden="1" customHeight="1">
      <c r="A2362" s="286"/>
    </row>
    <row r="2363" spans="1:1" s="287" customFormat="1" ht="12" hidden="1" customHeight="1">
      <c r="A2363" s="286"/>
    </row>
    <row r="2364" spans="1:1" s="287" customFormat="1" ht="12" hidden="1" customHeight="1">
      <c r="A2364" s="286"/>
    </row>
    <row r="2365" spans="1:1" s="287" customFormat="1" ht="12" hidden="1" customHeight="1">
      <c r="A2365" s="286"/>
    </row>
    <row r="2366" spans="1:1" s="287" customFormat="1" ht="12" hidden="1" customHeight="1">
      <c r="A2366" s="286"/>
    </row>
    <row r="2367" spans="1:1" s="287" customFormat="1" ht="12" hidden="1" customHeight="1">
      <c r="A2367" s="286"/>
    </row>
    <row r="2368" spans="1:1" s="287" customFormat="1" ht="12" hidden="1" customHeight="1">
      <c r="A2368" s="286"/>
    </row>
    <row r="2369" spans="1:1" s="287" customFormat="1" ht="12" hidden="1" customHeight="1">
      <c r="A2369" s="286"/>
    </row>
    <row r="2370" spans="1:1" s="287" customFormat="1" ht="12" hidden="1" customHeight="1">
      <c r="A2370" s="286"/>
    </row>
    <row r="2371" spans="1:1" s="287" customFormat="1" ht="12" hidden="1" customHeight="1">
      <c r="A2371" s="286"/>
    </row>
    <row r="2372" spans="1:1" s="287" customFormat="1" ht="12" hidden="1" customHeight="1">
      <c r="A2372" s="286"/>
    </row>
    <row r="2373" spans="1:1" s="287" customFormat="1" ht="12" hidden="1" customHeight="1">
      <c r="A2373" s="286"/>
    </row>
    <row r="2374" spans="1:1" s="287" customFormat="1" ht="12" hidden="1" customHeight="1">
      <c r="A2374" s="286"/>
    </row>
    <row r="2375" spans="1:1" s="287" customFormat="1" ht="12" hidden="1" customHeight="1">
      <c r="A2375" s="286"/>
    </row>
    <row r="2376" spans="1:1" s="287" customFormat="1" ht="12" hidden="1" customHeight="1">
      <c r="A2376" s="286"/>
    </row>
    <row r="2377" spans="1:1" s="287" customFormat="1" ht="12" hidden="1" customHeight="1">
      <c r="A2377" s="286"/>
    </row>
    <row r="2378" spans="1:1" s="287" customFormat="1" ht="12" hidden="1" customHeight="1">
      <c r="A2378" s="286"/>
    </row>
    <row r="2379" spans="1:1" s="287" customFormat="1" ht="12" hidden="1" customHeight="1">
      <c r="A2379" s="286"/>
    </row>
    <row r="2380" spans="1:1" s="287" customFormat="1" ht="12" hidden="1" customHeight="1">
      <c r="A2380" s="286"/>
    </row>
    <row r="2381" spans="1:1" s="287" customFormat="1" ht="12" hidden="1" customHeight="1">
      <c r="A2381" s="286"/>
    </row>
    <row r="2382" spans="1:1" s="287" customFormat="1" ht="12" hidden="1" customHeight="1">
      <c r="A2382" s="286"/>
    </row>
    <row r="2383" spans="1:1" s="287" customFormat="1" ht="12" hidden="1" customHeight="1">
      <c r="A2383" s="286"/>
    </row>
    <row r="2384" spans="1:1" s="287" customFormat="1" ht="12" hidden="1" customHeight="1">
      <c r="A2384" s="286"/>
    </row>
    <row r="2385" spans="1:1" s="287" customFormat="1" ht="12" hidden="1" customHeight="1">
      <c r="A2385" s="286"/>
    </row>
    <row r="2386" spans="1:1" s="287" customFormat="1" ht="12" hidden="1" customHeight="1">
      <c r="A2386" s="286"/>
    </row>
    <row r="2387" spans="1:1" s="287" customFormat="1" ht="12" hidden="1" customHeight="1">
      <c r="A2387" s="286"/>
    </row>
    <row r="2388" spans="1:1" s="287" customFormat="1" ht="12" hidden="1" customHeight="1">
      <c r="A2388" s="286"/>
    </row>
    <row r="2389" spans="1:1" s="287" customFormat="1" ht="12" hidden="1" customHeight="1">
      <c r="A2389" s="286"/>
    </row>
    <row r="2390" spans="1:1" s="287" customFormat="1" ht="12" hidden="1" customHeight="1">
      <c r="A2390" s="286"/>
    </row>
    <row r="2391" spans="1:1" s="287" customFormat="1" ht="12" hidden="1" customHeight="1">
      <c r="A2391" s="286"/>
    </row>
    <row r="2392" spans="1:1" s="287" customFormat="1" ht="12" hidden="1" customHeight="1">
      <c r="A2392" s="286"/>
    </row>
    <row r="2393" spans="1:1" s="287" customFormat="1" ht="12" hidden="1" customHeight="1">
      <c r="A2393" s="286"/>
    </row>
    <row r="2394" spans="1:1" s="287" customFormat="1" ht="12" hidden="1" customHeight="1">
      <c r="A2394" s="286"/>
    </row>
    <row r="2395" spans="1:1" s="287" customFormat="1" ht="12" hidden="1" customHeight="1">
      <c r="A2395" s="286"/>
    </row>
    <row r="2396" spans="1:1" s="287" customFormat="1" ht="12" hidden="1" customHeight="1">
      <c r="A2396" s="286"/>
    </row>
    <row r="2397" spans="1:1" s="287" customFormat="1" ht="12" hidden="1" customHeight="1">
      <c r="A2397" s="286"/>
    </row>
    <row r="2398" spans="1:1" s="287" customFormat="1" ht="12" hidden="1" customHeight="1">
      <c r="A2398" s="286"/>
    </row>
    <row r="2399" spans="1:1" s="287" customFormat="1" ht="12" hidden="1" customHeight="1">
      <c r="A2399" s="286"/>
    </row>
    <row r="2400" spans="1:1" s="287" customFormat="1" ht="12" hidden="1" customHeight="1">
      <c r="A2400" s="286"/>
    </row>
    <row r="2401" spans="1:1" s="287" customFormat="1" ht="12" hidden="1" customHeight="1">
      <c r="A2401" s="286"/>
    </row>
    <row r="2402" spans="1:1" s="287" customFormat="1" ht="12" hidden="1" customHeight="1">
      <c r="A2402" s="286"/>
    </row>
    <row r="2403" spans="1:1" s="287" customFormat="1" ht="12" hidden="1" customHeight="1">
      <c r="A2403" s="286"/>
    </row>
    <row r="2404" spans="1:1" s="287" customFormat="1" ht="12" hidden="1" customHeight="1">
      <c r="A2404" s="286"/>
    </row>
    <row r="2405" spans="1:1" s="287" customFormat="1" ht="12" hidden="1" customHeight="1">
      <c r="A2405" s="286"/>
    </row>
    <row r="2406" spans="1:1" s="287" customFormat="1" ht="12" hidden="1" customHeight="1">
      <c r="A2406" s="286"/>
    </row>
    <row r="2407" spans="1:1" s="287" customFormat="1" ht="12" hidden="1" customHeight="1">
      <c r="A2407" s="286"/>
    </row>
    <row r="2408" spans="1:1" s="287" customFormat="1" ht="12" hidden="1" customHeight="1">
      <c r="A2408" s="286"/>
    </row>
    <row r="2409" spans="1:1" s="287" customFormat="1" ht="12" hidden="1" customHeight="1">
      <c r="A2409" s="286"/>
    </row>
    <row r="2410" spans="1:1" s="287" customFormat="1" ht="12" hidden="1" customHeight="1">
      <c r="A2410" s="286"/>
    </row>
    <row r="2411" spans="1:1" s="287" customFormat="1" ht="12" hidden="1" customHeight="1">
      <c r="A2411" s="286"/>
    </row>
    <row r="2412" spans="1:1" s="287" customFormat="1" ht="12" hidden="1" customHeight="1">
      <c r="A2412" s="286"/>
    </row>
    <row r="2413" spans="1:1" s="287" customFormat="1" ht="12" hidden="1" customHeight="1">
      <c r="A2413" s="286"/>
    </row>
    <row r="2414" spans="1:1" s="287" customFormat="1" ht="12" hidden="1" customHeight="1">
      <c r="A2414" s="286"/>
    </row>
    <row r="2415" spans="1:1" s="287" customFormat="1" ht="12" hidden="1" customHeight="1">
      <c r="A2415" s="286"/>
    </row>
    <row r="2416" spans="1:1" s="287" customFormat="1" ht="12" hidden="1" customHeight="1">
      <c r="A2416" s="286"/>
    </row>
    <row r="2417" spans="1:1" s="287" customFormat="1" ht="12" hidden="1" customHeight="1">
      <c r="A2417" s="286"/>
    </row>
    <row r="2418" spans="1:1" s="287" customFormat="1" ht="12" hidden="1" customHeight="1">
      <c r="A2418" s="286"/>
    </row>
    <row r="2419" spans="1:1" s="287" customFormat="1" ht="12" hidden="1" customHeight="1">
      <c r="A2419" s="286"/>
    </row>
    <row r="2420" spans="1:1" s="287" customFormat="1" ht="12" hidden="1" customHeight="1">
      <c r="A2420" s="286"/>
    </row>
    <row r="2421" spans="1:1" s="287" customFormat="1" ht="12" hidden="1" customHeight="1">
      <c r="A2421" s="286"/>
    </row>
    <row r="2422" spans="1:1" s="287" customFormat="1" ht="12" hidden="1" customHeight="1">
      <c r="A2422" s="286"/>
    </row>
    <row r="2423" spans="1:1" s="287" customFormat="1" ht="12" hidden="1" customHeight="1">
      <c r="A2423" s="286"/>
    </row>
    <row r="2424" spans="1:1" s="287" customFormat="1" ht="12" hidden="1" customHeight="1">
      <c r="A2424" s="286"/>
    </row>
    <row r="2425" spans="1:1" s="287" customFormat="1" ht="12" hidden="1" customHeight="1">
      <c r="A2425" s="286"/>
    </row>
    <row r="2426" spans="1:1" s="287" customFormat="1" ht="12" hidden="1" customHeight="1">
      <c r="A2426" s="286"/>
    </row>
    <row r="2427" spans="1:1" s="287" customFormat="1" ht="12" hidden="1" customHeight="1">
      <c r="A2427" s="286"/>
    </row>
    <row r="2428" spans="1:1" s="287" customFormat="1" ht="12" hidden="1" customHeight="1">
      <c r="A2428" s="286"/>
    </row>
    <row r="2429" spans="1:1" s="287" customFormat="1" ht="12" hidden="1" customHeight="1">
      <c r="A2429" s="286"/>
    </row>
    <row r="2430" spans="1:1" s="287" customFormat="1" ht="12" hidden="1" customHeight="1">
      <c r="A2430" s="286"/>
    </row>
    <row r="2431" spans="1:1" s="287" customFormat="1" ht="12" hidden="1" customHeight="1">
      <c r="A2431" s="286"/>
    </row>
    <row r="2432" spans="1:1" s="287" customFormat="1" ht="12" hidden="1" customHeight="1">
      <c r="A2432" s="286"/>
    </row>
    <row r="2433" spans="1:1" s="287" customFormat="1" ht="12" hidden="1" customHeight="1">
      <c r="A2433" s="286"/>
    </row>
    <row r="2434" spans="1:1" s="287" customFormat="1" ht="12" hidden="1" customHeight="1">
      <c r="A2434" s="286"/>
    </row>
    <row r="2435" spans="1:1" s="287" customFormat="1" ht="12" hidden="1" customHeight="1">
      <c r="A2435" s="286"/>
    </row>
    <row r="2436" spans="1:1" s="287" customFormat="1" ht="12" hidden="1" customHeight="1">
      <c r="A2436" s="286"/>
    </row>
    <row r="2437" spans="1:1" s="287" customFormat="1" ht="12" hidden="1" customHeight="1">
      <c r="A2437" s="286"/>
    </row>
    <row r="2438" spans="1:1" s="287" customFormat="1" ht="12" hidden="1" customHeight="1">
      <c r="A2438" s="286"/>
    </row>
    <row r="2439" spans="1:1" s="287" customFormat="1" ht="12" hidden="1" customHeight="1">
      <c r="A2439" s="286"/>
    </row>
    <row r="2440" spans="1:1" s="287" customFormat="1" ht="12" hidden="1" customHeight="1">
      <c r="A2440" s="286"/>
    </row>
    <row r="2441" spans="1:1" s="287" customFormat="1" ht="12" hidden="1" customHeight="1">
      <c r="A2441" s="286"/>
    </row>
    <row r="2442" spans="1:1" s="287" customFormat="1" ht="12" hidden="1" customHeight="1">
      <c r="A2442" s="286"/>
    </row>
    <row r="2443" spans="1:1" s="287" customFormat="1" ht="12" hidden="1" customHeight="1">
      <c r="A2443" s="286"/>
    </row>
    <row r="2444" spans="1:1" s="287" customFormat="1" ht="12" hidden="1" customHeight="1">
      <c r="A2444" s="286"/>
    </row>
    <row r="2445" spans="1:1" s="287" customFormat="1" ht="12" hidden="1" customHeight="1">
      <c r="A2445" s="286"/>
    </row>
    <row r="2446" spans="1:1" s="287" customFormat="1" ht="12" hidden="1" customHeight="1">
      <c r="A2446" s="286"/>
    </row>
    <row r="2447" spans="1:1" s="287" customFormat="1" ht="12" hidden="1" customHeight="1">
      <c r="A2447" s="286"/>
    </row>
    <row r="2448" spans="1:1" s="287" customFormat="1" ht="12" hidden="1" customHeight="1">
      <c r="A2448" s="286"/>
    </row>
    <row r="2449" spans="1:1" s="287" customFormat="1" ht="12" hidden="1" customHeight="1">
      <c r="A2449" s="286"/>
    </row>
    <row r="2450" spans="1:1" s="287" customFormat="1" ht="12" hidden="1" customHeight="1">
      <c r="A2450" s="286"/>
    </row>
    <row r="2451" spans="1:1" s="287" customFormat="1" ht="12" hidden="1" customHeight="1">
      <c r="A2451" s="286"/>
    </row>
    <row r="2452" spans="1:1" s="287" customFormat="1" ht="12" hidden="1" customHeight="1">
      <c r="A2452" s="286"/>
    </row>
    <row r="2453" spans="1:1" s="287" customFormat="1" ht="12" hidden="1" customHeight="1">
      <c r="A2453" s="286"/>
    </row>
    <row r="2454" spans="1:1" s="287" customFormat="1" ht="12" hidden="1" customHeight="1">
      <c r="A2454" s="286"/>
    </row>
    <row r="2455" spans="1:1" s="287" customFormat="1" ht="12" hidden="1" customHeight="1">
      <c r="A2455" s="286"/>
    </row>
    <row r="2456" spans="1:1" s="287" customFormat="1" ht="12" hidden="1" customHeight="1">
      <c r="A2456" s="286"/>
    </row>
    <row r="2457" spans="1:1" s="287" customFormat="1" ht="12" hidden="1" customHeight="1">
      <c r="A2457" s="286"/>
    </row>
    <row r="2458" spans="1:1" s="287" customFormat="1" ht="12" hidden="1" customHeight="1">
      <c r="A2458" s="286"/>
    </row>
    <row r="2459" spans="1:1" s="287" customFormat="1" ht="12" hidden="1" customHeight="1">
      <c r="A2459" s="286"/>
    </row>
    <row r="2460" spans="1:1" s="287" customFormat="1" ht="12" hidden="1" customHeight="1">
      <c r="A2460" s="286"/>
    </row>
    <row r="2461" spans="1:1" s="287" customFormat="1" ht="12" hidden="1" customHeight="1">
      <c r="A2461" s="286"/>
    </row>
    <row r="2462" spans="1:1" s="287" customFormat="1" ht="12" hidden="1" customHeight="1">
      <c r="A2462" s="286"/>
    </row>
    <row r="2463" spans="1:1" s="287" customFormat="1" ht="12" hidden="1" customHeight="1">
      <c r="A2463" s="286"/>
    </row>
    <row r="2464" spans="1:1" s="287" customFormat="1" ht="12" hidden="1" customHeight="1">
      <c r="A2464" s="286"/>
    </row>
    <row r="2465" spans="1:1" s="287" customFormat="1" ht="12" hidden="1" customHeight="1">
      <c r="A2465" s="286"/>
    </row>
    <row r="2466" spans="1:1" s="287" customFormat="1" ht="12" hidden="1" customHeight="1">
      <c r="A2466" s="286"/>
    </row>
    <row r="2467" spans="1:1" s="287" customFormat="1" ht="12" hidden="1" customHeight="1">
      <c r="A2467" s="286"/>
    </row>
    <row r="2468" spans="1:1" s="287" customFormat="1" ht="12" hidden="1" customHeight="1">
      <c r="A2468" s="286"/>
    </row>
    <row r="2469" spans="1:1" s="287" customFormat="1" ht="12" hidden="1" customHeight="1">
      <c r="A2469" s="286"/>
    </row>
    <row r="2470" spans="1:1" s="287" customFormat="1" ht="12" hidden="1" customHeight="1">
      <c r="A2470" s="286"/>
    </row>
    <row r="2471" spans="1:1" s="287" customFormat="1" ht="12" hidden="1" customHeight="1">
      <c r="A2471" s="286"/>
    </row>
    <row r="2472" spans="1:1" s="287" customFormat="1" ht="12" hidden="1" customHeight="1">
      <c r="A2472" s="286"/>
    </row>
    <row r="2473" spans="1:1" s="287" customFormat="1" ht="12" hidden="1" customHeight="1">
      <c r="A2473" s="286"/>
    </row>
    <row r="2474" spans="1:1" s="287" customFormat="1" ht="12" hidden="1" customHeight="1">
      <c r="A2474" s="286"/>
    </row>
    <row r="2475" spans="1:1" s="287" customFormat="1" ht="12" hidden="1" customHeight="1">
      <c r="A2475" s="286"/>
    </row>
    <row r="2476" spans="1:1" s="287" customFormat="1" ht="12" hidden="1" customHeight="1">
      <c r="A2476" s="286"/>
    </row>
    <row r="2477" spans="1:1" s="287" customFormat="1" ht="12" hidden="1" customHeight="1">
      <c r="A2477" s="286"/>
    </row>
    <row r="2478" spans="1:1" s="287" customFormat="1" ht="12" hidden="1" customHeight="1">
      <c r="A2478" s="286"/>
    </row>
    <row r="2479" spans="1:1" s="287" customFormat="1" ht="12" hidden="1" customHeight="1">
      <c r="A2479" s="286"/>
    </row>
    <row r="2480" spans="1:1" s="287" customFormat="1" ht="12" hidden="1" customHeight="1">
      <c r="A2480" s="286"/>
    </row>
    <row r="2481" spans="1:1" s="287" customFormat="1" ht="12" hidden="1" customHeight="1">
      <c r="A2481" s="286"/>
    </row>
    <row r="2482" spans="1:1" s="287" customFormat="1" ht="12" hidden="1" customHeight="1">
      <c r="A2482" s="286"/>
    </row>
    <row r="2483" spans="1:1" s="287" customFormat="1" ht="12" hidden="1" customHeight="1">
      <c r="A2483" s="286"/>
    </row>
    <row r="2484" spans="1:1" s="287" customFormat="1" ht="12" hidden="1" customHeight="1">
      <c r="A2484" s="286"/>
    </row>
    <row r="2485" spans="1:1" s="287" customFormat="1" ht="12" hidden="1" customHeight="1">
      <c r="A2485" s="286"/>
    </row>
    <row r="2486" spans="1:1" s="287" customFormat="1" ht="12" hidden="1" customHeight="1">
      <c r="A2486" s="286"/>
    </row>
    <row r="2487" spans="1:1" s="287" customFormat="1" ht="12" hidden="1" customHeight="1">
      <c r="A2487" s="286"/>
    </row>
    <row r="2488" spans="1:1" s="287" customFormat="1" ht="12" hidden="1" customHeight="1">
      <c r="A2488" s="286"/>
    </row>
    <row r="2489" spans="1:1" s="287" customFormat="1" ht="12" hidden="1" customHeight="1">
      <c r="A2489" s="286"/>
    </row>
    <row r="2490" spans="1:1" s="287" customFormat="1" ht="12" hidden="1" customHeight="1">
      <c r="A2490" s="286"/>
    </row>
    <row r="2491" spans="1:1" s="287" customFormat="1" ht="12" hidden="1" customHeight="1">
      <c r="A2491" s="286"/>
    </row>
    <row r="2492" spans="1:1" s="287" customFormat="1" ht="12" hidden="1" customHeight="1">
      <c r="A2492" s="286"/>
    </row>
    <row r="2493" spans="1:1" s="287" customFormat="1" ht="12" hidden="1" customHeight="1">
      <c r="A2493" s="286"/>
    </row>
    <row r="2494" spans="1:1" s="287" customFormat="1" ht="12" hidden="1" customHeight="1">
      <c r="A2494" s="286"/>
    </row>
    <row r="2495" spans="1:1" s="287" customFormat="1" ht="12" hidden="1" customHeight="1">
      <c r="A2495" s="286"/>
    </row>
    <row r="2496" spans="1:1" s="287" customFormat="1" ht="12" hidden="1" customHeight="1">
      <c r="A2496" s="286"/>
    </row>
    <row r="2497" spans="1:1" s="287" customFormat="1" ht="12" hidden="1" customHeight="1">
      <c r="A2497" s="286"/>
    </row>
    <row r="2498" spans="1:1" s="287" customFormat="1" ht="12" hidden="1" customHeight="1">
      <c r="A2498" s="286"/>
    </row>
    <row r="2499" spans="1:1" s="287" customFormat="1" ht="12" hidden="1" customHeight="1">
      <c r="A2499" s="286"/>
    </row>
    <row r="2500" spans="1:1" s="287" customFormat="1" ht="12" hidden="1" customHeight="1">
      <c r="A2500" s="286"/>
    </row>
    <row r="2501" spans="1:1" s="287" customFormat="1" ht="12" hidden="1" customHeight="1">
      <c r="A2501" s="286"/>
    </row>
    <row r="2502" spans="1:1" s="287" customFormat="1" ht="12" hidden="1" customHeight="1">
      <c r="A2502" s="286"/>
    </row>
    <row r="2503" spans="1:1" s="287" customFormat="1" ht="12" hidden="1" customHeight="1">
      <c r="A2503" s="286"/>
    </row>
    <row r="2504" spans="1:1" s="287" customFormat="1" ht="12" hidden="1" customHeight="1">
      <c r="A2504" s="286"/>
    </row>
    <row r="2505" spans="1:1" s="287" customFormat="1" ht="12" hidden="1" customHeight="1">
      <c r="A2505" s="286"/>
    </row>
    <row r="2506" spans="1:1" s="287" customFormat="1" ht="12" hidden="1" customHeight="1">
      <c r="A2506" s="286"/>
    </row>
    <row r="2507" spans="1:1" s="287" customFormat="1" ht="12" hidden="1" customHeight="1">
      <c r="A2507" s="286"/>
    </row>
    <row r="2508" spans="1:1" s="287" customFormat="1" ht="12" hidden="1" customHeight="1">
      <c r="A2508" s="286"/>
    </row>
    <row r="2509" spans="1:1" s="287" customFormat="1" ht="12" hidden="1" customHeight="1">
      <c r="A2509" s="286"/>
    </row>
    <row r="2510" spans="1:1" s="287" customFormat="1" ht="12" hidden="1" customHeight="1">
      <c r="A2510" s="286"/>
    </row>
    <row r="2511" spans="1:1" s="287" customFormat="1" ht="12" hidden="1" customHeight="1">
      <c r="A2511" s="286"/>
    </row>
    <row r="2512" spans="1:1" s="287" customFormat="1" ht="12" hidden="1" customHeight="1">
      <c r="A2512" s="286"/>
    </row>
    <row r="2513" spans="1:1" s="287" customFormat="1" ht="12" hidden="1" customHeight="1">
      <c r="A2513" s="286"/>
    </row>
    <row r="2514" spans="1:1" s="287" customFormat="1" ht="12" hidden="1" customHeight="1">
      <c r="A2514" s="286"/>
    </row>
    <row r="2515" spans="1:1" s="287" customFormat="1" ht="12" hidden="1" customHeight="1">
      <c r="A2515" s="286"/>
    </row>
    <row r="2516" spans="1:1" s="287" customFormat="1" ht="12" hidden="1" customHeight="1">
      <c r="A2516" s="286"/>
    </row>
    <row r="2517" spans="1:1" s="287" customFormat="1" ht="12" hidden="1" customHeight="1">
      <c r="A2517" s="286"/>
    </row>
    <row r="2518" spans="1:1" s="287" customFormat="1" ht="12" hidden="1" customHeight="1">
      <c r="A2518" s="286"/>
    </row>
    <row r="2519" spans="1:1" s="287" customFormat="1" ht="12" hidden="1" customHeight="1">
      <c r="A2519" s="286"/>
    </row>
    <row r="2520" spans="1:1" s="287" customFormat="1" ht="12" hidden="1" customHeight="1">
      <c r="A2520" s="286"/>
    </row>
    <row r="2521" spans="1:1" s="287" customFormat="1" ht="12" hidden="1" customHeight="1">
      <c r="A2521" s="286"/>
    </row>
    <row r="2522" spans="1:1" s="287" customFormat="1" ht="12" hidden="1" customHeight="1">
      <c r="A2522" s="286"/>
    </row>
    <row r="2523" spans="1:1" s="287" customFormat="1" ht="12" hidden="1" customHeight="1">
      <c r="A2523" s="286"/>
    </row>
    <row r="2524" spans="1:1" s="287" customFormat="1" ht="12" hidden="1" customHeight="1">
      <c r="A2524" s="286"/>
    </row>
    <row r="2525" spans="1:1" s="287" customFormat="1" ht="12" hidden="1" customHeight="1">
      <c r="A2525" s="286"/>
    </row>
    <row r="2526" spans="1:1" s="287" customFormat="1" ht="12" hidden="1" customHeight="1">
      <c r="A2526" s="286"/>
    </row>
    <row r="2527" spans="1:1" s="287" customFormat="1" ht="12" hidden="1" customHeight="1">
      <c r="A2527" s="286"/>
    </row>
    <row r="2528" spans="1:1" s="287" customFormat="1" ht="12" hidden="1" customHeight="1">
      <c r="A2528" s="286"/>
    </row>
    <row r="2529" spans="1:1" s="287" customFormat="1" ht="12" hidden="1" customHeight="1">
      <c r="A2529" s="286"/>
    </row>
    <row r="2530" spans="1:1" s="287" customFormat="1" ht="12" hidden="1" customHeight="1">
      <c r="A2530" s="286"/>
    </row>
    <row r="2531" spans="1:1" s="287" customFormat="1" ht="12" hidden="1" customHeight="1">
      <c r="A2531" s="286"/>
    </row>
    <row r="2532" spans="1:1" s="287" customFormat="1" ht="12" hidden="1" customHeight="1">
      <c r="A2532" s="286"/>
    </row>
    <row r="2533" spans="1:1" s="287" customFormat="1" ht="12" hidden="1" customHeight="1">
      <c r="A2533" s="286"/>
    </row>
    <row r="2534" spans="1:1" s="287" customFormat="1" ht="12" hidden="1" customHeight="1">
      <c r="A2534" s="286"/>
    </row>
    <row r="2535" spans="1:1" s="287" customFormat="1" ht="12" hidden="1" customHeight="1">
      <c r="A2535" s="286"/>
    </row>
    <row r="2536" spans="1:1" s="287" customFormat="1" ht="12" hidden="1" customHeight="1">
      <c r="A2536" s="286"/>
    </row>
    <row r="2537" spans="1:1" s="287" customFormat="1" ht="12" hidden="1" customHeight="1">
      <c r="A2537" s="286"/>
    </row>
    <row r="2538" spans="1:1" s="287" customFormat="1" ht="12" hidden="1" customHeight="1">
      <c r="A2538" s="286"/>
    </row>
    <row r="2539" spans="1:1" s="287" customFormat="1" ht="12" hidden="1" customHeight="1">
      <c r="A2539" s="286"/>
    </row>
    <row r="2540" spans="1:1" s="287" customFormat="1" ht="12" hidden="1" customHeight="1">
      <c r="A2540" s="286"/>
    </row>
    <row r="2541" spans="1:1" s="287" customFormat="1" ht="12" hidden="1" customHeight="1">
      <c r="A2541" s="286"/>
    </row>
    <row r="2542" spans="1:1" s="287" customFormat="1" ht="12" hidden="1" customHeight="1">
      <c r="A2542" s="286"/>
    </row>
    <row r="2543" spans="1:1" s="287" customFormat="1" ht="12" hidden="1" customHeight="1">
      <c r="A2543" s="286"/>
    </row>
    <row r="2544" spans="1:1" s="287" customFormat="1" ht="12" hidden="1" customHeight="1">
      <c r="A2544" s="286"/>
    </row>
    <row r="2545" spans="1:1" s="287" customFormat="1" ht="12" hidden="1" customHeight="1">
      <c r="A2545" s="286"/>
    </row>
    <row r="2546" spans="1:1" s="287" customFormat="1" ht="12" hidden="1" customHeight="1">
      <c r="A2546" s="286"/>
    </row>
    <row r="2547" spans="1:1" s="287" customFormat="1" ht="12" hidden="1" customHeight="1">
      <c r="A2547" s="286"/>
    </row>
    <row r="2548" spans="1:1" s="287" customFormat="1" ht="12" hidden="1" customHeight="1">
      <c r="A2548" s="286"/>
    </row>
    <row r="2549" spans="1:1" s="287" customFormat="1" ht="12" hidden="1" customHeight="1">
      <c r="A2549" s="286"/>
    </row>
    <row r="2550" spans="1:1" s="287" customFormat="1" ht="12" hidden="1" customHeight="1">
      <c r="A2550" s="286"/>
    </row>
    <row r="2551" spans="1:1" s="287" customFormat="1" ht="12" hidden="1" customHeight="1">
      <c r="A2551" s="286"/>
    </row>
    <row r="2552" spans="1:1" s="287" customFormat="1" ht="12" hidden="1" customHeight="1">
      <c r="A2552" s="286"/>
    </row>
    <row r="2553" spans="1:1" s="287" customFormat="1" ht="12" hidden="1" customHeight="1">
      <c r="A2553" s="286"/>
    </row>
    <row r="2554" spans="1:1" s="287" customFormat="1" ht="12" hidden="1" customHeight="1">
      <c r="A2554" s="286"/>
    </row>
    <row r="2555" spans="1:1" s="287" customFormat="1" ht="12" hidden="1" customHeight="1">
      <c r="A2555" s="286"/>
    </row>
    <row r="2556" spans="1:1" s="287" customFormat="1" ht="12" hidden="1" customHeight="1">
      <c r="A2556" s="286"/>
    </row>
    <row r="2557" spans="1:1" s="287" customFormat="1" ht="12" hidden="1" customHeight="1">
      <c r="A2557" s="286"/>
    </row>
    <row r="2558" spans="1:1" s="287" customFormat="1" ht="12" hidden="1" customHeight="1">
      <c r="A2558" s="286"/>
    </row>
    <row r="2559" spans="1:1" s="287" customFormat="1" ht="12" hidden="1" customHeight="1">
      <c r="A2559" s="286"/>
    </row>
    <row r="2560" spans="1:1" s="287" customFormat="1" ht="12" hidden="1" customHeight="1">
      <c r="A2560" s="286"/>
    </row>
    <row r="2561" spans="1:1" s="287" customFormat="1" ht="12" hidden="1" customHeight="1">
      <c r="A2561" s="286"/>
    </row>
    <row r="2562" spans="1:1" s="287" customFormat="1" ht="12" hidden="1" customHeight="1">
      <c r="A2562" s="286"/>
    </row>
    <row r="2563" spans="1:1" s="287" customFormat="1" ht="12" hidden="1" customHeight="1">
      <c r="A2563" s="286"/>
    </row>
    <row r="2564" spans="1:1" s="287" customFormat="1" ht="12" hidden="1" customHeight="1">
      <c r="A2564" s="286"/>
    </row>
    <row r="2565" spans="1:1" s="287" customFormat="1" ht="12" hidden="1" customHeight="1">
      <c r="A2565" s="286"/>
    </row>
    <row r="2566" spans="1:1" s="287" customFormat="1" ht="12" hidden="1" customHeight="1">
      <c r="A2566" s="286"/>
    </row>
    <row r="2567" spans="1:1" s="287" customFormat="1" ht="12" hidden="1" customHeight="1">
      <c r="A2567" s="286"/>
    </row>
    <row r="2568" spans="1:1" s="287" customFormat="1" ht="12" hidden="1" customHeight="1">
      <c r="A2568" s="286"/>
    </row>
    <row r="2569" spans="1:1" s="287" customFormat="1" ht="12" hidden="1" customHeight="1">
      <c r="A2569" s="286"/>
    </row>
    <row r="2570" spans="1:1" s="287" customFormat="1" ht="12" hidden="1" customHeight="1">
      <c r="A2570" s="286"/>
    </row>
    <row r="2571" spans="1:1" s="287" customFormat="1" ht="12" hidden="1" customHeight="1">
      <c r="A2571" s="286"/>
    </row>
    <row r="2572" spans="1:1" s="287" customFormat="1" ht="12" hidden="1" customHeight="1">
      <c r="A2572" s="286"/>
    </row>
    <row r="2573" spans="1:1" s="287" customFormat="1" ht="12" hidden="1" customHeight="1">
      <c r="A2573" s="286"/>
    </row>
    <row r="2574" spans="1:1" s="287" customFormat="1" ht="12" hidden="1" customHeight="1">
      <c r="A2574" s="286"/>
    </row>
    <row r="2575" spans="1:1" s="287" customFormat="1" ht="12" hidden="1" customHeight="1">
      <c r="A2575" s="286"/>
    </row>
    <row r="2576" spans="1:1" s="287" customFormat="1" ht="12" hidden="1" customHeight="1">
      <c r="A2576" s="286"/>
    </row>
    <row r="2577" spans="1:1" s="287" customFormat="1" ht="12" hidden="1" customHeight="1">
      <c r="A2577" s="286"/>
    </row>
    <row r="2578" spans="1:1" s="287" customFormat="1" ht="12" hidden="1" customHeight="1">
      <c r="A2578" s="286"/>
    </row>
    <row r="2579" spans="1:1" s="287" customFormat="1" ht="12" hidden="1" customHeight="1">
      <c r="A2579" s="286"/>
    </row>
    <row r="2580" spans="1:1" s="287" customFormat="1" ht="12" hidden="1" customHeight="1">
      <c r="A2580" s="286"/>
    </row>
    <row r="2581" spans="1:1" s="287" customFormat="1" ht="12" hidden="1" customHeight="1">
      <c r="A2581" s="286"/>
    </row>
    <row r="2582" spans="1:1" s="287" customFormat="1" ht="12" hidden="1" customHeight="1">
      <c r="A2582" s="286"/>
    </row>
    <row r="2583" spans="1:1" s="287" customFormat="1" ht="12" hidden="1" customHeight="1">
      <c r="A2583" s="286"/>
    </row>
    <row r="2584" spans="1:1" s="287" customFormat="1" ht="12" hidden="1" customHeight="1">
      <c r="A2584" s="286"/>
    </row>
    <row r="2585" spans="1:1" s="287" customFormat="1" ht="12" hidden="1" customHeight="1">
      <c r="A2585" s="286"/>
    </row>
    <row r="2586" spans="1:1" s="287" customFormat="1" ht="12" hidden="1" customHeight="1">
      <c r="A2586" s="286"/>
    </row>
    <row r="2587" spans="1:1" s="287" customFormat="1" ht="12" hidden="1" customHeight="1">
      <c r="A2587" s="286"/>
    </row>
    <row r="2588" spans="1:1" s="287" customFormat="1" ht="12" hidden="1" customHeight="1">
      <c r="A2588" s="286"/>
    </row>
    <row r="2589" spans="1:1" s="287" customFormat="1" ht="12" hidden="1" customHeight="1">
      <c r="A2589" s="286"/>
    </row>
    <row r="2590" spans="1:1" s="287" customFormat="1" ht="12" hidden="1" customHeight="1">
      <c r="A2590" s="286"/>
    </row>
    <row r="2591" spans="1:1" s="287" customFormat="1" ht="12" hidden="1" customHeight="1">
      <c r="A2591" s="286"/>
    </row>
    <row r="2592" spans="1:1" s="287" customFormat="1" ht="12" hidden="1" customHeight="1">
      <c r="A2592" s="286"/>
    </row>
    <row r="2593" spans="1:1" s="287" customFormat="1" ht="12" hidden="1" customHeight="1">
      <c r="A2593" s="286"/>
    </row>
    <row r="2594" spans="1:1" s="287" customFormat="1" ht="12" hidden="1" customHeight="1">
      <c r="A2594" s="286"/>
    </row>
    <row r="2595" spans="1:1" s="287" customFormat="1" ht="12" hidden="1" customHeight="1">
      <c r="A2595" s="286"/>
    </row>
    <row r="2596" spans="1:1" s="287" customFormat="1" ht="12" hidden="1" customHeight="1">
      <c r="A2596" s="286"/>
    </row>
    <row r="2597" spans="1:1" s="287" customFormat="1" ht="12" hidden="1" customHeight="1">
      <c r="A2597" s="286"/>
    </row>
    <row r="2598" spans="1:1" s="287" customFormat="1" ht="12" hidden="1" customHeight="1">
      <c r="A2598" s="286"/>
    </row>
    <row r="2599" spans="1:1" s="287" customFormat="1" ht="12" hidden="1" customHeight="1">
      <c r="A2599" s="286"/>
    </row>
    <row r="2600" spans="1:1" s="287" customFormat="1" ht="12" hidden="1" customHeight="1">
      <c r="A2600" s="286"/>
    </row>
    <row r="2601" spans="1:1" s="287" customFormat="1" ht="12" hidden="1" customHeight="1">
      <c r="A2601" s="286"/>
    </row>
    <row r="2602" spans="1:1" s="287" customFormat="1" ht="12" hidden="1" customHeight="1">
      <c r="A2602" s="286"/>
    </row>
    <row r="2603" spans="1:1" s="287" customFormat="1" ht="12" hidden="1" customHeight="1">
      <c r="A2603" s="286"/>
    </row>
    <row r="2604" spans="1:1" s="287" customFormat="1" ht="12" hidden="1" customHeight="1">
      <c r="A2604" s="286"/>
    </row>
    <row r="2605" spans="1:1" s="287" customFormat="1" ht="12" hidden="1" customHeight="1">
      <c r="A2605" s="286"/>
    </row>
    <row r="2606" spans="1:1" s="287" customFormat="1" ht="12" hidden="1" customHeight="1">
      <c r="A2606" s="286"/>
    </row>
    <row r="2607" spans="1:1" s="287" customFormat="1" ht="12" hidden="1" customHeight="1">
      <c r="A2607" s="286"/>
    </row>
    <row r="2608" spans="1:1" s="287" customFormat="1" ht="12" hidden="1" customHeight="1">
      <c r="A2608" s="286"/>
    </row>
    <row r="2609" spans="1:1" s="287" customFormat="1" ht="12" hidden="1" customHeight="1">
      <c r="A2609" s="286"/>
    </row>
    <row r="2610" spans="1:1" s="287" customFormat="1" ht="12" hidden="1" customHeight="1">
      <c r="A2610" s="286"/>
    </row>
    <row r="2611" spans="1:1" s="287" customFormat="1" ht="12" hidden="1" customHeight="1">
      <c r="A2611" s="286"/>
    </row>
    <row r="2612" spans="1:1" s="287" customFormat="1" ht="12" hidden="1" customHeight="1">
      <c r="A2612" s="286"/>
    </row>
    <row r="2613" spans="1:1" s="287" customFormat="1" ht="12" hidden="1" customHeight="1">
      <c r="A2613" s="286"/>
    </row>
    <row r="2614" spans="1:1" s="287" customFormat="1" ht="12" hidden="1" customHeight="1">
      <c r="A2614" s="286"/>
    </row>
    <row r="2615" spans="1:1" s="287" customFormat="1" ht="12" hidden="1" customHeight="1">
      <c r="A2615" s="286"/>
    </row>
    <row r="2616" spans="1:1" s="287" customFormat="1" ht="12" hidden="1" customHeight="1">
      <c r="A2616" s="286"/>
    </row>
    <row r="2617" spans="1:1" s="287" customFormat="1" ht="12" hidden="1" customHeight="1">
      <c r="A2617" s="286"/>
    </row>
    <row r="2618" spans="1:1" s="287" customFormat="1" ht="12" hidden="1" customHeight="1">
      <c r="A2618" s="286"/>
    </row>
    <row r="2619" spans="1:1" s="287" customFormat="1" ht="12" hidden="1" customHeight="1">
      <c r="A2619" s="286"/>
    </row>
    <row r="2620" spans="1:1" s="287" customFormat="1" ht="12" hidden="1" customHeight="1">
      <c r="A2620" s="286"/>
    </row>
    <row r="2621" spans="1:1" s="287" customFormat="1" ht="12" hidden="1" customHeight="1">
      <c r="A2621" s="286"/>
    </row>
    <row r="2622" spans="1:1" s="287" customFormat="1" ht="12" hidden="1" customHeight="1">
      <c r="A2622" s="286"/>
    </row>
    <row r="2623" spans="1:1" s="287" customFormat="1" ht="12" hidden="1" customHeight="1">
      <c r="A2623" s="286"/>
    </row>
    <row r="2624" spans="1:1" s="287" customFormat="1" ht="12" hidden="1" customHeight="1">
      <c r="A2624" s="286"/>
    </row>
    <row r="2625" spans="1:1" s="287" customFormat="1" ht="12" hidden="1" customHeight="1">
      <c r="A2625" s="286"/>
    </row>
    <row r="2626" spans="1:1" s="287" customFormat="1" ht="12" hidden="1" customHeight="1">
      <c r="A2626" s="286"/>
    </row>
    <row r="2627" spans="1:1" s="287" customFormat="1" ht="12" hidden="1" customHeight="1">
      <c r="A2627" s="286"/>
    </row>
    <row r="2628" spans="1:1" s="287" customFormat="1" ht="12" hidden="1" customHeight="1">
      <c r="A2628" s="286"/>
    </row>
    <row r="2629" spans="1:1" s="287" customFormat="1" ht="12" hidden="1" customHeight="1">
      <c r="A2629" s="286"/>
    </row>
    <row r="2630" spans="1:1" s="287" customFormat="1" ht="12" hidden="1" customHeight="1">
      <c r="A2630" s="286"/>
    </row>
    <row r="2631" spans="1:1" s="287" customFormat="1" ht="12" hidden="1" customHeight="1">
      <c r="A2631" s="286"/>
    </row>
    <row r="2632" spans="1:1" s="287" customFormat="1" ht="12" hidden="1" customHeight="1">
      <c r="A2632" s="286"/>
    </row>
    <row r="2633" spans="1:1" s="287" customFormat="1" ht="12" hidden="1" customHeight="1">
      <c r="A2633" s="286"/>
    </row>
    <row r="2634" spans="1:1" s="287" customFormat="1" ht="12" hidden="1" customHeight="1">
      <c r="A2634" s="286"/>
    </row>
    <row r="2635" spans="1:1" s="287" customFormat="1" ht="12" hidden="1" customHeight="1">
      <c r="A2635" s="286"/>
    </row>
    <row r="2636" spans="1:1" s="287" customFormat="1" ht="12" hidden="1" customHeight="1">
      <c r="A2636" s="286"/>
    </row>
    <row r="2637" spans="1:1" s="287" customFormat="1" ht="12" hidden="1" customHeight="1">
      <c r="A2637" s="286"/>
    </row>
    <row r="2638" spans="1:1" s="287" customFormat="1" ht="12" hidden="1" customHeight="1">
      <c r="A2638" s="286"/>
    </row>
    <row r="2639" spans="1:1" s="287" customFormat="1" ht="12" hidden="1" customHeight="1">
      <c r="A2639" s="286"/>
    </row>
    <row r="2640" spans="1:1" s="287" customFormat="1" ht="12" hidden="1" customHeight="1">
      <c r="A2640" s="286"/>
    </row>
    <row r="2641" spans="1:1" s="287" customFormat="1" ht="12" hidden="1" customHeight="1">
      <c r="A2641" s="286"/>
    </row>
    <row r="2642" spans="1:1" s="287" customFormat="1" ht="12" hidden="1" customHeight="1">
      <c r="A2642" s="286"/>
    </row>
    <row r="2643" spans="1:1" s="287" customFormat="1" ht="12" hidden="1" customHeight="1">
      <c r="A2643" s="286"/>
    </row>
    <row r="2644" spans="1:1" s="287" customFormat="1" ht="12" hidden="1" customHeight="1">
      <c r="A2644" s="286"/>
    </row>
    <row r="2645" spans="1:1" s="287" customFormat="1" ht="12" hidden="1" customHeight="1">
      <c r="A2645" s="286"/>
    </row>
    <row r="2646" spans="1:1" s="287" customFormat="1" ht="12" hidden="1" customHeight="1">
      <c r="A2646" s="286"/>
    </row>
    <row r="2647" spans="1:1" s="287" customFormat="1" ht="12" hidden="1" customHeight="1">
      <c r="A2647" s="286"/>
    </row>
    <row r="2648" spans="1:1" s="287" customFormat="1" ht="12" hidden="1" customHeight="1">
      <c r="A2648" s="286"/>
    </row>
    <row r="2649" spans="1:1" s="287" customFormat="1" ht="12" hidden="1" customHeight="1">
      <c r="A2649" s="286"/>
    </row>
    <row r="2650" spans="1:1" s="287" customFormat="1" ht="12" hidden="1" customHeight="1">
      <c r="A2650" s="286"/>
    </row>
    <row r="2651" spans="1:1" s="287" customFormat="1" ht="12" hidden="1" customHeight="1">
      <c r="A2651" s="286"/>
    </row>
    <row r="2652" spans="1:1" s="287" customFormat="1" ht="12" hidden="1" customHeight="1">
      <c r="A2652" s="286"/>
    </row>
    <row r="2653" spans="1:1" s="287" customFormat="1" ht="12" hidden="1" customHeight="1">
      <c r="A2653" s="286"/>
    </row>
    <row r="2654" spans="1:1" s="287" customFormat="1" ht="12" hidden="1" customHeight="1">
      <c r="A2654" s="286"/>
    </row>
    <row r="2655" spans="1:1" s="287" customFormat="1" ht="12" hidden="1" customHeight="1">
      <c r="A2655" s="286"/>
    </row>
    <row r="2656" spans="1:1" s="287" customFormat="1" ht="12" hidden="1" customHeight="1">
      <c r="A2656" s="286"/>
    </row>
    <row r="2657" spans="1:1" s="287" customFormat="1" ht="12" hidden="1" customHeight="1">
      <c r="A2657" s="286"/>
    </row>
    <row r="2658" spans="1:1" s="287" customFormat="1" ht="12" hidden="1" customHeight="1">
      <c r="A2658" s="286"/>
    </row>
    <row r="2659" spans="1:1" s="287" customFormat="1" ht="12" hidden="1" customHeight="1">
      <c r="A2659" s="286"/>
    </row>
    <row r="2660" spans="1:1" s="287" customFormat="1" ht="12" hidden="1" customHeight="1">
      <c r="A2660" s="286"/>
    </row>
    <row r="2661" spans="1:1" s="287" customFormat="1" ht="12" hidden="1" customHeight="1">
      <c r="A2661" s="286"/>
    </row>
    <row r="2662" spans="1:1" s="287" customFormat="1" ht="12" hidden="1" customHeight="1">
      <c r="A2662" s="286"/>
    </row>
    <row r="2663" spans="1:1" s="287" customFormat="1" ht="12" hidden="1" customHeight="1">
      <c r="A2663" s="286"/>
    </row>
    <row r="2664" spans="1:1" s="287" customFormat="1" ht="12" hidden="1" customHeight="1">
      <c r="A2664" s="286"/>
    </row>
    <row r="2665" spans="1:1" s="287" customFormat="1" ht="12" hidden="1" customHeight="1">
      <c r="A2665" s="286"/>
    </row>
    <row r="2666" spans="1:1" s="287" customFormat="1" ht="12" hidden="1" customHeight="1">
      <c r="A2666" s="286"/>
    </row>
    <row r="2667" spans="1:1" s="287" customFormat="1" ht="12" hidden="1" customHeight="1">
      <c r="A2667" s="286"/>
    </row>
    <row r="2668" spans="1:1" s="287" customFormat="1" ht="12" hidden="1" customHeight="1">
      <c r="A2668" s="286"/>
    </row>
    <row r="2669" spans="1:1" s="287" customFormat="1" ht="12" hidden="1" customHeight="1">
      <c r="A2669" s="286"/>
    </row>
    <row r="2670" spans="1:1" s="287" customFormat="1" ht="12" hidden="1" customHeight="1">
      <c r="A2670" s="286"/>
    </row>
    <row r="2671" spans="1:1" s="287" customFormat="1" ht="12" hidden="1" customHeight="1">
      <c r="A2671" s="286"/>
    </row>
    <row r="2672" spans="1:1" s="287" customFormat="1" ht="12" hidden="1" customHeight="1">
      <c r="A2672" s="286"/>
    </row>
    <row r="2673" spans="1:1" s="287" customFormat="1" ht="12" hidden="1" customHeight="1">
      <c r="A2673" s="286"/>
    </row>
    <row r="2674" spans="1:1" s="287" customFormat="1" ht="12" hidden="1" customHeight="1">
      <c r="A2674" s="286"/>
    </row>
    <row r="2675" spans="1:1" s="287" customFormat="1" ht="12" hidden="1" customHeight="1">
      <c r="A2675" s="286"/>
    </row>
    <row r="2676" spans="1:1" s="287" customFormat="1" ht="12" hidden="1" customHeight="1">
      <c r="A2676" s="286"/>
    </row>
    <row r="2677" spans="1:1" s="287" customFormat="1" ht="12" hidden="1" customHeight="1">
      <c r="A2677" s="286"/>
    </row>
    <row r="2678" spans="1:1" s="287" customFormat="1" ht="12" hidden="1" customHeight="1">
      <c r="A2678" s="286"/>
    </row>
    <row r="2679" spans="1:1" s="287" customFormat="1" ht="12" hidden="1" customHeight="1">
      <c r="A2679" s="286"/>
    </row>
    <row r="2680" spans="1:1" s="287" customFormat="1" ht="12" hidden="1" customHeight="1">
      <c r="A2680" s="286"/>
    </row>
    <row r="2681" spans="1:1" s="287" customFormat="1" ht="12" hidden="1" customHeight="1">
      <c r="A2681" s="286"/>
    </row>
    <row r="2682" spans="1:1" s="287" customFormat="1" ht="12" hidden="1" customHeight="1">
      <c r="A2682" s="286"/>
    </row>
    <row r="2683" spans="1:1" s="287" customFormat="1" ht="12" hidden="1" customHeight="1">
      <c r="A2683" s="286"/>
    </row>
    <row r="2684" spans="1:1" s="287" customFormat="1" ht="12" hidden="1" customHeight="1">
      <c r="A2684" s="286"/>
    </row>
    <row r="2685" spans="1:1" s="287" customFormat="1" ht="12" hidden="1" customHeight="1">
      <c r="A2685" s="286"/>
    </row>
    <row r="2686" spans="1:1" s="287" customFormat="1" ht="12" hidden="1" customHeight="1">
      <c r="A2686" s="286"/>
    </row>
    <row r="2687" spans="1:1" s="287" customFormat="1" ht="12" hidden="1" customHeight="1">
      <c r="A2687" s="286"/>
    </row>
    <row r="2688" spans="1:1" s="287" customFormat="1" ht="12" hidden="1" customHeight="1">
      <c r="A2688" s="286"/>
    </row>
    <row r="2689" spans="1:1" s="287" customFormat="1" ht="12" hidden="1" customHeight="1">
      <c r="A2689" s="286"/>
    </row>
    <row r="2690" spans="1:1" s="287" customFormat="1" ht="12" hidden="1" customHeight="1">
      <c r="A2690" s="286"/>
    </row>
    <row r="2691" spans="1:1" s="287" customFormat="1" ht="12" hidden="1" customHeight="1">
      <c r="A2691" s="286"/>
    </row>
    <row r="2692" spans="1:1" s="287" customFormat="1" ht="12" hidden="1" customHeight="1">
      <c r="A2692" s="286"/>
    </row>
    <row r="2693" spans="1:1" s="287" customFormat="1" ht="12" hidden="1" customHeight="1">
      <c r="A2693" s="286"/>
    </row>
    <row r="2694" spans="1:1" s="287" customFormat="1" ht="12" hidden="1" customHeight="1">
      <c r="A2694" s="286"/>
    </row>
    <row r="2695" spans="1:1" s="287" customFormat="1" ht="12" hidden="1" customHeight="1">
      <c r="A2695" s="286"/>
    </row>
    <row r="2696" spans="1:1" s="287" customFormat="1" ht="12" hidden="1" customHeight="1">
      <c r="A2696" s="286"/>
    </row>
    <row r="2697" spans="1:1" s="287" customFormat="1" ht="12" hidden="1" customHeight="1">
      <c r="A2697" s="286"/>
    </row>
    <row r="2698" spans="1:1" s="287" customFormat="1" ht="12" hidden="1" customHeight="1">
      <c r="A2698" s="286"/>
    </row>
    <row r="2699" spans="1:1" s="287" customFormat="1" ht="12" hidden="1" customHeight="1">
      <c r="A2699" s="286"/>
    </row>
    <row r="2700" spans="1:1" s="287" customFormat="1" ht="12" hidden="1" customHeight="1">
      <c r="A2700" s="286"/>
    </row>
    <row r="2701" spans="1:1" s="287" customFormat="1" ht="12" hidden="1" customHeight="1">
      <c r="A2701" s="286"/>
    </row>
    <row r="2702" spans="1:1" s="287" customFormat="1" ht="12" hidden="1" customHeight="1">
      <c r="A2702" s="286"/>
    </row>
    <row r="2703" spans="1:1" s="287" customFormat="1" ht="12" hidden="1" customHeight="1">
      <c r="A2703" s="286"/>
    </row>
    <row r="2704" spans="1:1" s="287" customFormat="1" ht="12" hidden="1" customHeight="1">
      <c r="A2704" s="286"/>
    </row>
    <row r="2705" spans="1:1" s="287" customFormat="1" ht="12" hidden="1" customHeight="1">
      <c r="A2705" s="286"/>
    </row>
    <row r="2706" spans="1:1" s="287" customFormat="1" ht="12" hidden="1" customHeight="1">
      <c r="A2706" s="286"/>
    </row>
    <row r="2707" spans="1:1" s="287" customFormat="1" ht="12" hidden="1" customHeight="1">
      <c r="A2707" s="286"/>
    </row>
    <row r="2708" spans="1:1" s="287" customFormat="1" ht="12" hidden="1" customHeight="1">
      <c r="A2708" s="286"/>
    </row>
    <row r="2709" spans="1:1" s="287" customFormat="1" ht="12" hidden="1" customHeight="1">
      <c r="A2709" s="286"/>
    </row>
    <row r="2710" spans="1:1" s="287" customFormat="1" ht="12" hidden="1" customHeight="1">
      <c r="A2710" s="286"/>
    </row>
    <row r="2711" spans="1:1" s="287" customFormat="1" ht="12" hidden="1" customHeight="1">
      <c r="A2711" s="286"/>
    </row>
    <row r="2712" spans="1:1" s="287" customFormat="1" ht="12" hidden="1" customHeight="1">
      <c r="A2712" s="286"/>
    </row>
    <row r="2713" spans="1:1" s="287" customFormat="1" ht="12" hidden="1" customHeight="1">
      <c r="A2713" s="286"/>
    </row>
    <row r="2714" spans="1:1" s="287" customFormat="1" ht="12" hidden="1" customHeight="1">
      <c r="A2714" s="286"/>
    </row>
    <row r="2715" spans="1:1" s="287" customFormat="1" ht="12" hidden="1" customHeight="1">
      <c r="A2715" s="286"/>
    </row>
    <row r="2716" spans="1:1" s="287" customFormat="1" ht="12" hidden="1" customHeight="1">
      <c r="A2716" s="286"/>
    </row>
    <row r="2717" spans="1:1" s="287" customFormat="1" ht="12" hidden="1" customHeight="1">
      <c r="A2717" s="286"/>
    </row>
    <row r="2718" spans="1:1" s="287" customFormat="1" ht="12" hidden="1" customHeight="1">
      <c r="A2718" s="286"/>
    </row>
    <row r="2719" spans="1:1" s="287" customFormat="1" ht="12" hidden="1" customHeight="1">
      <c r="A2719" s="286"/>
    </row>
    <row r="2720" spans="1:1" s="287" customFormat="1" ht="12" hidden="1" customHeight="1">
      <c r="A2720" s="286"/>
    </row>
    <row r="2721" spans="1:1" s="287" customFormat="1" ht="12" hidden="1" customHeight="1">
      <c r="A2721" s="286"/>
    </row>
    <row r="2722" spans="1:1" s="287" customFormat="1" ht="12" hidden="1" customHeight="1">
      <c r="A2722" s="286"/>
    </row>
    <row r="2723" spans="1:1" s="287" customFormat="1" ht="12" hidden="1" customHeight="1">
      <c r="A2723" s="286"/>
    </row>
    <row r="2724" spans="1:1" s="287" customFormat="1" ht="12" hidden="1" customHeight="1">
      <c r="A2724" s="286"/>
    </row>
    <row r="2725" spans="1:1" s="287" customFormat="1" ht="12" hidden="1" customHeight="1">
      <c r="A2725" s="286"/>
    </row>
    <row r="2726" spans="1:1" s="287" customFormat="1" ht="12" hidden="1" customHeight="1">
      <c r="A2726" s="286"/>
    </row>
    <row r="2727" spans="1:1" s="287" customFormat="1" ht="12" hidden="1" customHeight="1">
      <c r="A2727" s="286"/>
    </row>
    <row r="2728" spans="1:1" s="287" customFormat="1" ht="12" hidden="1" customHeight="1">
      <c r="A2728" s="286"/>
    </row>
    <row r="2729" spans="1:1" s="287" customFormat="1" ht="12" hidden="1" customHeight="1">
      <c r="A2729" s="286"/>
    </row>
    <row r="2730" spans="1:1" s="287" customFormat="1" ht="12" hidden="1" customHeight="1">
      <c r="A2730" s="286"/>
    </row>
    <row r="2731" spans="1:1" s="287" customFormat="1" ht="12" hidden="1" customHeight="1">
      <c r="A2731" s="286"/>
    </row>
    <row r="2732" spans="1:1" s="287" customFormat="1" ht="12" hidden="1" customHeight="1">
      <c r="A2732" s="286"/>
    </row>
    <row r="2733" spans="1:1" s="287" customFormat="1" ht="12" hidden="1" customHeight="1">
      <c r="A2733" s="286"/>
    </row>
    <row r="2734" spans="1:1" s="287" customFormat="1" ht="12" hidden="1" customHeight="1">
      <c r="A2734" s="286"/>
    </row>
    <row r="2735" spans="1:1" s="287" customFormat="1" ht="12" hidden="1" customHeight="1">
      <c r="A2735" s="286"/>
    </row>
    <row r="2736" spans="1:1" s="287" customFormat="1" ht="12" hidden="1" customHeight="1">
      <c r="A2736" s="286"/>
    </row>
    <row r="2737" spans="1:1" s="287" customFormat="1" ht="12" hidden="1" customHeight="1">
      <c r="A2737" s="286"/>
    </row>
    <row r="2738" spans="1:1" s="287" customFormat="1" ht="12" hidden="1" customHeight="1">
      <c r="A2738" s="286"/>
    </row>
    <row r="2739" spans="1:1" s="287" customFormat="1" ht="12" hidden="1" customHeight="1">
      <c r="A2739" s="286"/>
    </row>
    <row r="2740" spans="1:1" s="287" customFormat="1" ht="12" hidden="1" customHeight="1">
      <c r="A2740" s="286"/>
    </row>
    <row r="2741" spans="1:1" s="287" customFormat="1" ht="12" hidden="1" customHeight="1">
      <c r="A2741" s="286"/>
    </row>
    <row r="2742" spans="1:1" s="287" customFormat="1" ht="12" hidden="1" customHeight="1">
      <c r="A2742" s="286"/>
    </row>
    <row r="2743" spans="1:1" s="287" customFormat="1" ht="12" hidden="1" customHeight="1">
      <c r="A2743" s="286"/>
    </row>
    <row r="2744" spans="1:1" s="287" customFormat="1" ht="12" hidden="1" customHeight="1">
      <c r="A2744" s="286"/>
    </row>
    <row r="2745" spans="1:1" s="287" customFormat="1" ht="12" hidden="1" customHeight="1">
      <c r="A2745" s="286"/>
    </row>
    <row r="2746" spans="1:1" s="287" customFormat="1" ht="12" hidden="1" customHeight="1">
      <c r="A2746" s="286"/>
    </row>
    <row r="2747" spans="1:1" s="287" customFormat="1" ht="12" hidden="1" customHeight="1">
      <c r="A2747" s="286"/>
    </row>
    <row r="2748" spans="1:1" s="287" customFormat="1" ht="12" hidden="1" customHeight="1">
      <c r="A2748" s="286"/>
    </row>
    <row r="2749" spans="1:1" s="287" customFormat="1" ht="12" hidden="1" customHeight="1">
      <c r="A2749" s="286"/>
    </row>
    <row r="2750" spans="1:1" s="287" customFormat="1" ht="12" hidden="1" customHeight="1">
      <c r="A2750" s="286"/>
    </row>
    <row r="2751" spans="1:1" s="287" customFormat="1" ht="12" hidden="1" customHeight="1">
      <c r="A2751" s="286"/>
    </row>
    <row r="2752" spans="1:1" s="287" customFormat="1" ht="12" hidden="1" customHeight="1">
      <c r="A2752" s="286"/>
    </row>
    <row r="2753" spans="1:1" s="287" customFormat="1" ht="12" hidden="1" customHeight="1">
      <c r="A2753" s="286"/>
    </row>
    <row r="2754" spans="1:1" s="287" customFormat="1" ht="12" hidden="1" customHeight="1">
      <c r="A2754" s="286"/>
    </row>
    <row r="2755" spans="1:1" s="287" customFormat="1" ht="12" hidden="1" customHeight="1">
      <c r="A2755" s="286"/>
    </row>
    <row r="2756" spans="1:1" s="287" customFormat="1" ht="12" hidden="1" customHeight="1">
      <c r="A2756" s="286"/>
    </row>
    <row r="2757" spans="1:1" s="287" customFormat="1" ht="12" hidden="1" customHeight="1">
      <c r="A2757" s="286"/>
    </row>
    <row r="2758" spans="1:1" s="287" customFormat="1" ht="12" hidden="1" customHeight="1">
      <c r="A2758" s="286"/>
    </row>
    <row r="2759" spans="1:1" s="287" customFormat="1" ht="12" hidden="1" customHeight="1">
      <c r="A2759" s="286"/>
    </row>
    <row r="2760" spans="1:1" s="287" customFormat="1" ht="12" hidden="1" customHeight="1">
      <c r="A2760" s="286"/>
    </row>
    <row r="2761" spans="1:1" s="287" customFormat="1" ht="12" hidden="1" customHeight="1">
      <c r="A2761" s="286"/>
    </row>
    <row r="2762" spans="1:1" s="287" customFormat="1" ht="12" hidden="1" customHeight="1">
      <c r="A2762" s="286"/>
    </row>
    <row r="2763" spans="1:1" s="287" customFormat="1" ht="12" hidden="1" customHeight="1">
      <c r="A2763" s="286"/>
    </row>
    <row r="2764" spans="1:1" s="287" customFormat="1" ht="12" hidden="1" customHeight="1">
      <c r="A2764" s="286"/>
    </row>
    <row r="2765" spans="1:1" s="287" customFormat="1" ht="12" hidden="1" customHeight="1">
      <c r="A2765" s="286"/>
    </row>
    <row r="2766" spans="1:1" s="287" customFormat="1" ht="12" hidden="1" customHeight="1">
      <c r="A2766" s="286"/>
    </row>
    <row r="2767" spans="1:1" s="287" customFormat="1" ht="12" hidden="1" customHeight="1">
      <c r="A2767" s="286"/>
    </row>
    <row r="2768" spans="1:1" s="287" customFormat="1" ht="12" hidden="1" customHeight="1">
      <c r="A2768" s="286"/>
    </row>
    <row r="2769" spans="1:1" s="287" customFormat="1" ht="12" hidden="1" customHeight="1">
      <c r="A2769" s="286"/>
    </row>
    <row r="2770" spans="1:1" s="287" customFormat="1" ht="12" hidden="1" customHeight="1">
      <c r="A2770" s="286"/>
    </row>
    <row r="2771" spans="1:1" s="287" customFormat="1" ht="12" hidden="1" customHeight="1">
      <c r="A2771" s="286"/>
    </row>
    <row r="2772" spans="1:1" s="287" customFormat="1" ht="12" hidden="1" customHeight="1">
      <c r="A2772" s="286"/>
    </row>
    <row r="2773" spans="1:1" s="287" customFormat="1" ht="12" hidden="1" customHeight="1">
      <c r="A2773" s="286"/>
    </row>
    <row r="2774" spans="1:1" s="287" customFormat="1" ht="12" hidden="1" customHeight="1">
      <c r="A2774" s="286"/>
    </row>
    <row r="2775" spans="1:1" s="287" customFormat="1" ht="12" hidden="1" customHeight="1">
      <c r="A2775" s="286"/>
    </row>
    <row r="2776" spans="1:1" s="287" customFormat="1" ht="12" hidden="1" customHeight="1">
      <c r="A2776" s="286"/>
    </row>
    <row r="2777" spans="1:1" s="287" customFormat="1" ht="12" hidden="1" customHeight="1">
      <c r="A2777" s="286"/>
    </row>
    <row r="2778" spans="1:1" s="287" customFormat="1" ht="12" hidden="1" customHeight="1">
      <c r="A2778" s="286"/>
    </row>
    <row r="2779" spans="1:1" s="287" customFormat="1" ht="12" hidden="1" customHeight="1">
      <c r="A2779" s="286"/>
    </row>
    <row r="2780" spans="1:1" s="287" customFormat="1" ht="12" hidden="1" customHeight="1">
      <c r="A2780" s="286"/>
    </row>
    <row r="2781" spans="1:1" s="287" customFormat="1" ht="12" hidden="1" customHeight="1">
      <c r="A2781" s="286"/>
    </row>
    <row r="2782" spans="1:1" s="287" customFormat="1" ht="12" hidden="1" customHeight="1">
      <c r="A2782" s="286"/>
    </row>
    <row r="2783" spans="1:1" s="287" customFormat="1" ht="12" hidden="1" customHeight="1">
      <c r="A2783" s="286"/>
    </row>
    <row r="2784" spans="1:1" s="287" customFormat="1" ht="12" hidden="1" customHeight="1">
      <c r="A2784" s="286"/>
    </row>
    <row r="2785" spans="1:1" s="287" customFormat="1" ht="12" hidden="1" customHeight="1">
      <c r="A2785" s="286"/>
    </row>
    <row r="2786" spans="1:1" s="287" customFormat="1" ht="12" hidden="1" customHeight="1">
      <c r="A2786" s="286"/>
    </row>
    <row r="2787" spans="1:1" s="287" customFormat="1" ht="12" hidden="1" customHeight="1">
      <c r="A2787" s="286"/>
    </row>
    <row r="2788" spans="1:1" s="287" customFormat="1" ht="12" hidden="1" customHeight="1">
      <c r="A2788" s="286"/>
    </row>
    <row r="2789" spans="1:1" s="287" customFormat="1" ht="12" hidden="1" customHeight="1">
      <c r="A2789" s="286"/>
    </row>
    <row r="2790" spans="1:1" s="287" customFormat="1" ht="12" hidden="1" customHeight="1">
      <c r="A2790" s="286"/>
    </row>
    <row r="2791" spans="1:1" s="287" customFormat="1" ht="12" hidden="1" customHeight="1">
      <c r="A2791" s="286"/>
    </row>
    <row r="2792" spans="1:1" s="287" customFormat="1" ht="12" hidden="1" customHeight="1">
      <c r="A2792" s="286"/>
    </row>
    <row r="2793" spans="1:1" s="287" customFormat="1" ht="12" hidden="1" customHeight="1">
      <c r="A2793" s="286"/>
    </row>
    <row r="2794" spans="1:1" s="287" customFormat="1" ht="12" hidden="1" customHeight="1">
      <c r="A2794" s="286"/>
    </row>
    <row r="2795" spans="1:1" s="287" customFormat="1" ht="12" hidden="1" customHeight="1">
      <c r="A2795" s="286"/>
    </row>
    <row r="2796" spans="1:1" s="287" customFormat="1" ht="12" hidden="1" customHeight="1">
      <c r="A2796" s="286"/>
    </row>
    <row r="2797" spans="1:1" s="287" customFormat="1" ht="12" hidden="1" customHeight="1">
      <c r="A2797" s="286"/>
    </row>
    <row r="2798" spans="1:1" s="287" customFormat="1" ht="12" hidden="1" customHeight="1">
      <c r="A2798" s="286"/>
    </row>
    <row r="2799" spans="1:1" s="287" customFormat="1" ht="12" hidden="1" customHeight="1">
      <c r="A2799" s="286"/>
    </row>
    <row r="2800" spans="1:1" s="287" customFormat="1" ht="12" hidden="1" customHeight="1">
      <c r="A2800" s="286"/>
    </row>
    <row r="2801" spans="1:1" s="287" customFormat="1" ht="12" hidden="1" customHeight="1">
      <c r="A2801" s="286"/>
    </row>
    <row r="2802" spans="1:1" s="287" customFormat="1" ht="12" hidden="1" customHeight="1">
      <c r="A2802" s="286"/>
    </row>
    <row r="2803" spans="1:1" s="287" customFormat="1" ht="12" hidden="1" customHeight="1">
      <c r="A2803" s="286"/>
    </row>
    <row r="2804" spans="1:1" s="287" customFormat="1" ht="12" hidden="1" customHeight="1">
      <c r="A2804" s="286"/>
    </row>
    <row r="2805" spans="1:1" s="287" customFormat="1" ht="12" hidden="1" customHeight="1">
      <c r="A2805" s="286"/>
    </row>
    <row r="2806" spans="1:1" s="287" customFormat="1" ht="12" hidden="1" customHeight="1">
      <c r="A2806" s="286"/>
    </row>
    <row r="2807" spans="1:1" s="287" customFormat="1" ht="12" hidden="1" customHeight="1">
      <c r="A2807" s="286"/>
    </row>
    <row r="2808" spans="1:1" s="287" customFormat="1" ht="12" hidden="1" customHeight="1">
      <c r="A2808" s="286"/>
    </row>
    <row r="2809" spans="1:1" s="287" customFormat="1" ht="12" hidden="1" customHeight="1">
      <c r="A2809" s="286"/>
    </row>
    <row r="2810" spans="1:1" s="287" customFormat="1" ht="12" hidden="1" customHeight="1">
      <c r="A2810" s="286"/>
    </row>
    <row r="2811" spans="1:1" s="287" customFormat="1" ht="12" hidden="1" customHeight="1">
      <c r="A2811" s="286"/>
    </row>
    <row r="2812" spans="1:1" s="287" customFormat="1" ht="12" hidden="1" customHeight="1">
      <c r="A2812" s="286"/>
    </row>
    <row r="2813" spans="1:1" s="287" customFormat="1" ht="12" hidden="1" customHeight="1">
      <c r="A2813" s="286"/>
    </row>
    <row r="2814" spans="1:1" s="287" customFormat="1" ht="12" hidden="1" customHeight="1">
      <c r="A2814" s="286"/>
    </row>
    <row r="2815" spans="1:1" s="287" customFormat="1" ht="12" hidden="1" customHeight="1">
      <c r="A2815" s="286"/>
    </row>
    <row r="2816" spans="1:1" s="287" customFormat="1" ht="12" hidden="1" customHeight="1">
      <c r="A2816" s="286"/>
    </row>
    <row r="2817" spans="1:1" s="287" customFormat="1" ht="12" hidden="1" customHeight="1">
      <c r="A2817" s="286"/>
    </row>
    <row r="2818" spans="1:1" s="287" customFormat="1" ht="12" hidden="1" customHeight="1">
      <c r="A2818" s="286"/>
    </row>
    <row r="2819" spans="1:1" s="287" customFormat="1" ht="12" hidden="1" customHeight="1">
      <c r="A2819" s="286"/>
    </row>
    <row r="2820" spans="1:1" s="287" customFormat="1" ht="12" hidden="1" customHeight="1">
      <c r="A2820" s="286"/>
    </row>
    <row r="2821" spans="1:1" s="287" customFormat="1" ht="12" hidden="1" customHeight="1">
      <c r="A2821" s="286"/>
    </row>
    <row r="2822" spans="1:1" s="287" customFormat="1" ht="12" hidden="1" customHeight="1">
      <c r="A2822" s="286"/>
    </row>
    <row r="2823" spans="1:1" s="287" customFormat="1" ht="12" hidden="1" customHeight="1">
      <c r="A2823" s="286"/>
    </row>
    <row r="2824" spans="1:1" s="287" customFormat="1" ht="12" hidden="1" customHeight="1">
      <c r="A2824" s="286"/>
    </row>
    <row r="2825" spans="1:1" s="287" customFormat="1" ht="12" hidden="1" customHeight="1">
      <c r="A2825" s="286"/>
    </row>
    <row r="2826" spans="1:1" s="287" customFormat="1" ht="12" hidden="1" customHeight="1">
      <c r="A2826" s="286"/>
    </row>
    <row r="2827" spans="1:1" s="287" customFormat="1" ht="12" hidden="1" customHeight="1">
      <c r="A2827" s="286"/>
    </row>
    <row r="2828" spans="1:1" s="287" customFormat="1" ht="12" hidden="1" customHeight="1">
      <c r="A2828" s="286"/>
    </row>
    <row r="2829" spans="1:1" s="287" customFormat="1" ht="12" hidden="1" customHeight="1">
      <c r="A2829" s="286"/>
    </row>
    <row r="2830" spans="1:1" s="287" customFormat="1" ht="12" hidden="1" customHeight="1">
      <c r="A2830" s="286"/>
    </row>
    <row r="2831" spans="1:1" s="287" customFormat="1" ht="12" hidden="1" customHeight="1">
      <c r="A2831" s="286"/>
    </row>
    <row r="2832" spans="1:1" s="287" customFormat="1" ht="12" hidden="1" customHeight="1">
      <c r="A2832" s="286"/>
    </row>
    <row r="2833" spans="1:1" s="287" customFormat="1" ht="12" hidden="1" customHeight="1">
      <c r="A2833" s="286"/>
    </row>
    <row r="2834" spans="1:1" s="287" customFormat="1" ht="12" hidden="1" customHeight="1">
      <c r="A2834" s="286"/>
    </row>
    <row r="2835" spans="1:1" s="287" customFormat="1" ht="12" hidden="1" customHeight="1">
      <c r="A2835" s="286"/>
    </row>
    <row r="2836" spans="1:1" s="287" customFormat="1" ht="12" hidden="1" customHeight="1">
      <c r="A2836" s="286"/>
    </row>
    <row r="2837" spans="1:1" s="287" customFormat="1" ht="12" hidden="1" customHeight="1">
      <c r="A2837" s="286"/>
    </row>
    <row r="2838" spans="1:1" s="287" customFormat="1" ht="12" hidden="1" customHeight="1">
      <c r="A2838" s="286"/>
    </row>
    <row r="2839" spans="1:1" s="287" customFormat="1" ht="12" hidden="1" customHeight="1">
      <c r="A2839" s="286"/>
    </row>
    <row r="2840" spans="1:1" s="287" customFormat="1" ht="12" hidden="1" customHeight="1">
      <c r="A2840" s="286"/>
    </row>
    <row r="2841" spans="1:1" s="287" customFormat="1" ht="12" hidden="1" customHeight="1">
      <c r="A2841" s="286"/>
    </row>
    <row r="2842" spans="1:1" s="287" customFormat="1" ht="12" hidden="1" customHeight="1">
      <c r="A2842" s="286"/>
    </row>
    <row r="2843" spans="1:1" s="287" customFormat="1" ht="12" hidden="1" customHeight="1">
      <c r="A2843" s="286"/>
    </row>
    <row r="2844" spans="1:1" s="287" customFormat="1" ht="12" hidden="1" customHeight="1">
      <c r="A2844" s="286"/>
    </row>
    <row r="2845" spans="1:1" s="287" customFormat="1" ht="12" hidden="1" customHeight="1">
      <c r="A2845" s="286"/>
    </row>
    <row r="2846" spans="1:1" s="287" customFormat="1" ht="12" hidden="1" customHeight="1">
      <c r="A2846" s="286"/>
    </row>
    <row r="2847" spans="1:1" s="287" customFormat="1" ht="12" hidden="1" customHeight="1">
      <c r="A2847" s="286"/>
    </row>
    <row r="2848" spans="1:1" s="287" customFormat="1" ht="12" hidden="1" customHeight="1">
      <c r="A2848" s="286"/>
    </row>
    <row r="2849" spans="1:1" s="287" customFormat="1" ht="12" hidden="1" customHeight="1">
      <c r="A2849" s="286"/>
    </row>
    <row r="2850" spans="1:1" s="287" customFormat="1" ht="12" hidden="1" customHeight="1">
      <c r="A2850" s="286"/>
    </row>
    <row r="2851" spans="1:1" s="287" customFormat="1" ht="12" hidden="1" customHeight="1">
      <c r="A2851" s="286"/>
    </row>
    <row r="2852" spans="1:1" s="287" customFormat="1" ht="12" hidden="1" customHeight="1">
      <c r="A2852" s="286"/>
    </row>
    <row r="2853" spans="1:1" s="287" customFormat="1" ht="12" hidden="1" customHeight="1">
      <c r="A2853" s="286"/>
    </row>
    <row r="2854" spans="1:1" s="287" customFormat="1" ht="12" hidden="1" customHeight="1">
      <c r="A2854" s="286"/>
    </row>
    <row r="2855" spans="1:1" s="287" customFormat="1" ht="12" hidden="1" customHeight="1">
      <c r="A2855" s="286"/>
    </row>
    <row r="2856" spans="1:1" s="287" customFormat="1" ht="12" hidden="1" customHeight="1">
      <c r="A2856" s="286"/>
    </row>
    <row r="2857" spans="1:1" s="287" customFormat="1" ht="12" hidden="1" customHeight="1">
      <c r="A2857" s="286"/>
    </row>
    <row r="2858" spans="1:1" s="287" customFormat="1" ht="12" hidden="1" customHeight="1">
      <c r="A2858" s="286"/>
    </row>
    <row r="2859" spans="1:1" s="287" customFormat="1" ht="12" hidden="1" customHeight="1">
      <c r="A2859" s="286"/>
    </row>
    <row r="2860" spans="1:1" s="287" customFormat="1" ht="12" hidden="1" customHeight="1">
      <c r="A2860" s="286"/>
    </row>
    <row r="2861" spans="1:1" s="287" customFormat="1" ht="12" hidden="1" customHeight="1">
      <c r="A2861" s="286"/>
    </row>
    <row r="2862" spans="1:1" s="287" customFormat="1" ht="12" hidden="1" customHeight="1">
      <c r="A2862" s="286"/>
    </row>
    <row r="2863" spans="1:1" s="287" customFormat="1" ht="12" hidden="1" customHeight="1">
      <c r="A2863" s="286"/>
    </row>
    <row r="2864" spans="1:1" s="287" customFormat="1" ht="12" hidden="1" customHeight="1">
      <c r="A2864" s="286"/>
    </row>
    <row r="2865" spans="1:1" s="287" customFormat="1" ht="12" hidden="1" customHeight="1">
      <c r="A2865" s="286"/>
    </row>
    <row r="2866" spans="1:1" s="287" customFormat="1" ht="12" hidden="1" customHeight="1">
      <c r="A2866" s="286"/>
    </row>
    <row r="2867" spans="1:1" s="287" customFormat="1" ht="12" hidden="1" customHeight="1">
      <c r="A2867" s="286"/>
    </row>
    <row r="2868" spans="1:1" s="287" customFormat="1" ht="12" hidden="1" customHeight="1">
      <c r="A2868" s="286"/>
    </row>
    <row r="2869" spans="1:1" s="287" customFormat="1" ht="12" hidden="1" customHeight="1">
      <c r="A2869" s="286"/>
    </row>
    <row r="2870" spans="1:1" s="287" customFormat="1" ht="12" hidden="1" customHeight="1">
      <c r="A2870" s="286"/>
    </row>
    <row r="2871" spans="1:1" s="287" customFormat="1" ht="12" hidden="1" customHeight="1">
      <c r="A2871" s="286"/>
    </row>
    <row r="2872" spans="1:1" s="287" customFormat="1" ht="12" hidden="1" customHeight="1">
      <c r="A2872" s="286"/>
    </row>
    <row r="2873" spans="1:1" s="287" customFormat="1" ht="12" hidden="1" customHeight="1">
      <c r="A2873" s="286"/>
    </row>
    <row r="2874" spans="1:1" s="287" customFormat="1" ht="12" hidden="1" customHeight="1">
      <c r="A2874" s="286"/>
    </row>
    <row r="2875" spans="1:1" s="287" customFormat="1" ht="12" hidden="1" customHeight="1">
      <c r="A2875" s="286"/>
    </row>
    <row r="2876" spans="1:1" s="287" customFormat="1" ht="12" hidden="1" customHeight="1">
      <c r="A2876" s="286"/>
    </row>
    <row r="2877" spans="1:1" s="287" customFormat="1" ht="12" hidden="1" customHeight="1">
      <c r="A2877" s="286"/>
    </row>
    <row r="2878" spans="1:1" s="287" customFormat="1" ht="12" hidden="1" customHeight="1">
      <c r="A2878" s="286"/>
    </row>
    <row r="2879" spans="1:1" s="287" customFormat="1" ht="12" hidden="1" customHeight="1">
      <c r="A2879" s="286"/>
    </row>
    <row r="2880" spans="1:1" s="287" customFormat="1" ht="12" hidden="1" customHeight="1">
      <c r="A2880" s="286"/>
    </row>
    <row r="2881" spans="1:1" s="287" customFormat="1" ht="12" hidden="1" customHeight="1">
      <c r="A2881" s="286"/>
    </row>
    <row r="2882" spans="1:1" s="287" customFormat="1" ht="12" hidden="1" customHeight="1">
      <c r="A2882" s="286"/>
    </row>
    <row r="2883" spans="1:1" s="287" customFormat="1" ht="12" hidden="1" customHeight="1">
      <c r="A2883" s="286"/>
    </row>
    <row r="2884" spans="1:1" s="287" customFormat="1" ht="12" hidden="1" customHeight="1">
      <c r="A2884" s="286"/>
    </row>
    <row r="2885" spans="1:1" s="287" customFormat="1" ht="12" hidden="1" customHeight="1">
      <c r="A2885" s="286"/>
    </row>
    <row r="2886" spans="1:1" s="287" customFormat="1" ht="12" hidden="1" customHeight="1">
      <c r="A2886" s="286"/>
    </row>
    <row r="2887" spans="1:1" s="287" customFormat="1" ht="12" hidden="1" customHeight="1">
      <c r="A2887" s="286"/>
    </row>
    <row r="2888" spans="1:1" s="287" customFormat="1" ht="12" hidden="1" customHeight="1">
      <c r="A2888" s="286"/>
    </row>
    <row r="2889" spans="1:1" s="287" customFormat="1" ht="12" hidden="1" customHeight="1">
      <c r="A2889" s="286"/>
    </row>
    <row r="2890" spans="1:1" s="287" customFormat="1" ht="12" hidden="1" customHeight="1">
      <c r="A2890" s="286"/>
    </row>
    <row r="2891" spans="1:1" s="287" customFormat="1" ht="12" hidden="1" customHeight="1">
      <c r="A2891" s="286"/>
    </row>
    <row r="2892" spans="1:1" s="287" customFormat="1" ht="12" hidden="1" customHeight="1">
      <c r="A2892" s="286"/>
    </row>
    <row r="2893" spans="1:1" s="287" customFormat="1" ht="12" hidden="1" customHeight="1">
      <c r="A2893" s="286"/>
    </row>
    <row r="2894" spans="1:1" s="287" customFormat="1" ht="12" hidden="1" customHeight="1">
      <c r="A2894" s="286"/>
    </row>
    <row r="2895" spans="1:1" s="287" customFormat="1" ht="12" hidden="1" customHeight="1">
      <c r="A2895" s="286"/>
    </row>
    <row r="2896" spans="1:1" s="287" customFormat="1" ht="12" hidden="1" customHeight="1">
      <c r="A2896" s="286"/>
    </row>
    <row r="2897" spans="1:1" s="287" customFormat="1" ht="12" hidden="1" customHeight="1">
      <c r="A2897" s="286"/>
    </row>
    <row r="2898" spans="1:1" s="287" customFormat="1" ht="12" hidden="1" customHeight="1">
      <c r="A2898" s="286"/>
    </row>
    <row r="2899" spans="1:1" s="287" customFormat="1" ht="12" hidden="1" customHeight="1">
      <c r="A2899" s="286"/>
    </row>
    <row r="2900" spans="1:1" s="287" customFormat="1" ht="12" hidden="1" customHeight="1">
      <c r="A2900" s="286"/>
    </row>
    <row r="2901" spans="1:1" s="287" customFormat="1" ht="12" hidden="1" customHeight="1">
      <c r="A2901" s="286"/>
    </row>
    <row r="2902" spans="1:1" s="287" customFormat="1" ht="12" hidden="1" customHeight="1">
      <c r="A2902" s="286"/>
    </row>
    <row r="2903" spans="1:1" s="287" customFormat="1" ht="12" hidden="1" customHeight="1">
      <c r="A2903" s="286"/>
    </row>
    <row r="2904" spans="1:1" s="287" customFormat="1" ht="12" hidden="1" customHeight="1">
      <c r="A2904" s="286"/>
    </row>
    <row r="2905" spans="1:1" s="287" customFormat="1" ht="12" hidden="1" customHeight="1">
      <c r="A2905" s="286"/>
    </row>
    <row r="2906" spans="1:1" s="287" customFormat="1" ht="12" hidden="1" customHeight="1">
      <c r="A2906" s="286"/>
    </row>
    <row r="2907" spans="1:1" s="287" customFormat="1" ht="12" hidden="1" customHeight="1">
      <c r="A2907" s="286"/>
    </row>
    <row r="2908" spans="1:1" s="287" customFormat="1" ht="12" hidden="1" customHeight="1">
      <c r="A2908" s="286"/>
    </row>
    <row r="2909" spans="1:1" s="287" customFormat="1" ht="12" hidden="1" customHeight="1">
      <c r="A2909" s="286"/>
    </row>
    <row r="2910" spans="1:1" s="287" customFormat="1" ht="12" hidden="1" customHeight="1">
      <c r="A2910" s="286"/>
    </row>
    <row r="2911" spans="1:1" s="287" customFormat="1" ht="12" hidden="1" customHeight="1">
      <c r="A2911" s="286"/>
    </row>
    <row r="2912" spans="1:1" s="287" customFormat="1" ht="12" hidden="1" customHeight="1">
      <c r="A2912" s="286"/>
    </row>
    <row r="2913" spans="1:1" s="287" customFormat="1" ht="12" hidden="1" customHeight="1">
      <c r="A2913" s="286"/>
    </row>
    <row r="2914" spans="1:1" s="287" customFormat="1" ht="12" hidden="1" customHeight="1">
      <c r="A2914" s="286"/>
    </row>
    <row r="2915" spans="1:1" s="287" customFormat="1" ht="12" hidden="1" customHeight="1">
      <c r="A2915" s="286"/>
    </row>
    <row r="2916" spans="1:1" s="287" customFormat="1" ht="12" hidden="1" customHeight="1">
      <c r="A2916" s="286"/>
    </row>
    <row r="2917" spans="1:1" s="287" customFormat="1" ht="12" hidden="1" customHeight="1">
      <c r="A2917" s="286"/>
    </row>
    <row r="2918" spans="1:1" s="287" customFormat="1" ht="12" hidden="1" customHeight="1">
      <c r="A2918" s="286"/>
    </row>
    <row r="2919" spans="1:1" s="287" customFormat="1" ht="12" hidden="1" customHeight="1">
      <c r="A2919" s="286"/>
    </row>
    <row r="2920" spans="1:1" s="287" customFormat="1" ht="12" hidden="1" customHeight="1">
      <c r="A2920" s="286"/>
    </row>
    <row r="2921" spans="1:1" s="287" customFormat="1" ht="12" hidden="1" customHeight="1">
      <c r="A2921" s="286"/>
    </row>
    <row r="2922" spans="1:1" s="287" customFormat="1" ht="12" hidden="1" customHeight="1">
      <c r="A2922" s="286"/>
    </row>
    <row r="2923" spans="1:1" s="287" customFormat="1" ht="12" hidden="1" customHeight="1">
      <c r="A2923" s="286"/>
    </row>
    <row r="2924" spans="1:1" s="287" customFormat="1" ht="12" hidden="1" customHeight="1">
      <c r="A2924" s="286"/>
    </row>
    <row r="2925" spans="1:1" s="287" customFormat="1" ht="12" hidden="1" customHeight="1">
      <c r="A2925" s="286"/>
    </row>
    <row r="2926" spans="1:1" s="287" customFormat="1" ht="12" hidden="1" customHeight="1">
      <c r="A2926" s="286"/>
    </row>
    <row r="2927" spans="1:1" s="287" customFormat="1" ht="12" hidden="1" customHeight="1">
      <c r="A2927" s="286"/>
    </row>
    <row r="2928" spans="1:1" s="287" customFormat="1" ht="12" hidden="1" customHeight="1">
      <c r="A2928" s="286"/>
    </row>
    <row r="2929" spans="1:1" s="287" customFormat="1" ht="12" hidden="1" customHeight="1">
      <c r="A2929" s="286"/>
    </row>
    <row r="2930" spans="1:1" s="287" customFormat="1" ht="12" hidden="1" customHeight="1">
      <c r="A2930" s="286"/>
    </row>
    <row r="2931" spans="1:1" s="287" customFormat="1" ht="12" hidden="1" customHeight="1">
      <c r="A2931" s="286"/>
    </row>
    <row r="2932" spans="1:1" s="287" customFormat="1" ht="12" hidden="1" customHeight="1">
      <c r="A2932" s="286"/>
    </row>
    <row r="2933" spans="1:1" s="287" customFormat="1" ht="12" hidden="1" customHeight="1">
      <c r="A2933" s="286"/>
    </row>
    <row r="2934" spans="1:1" s="287" customFormat="1" ht="12" hidden="1" customHeight="1">
      <c r="A2934" s="286"/>
    </row>
    <row r="2935" spans="1:1" s="287" customFormat="1" ht="12" hidden="1" customHeight="1">
      <c r="A2935" s="286"/>
    </row>
    <row r="2936" spans="1:1" s="287" customFormat="1" ht="12" hidden="1" customHeight="1">
      <c r="A2936" s="286"/>
    </row>
    <row r="2937" spans="1:1" s="287" customFormat="1" ht="12" hidden="1" customHeight="1">
      <c r="A2937" s="286"/>
    </row>
    <row r="2938" spans="1:1" s="287" customFormat="1" ht="12" hidden="1" customHeight="1">
      <c r="A2938" s="286"/>
    </row>
    <row r="2939" spans="1:1" s="287" customFormat="1" ht="12" hidden="1" customHeight="1">
      <c r="A2939" s="286"/>
    </row>
    <row r="2940" spans="1:1" s="287" customFormat="1" ht="12" hidden="1" customHeight="1">
      <c r="A2940" s="286"/>
    </row>
    <row r="2941" spans="1:1" s="287" customFormat="1" ht="12" hidden="1" customHeight="1">
      <c r="A2941" s="286"/>
    </row>
    <row r="2942" spans="1:1" s="287" customFormat="1" ht="12" hidden="1" customHeight="1">
      <c r="A2942" s="286"/>
    </row>
    <row r="2943" spans="1:1" s="287" customFormat="1" ht="12" hidden="1" customHeight="1">
      <c r="A2943" s="286"/>
    </row>
    <row r="2944" spans="1:1" s="287" customFormat="1" ht="12" hidden="1" customHeight="1">
      <c r="A2944" s="286"/>
    </row>
    <row r="2945" spans="1:1" s="287" customFormat="1" ht="12" hidden="1" customHeight="1">
      <c r="A2945" s="286"/>
    </row>
    <row r="2946" spans="1:1" s="287" customFormat="1" ht="12" hidden="1" customHeight="1">
      <c r="A2946" s="286"/>
    </row>
    <row r="2947" spans="1:1" s="287" customFormat="1" ht="12" hidden="1" customHeight="1">
      <c r="A2947" s="286"/>
    </row>
    <row r="2948" spans="1:1" s="287" customFormat="1" ht="12" hidden="1" customHeight="1">
      <c r="A2948" s="286"/>
    </row>
    <row r="2949" spans="1:1" s="287" customFormat="1" ht="12" hidden="1" customHeight="1">
      <c r="A2949" s="286"/>
    </row>
    <row r="2950" spans="1:1" s="287" customFormat="1" ht="12" hidden="1" customHeight="1">
      <c r="A2950" s="286"/>
    </row>
    <row r="2951" spans="1:1" s="287" customFormat="1" ht="12" hidden="1" customHeight="1">
      <c r="A2951" s="286"/>
    </row>
    <row r="2952" spans="1:1" s="287" customFormat="1" ht="12" hidden="1" customHeight="1">
      <c r="A2952" s="286"/>
    </row>
    <row r="2953" spans="1:1" s="287" customFormat="1" ht="12" hidden="1" customHeight="1">
      <c r="A2953" s="286"/>
    </row>
    <row r="2954" spans="1:1" s="287" customFormat="1" ht="12" hidden="1" customHeight="1">
      <c r="A2954" s="286"/>
    </row>
    <row r="2955" spans="1:1" s="287" customFormat="1" ht="12" hidden="1" customHeight="1">
      <c r="A2955" s="286"/>
    </row>
    <row r="2956" spans="1:1" s="287" customFormat="1" ht="12" hidden="1" customHeight="1">
      <c r="A2956" s="286"/>
    </row>
    <row r="2957" spans="1:1" s="287" customFormat="1" ht="12" hidden="1" customHeight="1">
      <c r="A2957" s="286"/>
    </row>
    <row r="2958" spans="1:1" s="287" customFormat="1" ht="12" hidden="1" customHeight="1">
      <c r="A2958" s="286"/>
    </row>
    <row r="2959" spans="1:1" s="287" customFormat="1" ht="12" hidden="1" customHeight="1">
      <c r="A2959" s="286"/>
    </row>
    <row r="2960" spans="1:1" s="287" customFormat="1" ht="12" hidden="1" customHeight="1">
      <c r="A2960" s="286"/>
    </row>
    <row r="2961" spans="1:1" s="287" customFormat="1" ht="12" hidden="1" customHeight="1">
      <c r="A2961" s="286"/>
    </row>
    <row r="2962" spans="1:1" s="287" customFormat="1" ht="12" hidden="1" customHeight="1">
      <c r="A2962" s="286"/>
    </row>
    <row r="2963" spans="1:1" s="287" customFormat="1" ht="12" hidden="1" customHeight="1">
      <c r="A2963" s="286"/>
    </row>
    <row r="2964" spans="1:1" s="287" customFormat="1" ht="12" hidden="1" customHeight="1">
      <c r="A2964" s="286"/>
    </row>
    <row r="2965" spans="1:1" s="287" customFormat="1" ht="12" hidden="1" customHeight="1">
      <c r="A2965" s="286"/>
    </row>
    <row r="2966" spans="1:1" s="287" customFormat="1" ht="12" hidden="1" customHeight="1">
      <c r="A2966" s="286"/>
    </row>
    <row r="2967" spans="1:1" s="287" customFormat="1" ht="12" hidden="1" customHeight="1">
      <c r="A2967" s="286"/>
    </row>
    <row r="2968" spans="1:1" s="287" customFormat="1" ht="12" hidden="1" customHeight="1">
      <c r="A2968" s="286"/>
    </row>
    <row r="2969" spans="1:1" s="287" customFormat="1" ht="12" hidden="1" customHeight="1">
      <c r="A2969" s="286"/>
    </row>
    <row r="2970" spans="1:1" s="287" customFormat="1" ht="12" hidden="1" customHeight="1">
      <c r="A2970" s="286"/>
    </row>
    <row r="2971" spans="1:1" s="287" customFormat="1" ht="12" hidden="1" customHeight="1">
      <c r="A2971" s="286"/>
    </row>
    <row r="2972" spans="1:1" s="287" customFormat="1" ht="12" hidden="1" customHeight="1">
      <c r="A2972" s="286"/>
    </row>
    <row r="2973" spans="1:1" s="287" customFormat="1" ht="12" hidden="1" customHeight="1">
      <c r="A2973" s="286"/>
    </row>
    <row r="2974" spans="1:1" s="287" customFormat="1" ht="12" hidden="1" customHeight="1">
      <c r="A2974" s="286"/>
    </row>
    <row r="2975" spans="1:1" s="287" customFormat="1" ht="12" hidden="1" customHeight="1">
      <c r="A2975" s="286"/>
    </row>
    <row r="2976" spans="1:1" s="287" customFormat="1" ht="12" hidden="1" customHeight="1">
      <c r="A2976" s="286"/>
    </row>
    <row r="2977" spans="1:1" s="287" customFormat="1" ht="12" hidden="1" customHeight="1">
      <c r="A2977" s="286"/>
    </row>
    <row r="2978" spans="1:1" s="287" customFormat="1" ht="12" hidden="1" customHeight="1">
      <c r="A2978" s="286"/>
    </row>
    <row r="2979" spans="1:1" s="287" customFormat="1" ht="12" hidden="1" customHeight="1">
      <c r="A2979" s="286"/>
    </row>
    <row r="2980" spans="1:1" s="287" customFormat="1" ht="12" hidden="1" customHeight="1">
      <c r="A2980" s="286"/>
    </row>
    <row r="2981" spans="1:1" s="287" customFormat="1" ht="12" hidden="1" customHeight="1">
      <c r="A2981" s="286"/>
    </row>
    <row r="2982" spans="1:1" s="287" customFormat="1" ht="12" hidden="1" customHeight="1">
      <c r="A2982" s="286"/>
    </row>
    <row r="2983" spans="1:1" s="287" customFormat="1" ht="12" hidden="1" customHeight="1">
      <c r="A2983" s="286"/>
    </row>
    <row r="2984" spans="1:1" s="287" customFormat="1" ht="12" hidden="1" customHeight="1">
      <c r="A2984" s="286"/>
    </row>
    <row r="2985" spans="1:1" s="287" customFormat="1" ht="12" hidden="1" customHeight="1">
      <c r="A2985" s="286"/>
    </row>
    <row r="2986" spans="1:1" s="287" customFormat="1" ht="12" hidden="1" customHeight="1">
      <c r="A2986" s="286"/>
    </row>
    <row r="2987" spans="1:1" s="287" customFormat="1" ht="12" hidden="1" customHeight="1">
      <c r="A2987" s="286"/>
    </row>
    <row r="2988" spans="1:1" s="287" customFormat="1" ht="12" hidden="1" customHeight="1">
      <c r="A2988" s="286"/>
    </row>
    <row r="2989" spans="1:1" s="287" customFormat="1" ht="12" hidden="1" customHeight="1">
      <c r="A2989" s="286"/>
    </row>
    <row r="2990" spans="1:1" s="287" customFormat="1" ht="12" hidden="1" customHeight="1">
      <c r="A2990" s="286"/>
    </row>
    <row r="2991" spans="1:1" s="287" customFormat="1" ht="12" hidden="1" customHeight="1">
      <c r="A2991" s="286"/>
    </row>
    <row r="2992" spans="1:1" s="287" customFormat="1" ht="12" hidden="1" customHeight="1">
      <c r="A2992" s="286"/>
    </row>
    <row r="2993" spans="1:1" s="287" customFormat="1" ht="12" hidden="1" customHeight="1">
      <c r="A2993" s="286"/>
    </row>
    <row r="2994" spans="1:1" s="287" customFormat="1" ht="12" hidden="1" customHeight="1">
      <c r="A2994" s="286"/>
    </row>
    <row r="2995" spans="1:1" s="287" customFormat="1" ht="12" hidden="1" customHeight="1">
      <c r="A2995" s="286"/>
    </row>
    <row r="2996" spans="1:1" s="287" customFormat="1" ht="12" hidden="1" customHeight="1">
      <c r="A2996" s="286"/>
    </row>
    <row r="2997" spans="1:1" s="287" customFormat="1" ht="12" hidden="1" customHeight="1">
      <c r="A2997" s="286"/>
    </row>
    <row r="2998" spans="1:1" s="287" customFormat="1" ht="12" hidden="1" customHeight="1">
      <c r="A2998" s="286"/>
    </row>
    <row r="2999" spans="1:1" s="287" customFormat="1" ht="12" hidden="1" customHeight="1">
      <c r="A2999" s="286"/>
    </row>
    <row r="3000" spans="1:1" s="287" customFormat="1" ht="12" hidden="1" customHeight="1">
      <c r="A3000" s="286"/>
    </row>
    <row r="3001" spans="1:1" s="287" customFormat="1" ht="12" hidden="1" customHeight="1">
      <c r="A3001" s="286"/>
    </row>
    <row r="3002" spans="1:1" s="287" customFormat="1" ht="12" hidden="1" customHeight="1">
      <c r="A3002" s="286"/>
    </row>
    <row r="3003" spans="1:1" s="287" customFormat="1" ht="12" hidden="1" customHeight="1">
      <c r="A3003" s="286"/>
    </row>
    <row r="3004" spans="1:1" s="287" customFormat="1" ht="12" hidden="1" customHeight="1">
      <c r="A3004" s="286"/>
    </row>
    <row r="3005" spans="1:1" s="287" customFormat="1" ht="12" hidden="1" customHeight="1">
      <c r="A3005" s="286"/>
    </row>
    <row r="3006" spans="1:1" s="287" customFormat="1" ht="12" hidden="1" customHeight="1">
      <c r="A3006" s="286"/>
    </row>
    <row r="3007" spans="1:1" s="287" customFormat="1" ht="12" hidden="1" customHeight="1">
      <c r="A3007" s="286"/>
    </row>
    <row r="3008" spans="1:1" s="287" customFormat="1" ht="12" hidden="1" customHeight="1">
      <c r="A3008" s="286"/>
    </row>
    <row r="3009" spans="1:1" s="287" customFormat="1" ht="12" hidden="1" customHeight="1">
      <c r="A3009" s="286"/>
    </row>
    <row r="3010" spans="1:1" s="287" customFormat="1" ht="12" hidden="1" customHeight="1">
      <c r="A3010" s="286"/>
    </row>
    <row r="3011" spans="1:1" s="287" customFormat="1" ht="12" hidden="1" customHeight="1">
      <c r="A3011" s="286"/>
    </row>
    <row r="3012" spans="1:1" s="287" customFormat="1" ht="12" hidden="1" customHeight="1">
      <c r="A3012" s="286"/>
    </row>
    <row r="3013" spans="1:1" s="287" customFormat="1" ht="12" hidden="1" customHeight="1">
      <c r="A3013" s="286"/>
    </row>
    <row r="3014" spans="1:1" s="287" customFormat="1" ht="12" hidden="1" customHeight="1">
      <c r="A3014" s="286"/>
    </row>
    <row r="3015" spans="1:1" s="287" customFormat="1" ht="12" hidden="1" customHeight="1">
      <c r="A3015" s="286"/>
    </row>
    <row r="3016" spans="1:1" s="287" customFormat="1" ht="12" hidden="1" customHeight="1">
      <c r="A3016" s="286"/>
    </row>
    <row r="3017" spans="1:1" s="287" customFormat="1" ht="12" hidden="1" customHeight="1">
      <c r="A3017" s="286"/>
    </row>
    <row r="3018" spans="1:1" s="287" customFormat="1" ht="12" hidden="1" customHeight="1">
      <c r="A3018" s="286"/>
    </row>
    <row r="3019" spans="1:1" s="287" customFormat="1" ht="12" hidden="1" customHeight="1">
      <c r="A3019" s="286"/>
    </row>
    <row r="3020" spans="1:1" s="287" customFormat="1" ht="12" hidden="1" customHeight="1">
      <c r="A3020" s="286"/>
    </row>
    <row r="3021" spans="1:1" s="287" customFormat="1" ht="12" hidden="1" customHeight="1">
      <c r="A3021" s="286"/>
    </row>
    <row r="3022" spans="1:1" s="287" customFormat="1" ht="12" hidden="1" customHeight="1">
      <c r="A3022" s="286"/>
    </row>
    <row r="3023" spans="1:1" s="287" customFormat="1" ht="12" hidden="1" customHeight="1">
      <c r="A3023" s="286"/>
    </row>
    <row r="3024" spans="1:1" s="287" customFormat="1" ht="12" hidden="1" customHeight="1">
      <c r="A3024" s="286"/>
    </row>
    <row r="3025" spans="1:1" s="287" customFormat="1" ht="12" hidden="1" customHeight="1">
      <c r="A3025" s="286"/>
    </row>
    <row r="3026" spans="1:1" s="287" customFormat="1" ht="12" hidden="1" customHeight="1">
      <c r="A3026" s="286"/>
    </row>
    <row r="3027" spans="1:1" s="287" customFormat="1" ht="12" hidden="1" customHeight="1">
      <c r="A3027" s="286"/>
    </row>
    <row r="3028" spans="1:1" s="287" customFormat="1" ht="12" hidden="1" customHeight="1">
      <c r="A3028" s="286"/>
    </row>
    <row r="3029" spans="1:1" s="287" customFormat="1" ht="12" hidden="1" customHeight="1">
      <c r="A3029" s="286"/>
    </row>
    <row r="3030" spans="1:1" s="287" customFormat="1" ht="12" hidden="1" customHeight="1">
      <c r="A3030" s="286"/>
    </row>
    <row r="3031" spans="1:1" s="287" customFormat="1" ht="12" hidden="1" customHeight="1">
      <c r="A3031" s="286"/>
    </row>
    <row r="3032" spans="1:1" s="287" customFormat="1" ht="12" hidden="1" customHeight="1">
      <c r="A3032" s="286"/>
    </row>
    <row r="3033" spans="1:1" s="287" customFormat="1" ht="12" hidden="1" customHeight="1">
      <c r="A3033" s="286"/>
    </row>
    <row r="3034" spans="1:1" s="287" customFormat="1" ht="12" hidden="1" customHeight="1">
      <c r="A3034" s="286"/>
    </row>
    <row r="3035" spans="1:1" s="287" customFormat="1" ht="12" hidden="1" customHeight="1">
      <c r="A3035" s="286"/>
    </row>
    <row r="3036" spans="1:1" s="287" customFormat="1" ht="12" hidden="1" customHeight="1">
      <c r="A3036" s="286"/>
    </row>
    <row r="3037" spans="1:1" s="287" customFormat="1" ht="12" hidden="1" customHeight="1">
      <c r="A3037" s="286"/>
    </row>
    <row r="3038" spans="1:1" s="287" customFormat="1" ht="12" hidden="1" customHeight="1">
      <c r="A3038" s="286"/>
    </row>
    <row r="3039" spans="1:1" s="287" customFormat="1" ht="12" hidden="1" customHeight="1">
      <c r="A3039" s="286"/>
    </row>
    <row r="3040" spans="1:1" s="287" customFormat="1" ht="12" hidden="1" customHeight="1">
      <c r="A3040" s="286"/>
    </row>
    <row r="3041" spans="1:1" s="287" customFormat="1" ht="12" hidden="1" customHeight="1">
      <c r="A3041" s="286"/>
    </row>
    <row r="3042" spans="1:1" s="287" customFormat="1" ht="12" hidden="1" customHeight="1">
      <c r="A3042" s="286"/>
    </row>
    <row r="3043" spans="1:1" s="287" customFormat="1" ht="12" hidden="1" customHeight="1">
      <c r="A3043" s="286"/>
    </row>
    <row r="3044" spans="1:1" s="287" customFormat="1" ht="12" hidden="1" customHeight="1">
      <c r="A3044" s="286"/>
    </row>
    <row r="3045" spans="1:1" s="287" customFormat="1" ht="12" hidden="1" customHeight="1">
      <c r="A3045" s="286"/>
    </row>
    <row r="3046" spans="1:1" s="287" customFormat="1" ht="12" hidden="1" customHeight="1">
      <c r="A3046" s="286"/>
    </row>
    <row r="3047" spans="1:1" s="287" customFormat="1" ht="12" hidden="1" customHeight="1">
      <c r="A3047" s="286"/>
    </row>
    <row r="3048" spans="1:1" s="287" customFormat="1" ht="12" hidden="1" customHeight="1">
      <c r="A3048" s="286"/>
    </row>
    <row r="3049" spans="1:1" s="287" customFormat="1" ht="12" hidden="1" customHeight="1">
      <c r="A3049" s="286"/>
    </row>
    <row r="3050" spans="1:1" s="287" customFormat="1" ht="12" hidden="1" customHeight="1">
      <c r="A3050" s="286"/>
    </row>
    <row r="3051" spans="1:1" s="287" customFormat="1" ht="12" hidden="1" customHeight="1">
      <c r="A3051" s="286"/>
    </row>
    <row r="3052" spans="1:1" s="287" customFormat="1" ht="12" hidden="1" customHeight="1">
      <c r="A3052" s="286"/>
    </row>
    <row r="3053" spans="1:1" s="287" customFormat="1" ht="12" hidden="1" customHeight="1">
      <c r="A3053" s="286"/>
    </row>
    <row r="3054" spans="1:1" s="287" customFormat="1" ht="12" hidden="1" customHeight="1">
      <c r="A3054" s="286"/>
    </row>
    <row r="3055" spans="1:1" s="287" customFormat="1" ht="12" hidden="1" customHeight="1">
      <c r="A3055" s="286"/>
    </row>
    <row r="3056" spans="1:1" s="287" customFormat="1" ht="12" hidden="1" customHeight="1">
      <c r="A3056" s="286"/>
    </row>
    <row r="3057" spans="1:1" s="287" customFormat="1" ht="12" hidden="1" customHeight="1">
      <c r="A3057" s="286"/>
    </row>
    <row r="3058" spans="1:1" s="287" customFormat="1" ht="12" hidden="1" customHeight="1">
      <c r="A3058" s="286"/>
    </row>
    <row r="3059" spans="1:1" s="287" customFormat="1" ht="12" hidden="1" customHeight="1">
      <c r="A3059" s="286"/>
    </row>
    <row r="3060" spans="1:1" s="287" customFormat="1" ht="12" hidden="1" customHeight="1">
      <c r="A3060" s="286"/>
    </row>
    <row r="3061" spans="1:1" s="287" customFormat="1" ht="12" hidden="1" customHeight="1">
      <c r="A3061" s="286"/>
    </row>
    <row r="3062" spans="1:1" s="287" customFormat="1" ht="12" hidden="1" customHeight="1">
      <c r="A3062" s="286"/>
    </row>
    <row r="3063" spans="1:1" s="287" customFormat="1" ht="12" hidden="1" customHeight="1">
      <c r="A3063" s="286"/>
    </row>
    <row r="3064" spans="1:1" s="287" customFormat="1" ht="12" hidden="1" customHeight="1">
      <c r="A3064" s="286"/>
    </row>
    <row r="3065" spans="1:1" s="287" customFormat="1" ht="12" hidden="1" customHeight="1">
      <c r="A3065" s="286"/>
    </row>
    <row r="3066" spans="1:1" s="287" customFormat="1" ht="12" hidden="1" customHeight="1">
      <c r="A3066" s="286"/>
    </row>
    <row r="3067" spans="1:1" s="287" customFormat="1" ht="12" hidden="1" customHeight="1">
      <c r="A3067" s="286"/>
    </row>
    <row r="3068" spans="1:1" s="287" customFormat="1" ht="12" hidden="1" customHeight="1">
      <c r="A3068" s="286"/>
    </row>
    <row r="3069" spans="1:1" s="287" customFormat="1" ht="12" hidden="1" customHeight="1">
      <c r="A3069" s="286"/>
    </row>
    <row r="3070" spans="1:1" s="287" customFormat="1" ht="12" hidden="1" customHeight="1">
      <c r="A3070" s="286"/>
    </row>
    <row r="3071" spans="1:1" s="287" customFormat="1" ht="12" hidden="1" customHeight="1">
      <c r="A3071" s="286"/>
    </row>
    <row r="3072" spans="1:1" s="287" customFormat="1" ht="12" hidden="1" customHeight="1">
      <c r="A3072" s="286"/>
    </row>
    <row r="3073" spans="1:1" s="287" customFormat="1" ht="12" hidden="1" customHeight="1">
      <c r="A3073" s="286"/>
    </row>
    <row r="3074" spans="1:1" s="287" customFormat="1" ht="12" hidden="1" customHeight="1">
      <c r="A3074" s="286"/>
    </row>
    <row r="3075" spans="1:1" s="287" customFormat="1" ht="12" hidden="1" customHeight="1">
      <c r="A3075" s="286"/>
    </row>
    <row r="3076" spans="1:1" s="287" customFormat="1" ht="12" hidden="1" customHeight="1">
      <c r="A3076" s="286"/>
    </row>
    <row r="3077" spans="1:1" s="287" customFormat="1" ht="12" hidden="1" customHeight="1">
      <c r="A3077" s="286"/>
    </row>
    <row r="3078" spans="1:1" s="287" customFormat="1" ht="12" hidden="1" customHeight="1">
      <c r="A3078" s="286"/>
    </row>
    <row r="3079" spans="1:1" s="287" customFormat="1" ht="12" hidden="1" customHeight="1">
      <c r="A3079" s="286"/>
    </row>
    <row r="3080" spans="1:1" s="287" customFormat="1" ht="12" hidden="1" customHeight="1">
      <c r="A3080" s="286"/>
    </row>
    <row r="3081" spans="1:1" s="287" customFormat="1" ht="12" hidden="1" customHeight="1">
      <c r="A3081" s="286"/>
    </row>
    <row r="3082" spans="1:1" s="287" customFormat="1" ht="12" hidden="1" customHeight="1">
      <c r="A3082" s="286"/>
    </row>
    <row r="3083" spans="1:1" s="287" customFormat="1" ht="12" hidden="1" customHeight="1">
      <c r="A3083" s="286"/>
    </row>
    <row r="3084" spans="1:1" s="287" customFormat="1" ht="12" hidden="1" customHeight="1">
      <c r="A3084" s="286"/>
    </row>
    <row r="3085" spans="1:1" s="287" customFormat="1" ht="12" hidden="1" customHeight="1">
      <c r="A3085" s="286"/>
    </row>
    <row r="3086" spans="1:1" s="287" customFormat="1" ht="12" hidden="1" customHeight="1">
      <c r="A3086" s="286"/>
    </row>
    <row r="3087" spans="1:1" s="287" customFormat="1" ht="12" hidden="1" customHeight="1">
      <c r="A3087" s="286"/>
    </row>
    <row r="3088" spans="1:1" s="287" customFormat="1" ht="12" hidden="1" customHeight="1">
      <c r="A3088" s="286"/>
    </row>
    <row r="3089" spans="1:1" s="287" customFormat="1" ht="12" hidden="1" customHeight="1">
      <c r="A3089" s="286"/>
    </row>
    <row r="3090" spans="1:1" s="287" customFormat="1" ht="12" hidden="1" customHeight="1">
      <c r="A3090" s="286"/>
    </row>
    <row r="3091" spans="1:1" s="287" customFormat="1" ht="12" hidden="1" customHeight="1">
      <c r="A3091" s="286"/>
    </row>
    <row r="3092" spans="1:1" s="287" customFormat="1" ht="12" hidden="1" customHeight="1">
      <c r="A3092" s="286"/>
    </row>
    <row r="3093" spans="1:1" s="287" customFormat="1" ht="12" hidden="1" customHeight="1">
      <c r="A3093" s="286"/>
    </row>
    <row r="3094" spans="1:1" s="287" customFormat="1" ht="12" hidden="1" customHeight="1">
      <c r="A3094" s="286"/>
    </row>
    <row r="3095" spans="1:1" s="287" customFormat="1" ht="12" hidden="1" customHeight="1">
      <c r="A3095" s="286"/>
    </row>
    <row r="3096" spans="1:1" s="287" customFormat="1" ht="12" hidden="1" customHeight="1">
      <c r="A3096" s="286"/>
    </row>
    <row r="3097" spans="1:1" s="287" customFormat="1" ht="12" hidden="1" customHeight="1">
      <c r="A3097" s="286"/>
    </row>
    <row r="3098" spans="1:1" s="287" customFormat="1" ht="12" hidden="1" customHeight="1">
      <c r="A3098" s="286"/>
    </row>
    <row r="3099" spans="1:1" s="287" customFormat="1" ht="12" hidden="1" customHeight="1">
      <c r="A3099" s="286"/>
    </row>
    <row r="3100" spans="1:1" s="287" customFormat="1" ht="12" hidden="1" customHeight="1">
      <c r="A3100" s="286"/>
    </row>
    <row r="3101" spans="1:1" s="287" customFormat="1" ht="12" hidden="1" customHeight="1">
      <c r="A3101" s="286"/>
    </row>
    <row r="3102" spans="1:1" s="287" customFormat="1" ht="12" hidden="1" customHeight="1">
      <c r="A3102" s="286"/>
    </row>
    <row r="3103" spans="1:1" s="287" customFormat="1" ht="12" hidden="1" customHeight="1">
      <c r="A3103" s="286"/>
    </row>
    <row r="3104" spans="1:1" s="287" customFormat="1" ht="12" hidden="1" customHeight="1">
      <c r="A3104" s="286"/>
    </row>
    <row r="3105" spans="1:1" s="287" customFormat="1" ht="12" hidden="1" customHeight="1">
      <c r="A3105" s="286"/>
    </row>
    <row r="3106" spans="1:1" s="287" customFormat="1" ht="12" hidden="1" customHeight="1">
      <c r="A3106" s="286"/>
    </row>
    <row r="3107" spans="1:1" s="287" customFormat="1" ht="12" hidden="1" customHeight="1">
      <c r="A3107" s="286"/>
    </row>
    <row r="3108" spans="1:1" s="287" customFormat="1" ht="12" hidden="1" customHeight="1">
      <c r="A3108" s="286"/>
    </row>
    <row r="3109" spans="1:1" s="287" customFormat="1" ht="12" hidden="1" customHeight="1">
      <c r="A3109" s="286"/>
    </row>
    <row r="3110" spans="1:1" s="287" customFormat="1" ht="12" hidden="1" customHeight="1">
      <c r="A3110" s="286"/>
    </row>
    <row r="3111" spans="1:1" s="287" customFormat="1" ht="12" hidden="1" customHeight="1">
      <c r="A3111" s="286"/>
    </row>
    <row r="3112" spans="1:1" s="287" customFormat="1" ht="12" hidden="1" customHeight="1">
      <c r="A3112" s="286"/>
    </row>
    <row r="3113" spans="1:1" s="287" customFormat="1" ht="12" hidden="1" customHeight="1">
      <c r="A3113" s="286"/>
    </row>
    <row r="3114" spans="1:1" s="287" customFormat="1" ht="12" hidden="1" customHeight="1">
      <c r="A3114" s="286"/>
    </row>
    <row r="3115" spans="1:1" s="287" customFormat="1" ht="12" hidden="1" customHeight="1">
      <c r="A3115" s="286"/>
    </row>
    <row r="3116" spans="1:1" s="287" customFormat="1" ht="12" hidden="1" customHeight="1">
      <c r="A3116" s="286"/>
    </row>
    <row r="3117" spans="1:1" s="287" customFormat="1" ht="12" hidden="1" customHeight="1">
      <c r="A3117" s="286"/>
    </row>
    <row r="3118" spans="1:1" s="287" customFormat="1" ht="12" hidden="1" customHeight="1">
      <c r="A3118" s="286"/>
    </row>
    <row r="3119" spans="1:1" s="287" customFormat="1" ht="12" hidden="1" customHeight="1">
      <c r="A3119" s="286"/>
    </row>
    <row r="3120" spans="1:1" s="287" customFormat="1" ht="12" hidden="1" customHeight="1">
      <c r="A3120" s="286"/>
    </row>
    <row r="3121" spans="1:1" s="287" customFormat="1" ht="12" hidden="1" customHeight="1">
      <c r="A3121" s="286"/>
    </row>
    <row r="3122" spans="1:1" s="287" customFormat="1" ht="12" hidden="1" customHeight="1">
      <c r="A3122" s="286"/>
    </row>
    <row r="3123" spans="1:1" s="287" customFormat="1" ht="12" hidden="1" customHeight="1">
      <c r="A3123" s="286"/>
    </row>
    <row r="3124" spans="1:1" s="287" customFormat="1" ht="12" hidden="1" customHeight="1">
      <c r="A3124" s="286"/>
    </row>
    <row r="3125" spans="1:1" s="287" customFormat="1" ht="12" hidden="1" customHeight="1">
      <c r="A3125" s="286"/>
    </row>
    <row r="3126" spans="1:1" s="287" customFormat="1" ht="12" hidden="1" customHeight="1">
      <c r="A3126" s="286"/>
    </row>
    <row r="3127" spans="1:1" s="287" customFormat="1" ht="12" hidden="1" customHeight="1">
      <c r="A3127" s="286"/>
    </row>
    <row r="3128" spans="1:1" s="287" customFormat="1" ht="12" hidden="1" customHeight="1">
      <c r="A3128" s="286"/>
    </row>
    <row r="3129" spans="1:1" s="287" customFormat="1" ht="12" hidden="1" customHeight="1">
      <c r="A3129" s="286"/>
    </row>
    <row r="3130" spans="1:1" s="287" customFormat="1" ht="12" hidden="1" customHeight="1">
      <c r="A3130" s="286"/>
    </row>
    <row r="3131" spans="1:1" s="287" customFormat="1" ht="12" hidden="1" customHeight="1">
      <c r="A3131" s="286"/>
    </row>
    <row r="3132" spans="1:1" s="287" customFormat="1" ht="12" hidden="1" customHeight="1">
      <c r="A3132" s="286"/>
    </row>
    <row r="3133" spans="1:1" s="287" customFormat="1" ht="12" hidden="1" customHeight="1">
      <c r="A3133" s="286"/>
    </row>
    <row r="3134" spans="1:1" s="287" customFormat="1" ht="12" hidden="1" customHeight="1">
      <c r="A3134" s="286"/>
    </row>
    <row r="3135" spans="1:1" s="287" customFormat="1" ht="12" hidden="1" customHeight="1">
      <c r="A3135" s="286"/>
    </row>
    <row r="3136" spans="1:1" s="287" customFormat="1" ht="12" hidden="1" customHeight="1">
      <c r="A3136" s="286"/>
    </row>
    <row r="3137" spans="1:1" s="287" customFormat="1" ht="12" hidden="1" customHeight="1">
      <c r="A3137" s="286"/>
    </row>
    <row r="3138" spans="1:1" s="287" customFormat="1" ht="12" hidden="1" customHeight="1">
      <c r="A3138" s="286"/>
    </row>
    <row r="3139" spans="1:1" s="287" customFormat="1" ht="12" hidden="1" customHeight="1">
      <c r="A3139" s="286"/>
    </row>
    <row r="3140" spans="1:1" s="287" customFormat="1" ht="12" hidden="1" customHeight="1">
      <c r="A3140" s="286"/>
    </row>
    <row r="3141" spans="1:1" s="287" customFormat="1" ht="12" hidden="1" customHeight="1">
      <c r="A3141" s="286"/>
    </row>
    <row r="3142" spans="1:1" s="287" customFormat="1" ht="12" hidden="1" customHeight="1">
      <c r="A3142" s="286"/>
    </row>
    <row r="3143" spans="1:1" s="287" customFormat="1" ht="12" hidden="1" customHeight="1">
      <c r="A3143" s="286"/>
    </row>
    <row r="3144" spans="1:1" s="287" customFormat="1" ht="12" hidden="1" customHeight="1">
      <c r="A3144" s="286"/>
    </row>
    <row r="3145" spans="1:1" s="287" customFormat="1" ht="12" hidden="1" customHeight="1">
      <c r="A3145" s="286"/>
    </row>
    <row r="3146" spans="1:1" s="287" customFormat="1" ht="12" hidden="1" customHeight="1">
      <c r="A3146" s="286"/>
    </row>
    <row r="3147" spans="1:1" s="287" customFormat="1" ht="12" hidden="1" customHeight="1">
      <c r="A3147" s="286"/>
    </row>
    <row r="3148" spans="1:1" s="287" customFormat="1" ht="12" hidden="1" customHeight="1">
      <c r="A3148" s="286"/>
    </row>
    <row r="3149" spans="1:1" s="287" customFormat="1" ht="12" hidden="1" customHeight="1">
      <c r="A3149" s="286"/>
    </row>
    <row r="3150" spans="1:1" s="287" customFormat="1" ht="12" hidden="1" customHeight="1">
      <c r="A3150" s="286"/>
    </row>
    <row r="3151" spans="1:1" s="287" customFormat="1" ht="12" hidden="1" customHeight="1">
      <c r="A3151" s="286"/>
    </row>
    <row r="3152" spans="1:1" s="287" customFormat="1" ht="12" hidden="1" customHeight="1">
      <c r="A3152" s="286"/>
    </row>
    <row r="3153" spans="1:1" s="287" customFormat="1" ht="12" hidden="1" customHeight="1">
      <c r="A3153" s="286"/>
    </row>
    <row r="3154" spans="1:1" s="287" customFormat="1" ht="12" hidden="1" customHeight="1">
      <c r="A3154" s="286"/>
    </row>
    <row r="3155" spans="1:1" s="287" customFormat="1" ht="12" hidden="1" customHeight="1">
      <c r="A3155" s="286"/>
    </row>
    <row r="3156" spans="1:1" s="287" customFormat="1" ht="12" hidden="1" customHeight="1">
      <c r="A3156" s="286"/>
    </row>
    <row r="3157" spans="1:1" s="287" customFormat="1" ht="12" hidden="1" customHeight="1">
      <c r="A3157" s="286"/>
    </row>
    <row r="3158" spans="1:1" s="287" customFormat="1" ht="12" hidden="1" customHeight="1">
      <c r="A3158" s="286"/>
    </row>
    <row r="3159" spans="1:1" s="287" customFormat="1" ht="12" hidden="1" customHeight="1">
      <c r="A3159" s="286"/>
    </row>
    <row r="3160" spans="1:1" s="287" customFormat="1" ht="12" hidden="1" customHeight="1">
      <c r="A3160" s="286"/>
    </row>
    <row r="3161" spans="1:1" s="287" customFormat="1" ht="12" hidden="1" customHeight="1">
      <c r="A3161" s="286"/>
    </row>
    <row r="3162" spans="1:1" s="287" customFormat="1" ht="12" hidden="1" customHeight="1">
      <c r="A3162" s="286"/>
    </row>
    <row r="3163" spans="1:1" s="287" customFormat="1" ht="12" hidden="1" customHeight="1">
      <c r="A3163" s="286"/>
    </row>
    <row r="3164" spans="1:1" s="287" customFormat="1" ht="12" hidden="1" customHeight="1">
      <c r="A3164" s="286"/>
    </row>
    <row r="3165" spans="1:1" s="287" customFormat="1" ht="12" hidden="1" customHeight="1">
      <c r="A3165" s="286"/>
    </row>
    <row r="3166" spans="1:1" s="287" customFormat="1" ht="12" hidden="1" customHeight="1">
      <c r="A3166" s="286"/>
    </row>
    <row r="3167" spans="1:1" s="287" customFormat="1" ht="12" hidden="1" customHeight="1">
      <c r="A3167" s="286"/>
    </row>
    <row r="3168" spans="1:1" s="287" customFormat="1" ht="12" hidden="1" customHeight="1">
      <c r="A3168" s="286"/>
    </row>
    <row r="3169" spans="1:1" s="287" customFormat="1" ht="12" hidden="1" customHeight="1">
      <c r="A3169" s="286"/>
    </row>
    <row r="3170" spans="1:1" s="287" customFormat="1" ht="12" hidden="1" customHeight="1">
      <c r="A3170" s="286"/>
    </row>
    <row r="3171" spans="1:1" s="287" customFormat="1" ht="12" hidden="1" customHeight="1">
      <c r="A3171" s="286"/>
    </row>
    <row r="3172" spans="1:1" s="287" customFormat="1" ht="12" hidden="1" customHeight="1">
      <c r="A3172" s="286"/>
    </row>
    <row r="3173" spans="1:1" s="287" customFormat="1" ht="12" hidden="1" customHeight="1">
      <c r="A3173" s="286"/>
    </row>
    <row r="3174" spans="1:1" s="287" customFormat="1" ht="12" hidden="1" customHeight="1">
      <c r="A3174" s="286"/>
    </row>
    <row r="3175" spans="1:1" s="287" customFormat="1" ht="12" hidden="1" customHeight="1">
      <c r="A3175" s="286"/>
    </row>
    <row r="3176" spans="1:1" s="287" customFormat="1" ht="12" hidden="1" customHeight="1">
      <c r="A3176" s="286"/>
    </row>
    <row r="3177" spans="1:1" s="287" customFormat="1" ht="12" hidden="1" customHeight="1">
      <c r="A3177" s="286"/>
    </row>
    <row r="3178" spans="1:1" s="287" customFormat="1" ht="12" hidden="1" customHeight="1">
      <c r="A3178" s="286"/>
    </row>
    <row r="3179" spans="1:1" s="287" customFormat="1" ht="12" hidden="1" customHeight="1">
      <c r="A3179" s="286"/>
    </row>
    <row r="3180" spans="1:1" s="287" customFormat="1" ht="12" hidden="1" customHeight="1">
      <c r="A3180" s="286"/>
    </row>
    <row r="3181" spans="1:1" s="287" customFormat="1" ht="12" hidden="1" customHeight="1">
      <c r="A3181" s="286"/>
    </row>
    <row r="3182" spans="1:1" s="287" customFormat="1" ht="12" hidden="1" customHeight="1">
      <c r="A3182" s="286"/>
    </row>
    <row r="3183" spans="1:1" s="287" customFormat="1" ht="12" hidden="1" customHeight="1">
      <c r="A3183" s="286"/>
    </row>
    <row r="3184" spans="1:1" s="287" customFormat="1" ht="12" hidden="1" customHeight="1">
      <c r="A3184" s="286"/>
    </row>
    <row r="3185" spans="1:1" s="287" customFormat="1" ht="12" hidden="1" customHeight="1">
      <c r="A3185" s="286"/>
    </row>
    <row r="3186" spans="1:1" s="287" customFormat="1" ht="12" hidden="1" customHeight="1">
      <c r="A3186" s="286"/>
    </row>
    <row r="3187" spans="1:1" s="287" customFormat="1" ht="12" hidden="1" customHeight="1">
      <c r="A3187" s="286"/>
    </row>
    <row r="3188" spans="1:1" s="287" customFormat="1" ht="12" hidden="1" customHeight="1">
      <c r="A3188" s="286"/>
    </row>
    <row r="3189" spans="1:1" s="287" customFormat="1" ht="12" hidden="1" customHeight="1">
      <c r="A3189" s="286"/>
    </row>
    <row r="3190" spans="1:1" s="287" customFormat="1" ht="12" hidden="1" customHeight="1">
      <c r="A3190" s="286"/>
    </row>
    <row r="3191" spans="1:1" s="287" customFormat="1" ht="12" hidden="1" customHeight="1">
      <c r="A3191" s="286"/>
    </row>
    <row r="3192" spans="1:1" s="287" customFormat="1" ht="12" hidden="1" customHeight="1">
      <c r="A3192" s="286"/>
    </row>
    <row r="3193" spans="1:1" s="287" customFormat="1" ht="12" hidden="1" customHeight="1">
      <c r="A3193" s="286"/>
    </row>
    <row r="3194" spans="1:1" s="287" customFormat="1" ht="12" hidden="1" customHeight="1">
      <c r="A3194" s="286"/>
    </row>
    <row r="3195" spans="1:1" s="287" customFormat="1" ht="12" hidden="1" customHeight="1">
      <c r="A3195" s="286"/>
    </row>
    <row r="3196" spans="1:1" s="287" customFormat="1" ht="12" hidden="1" customHeight="1">
      <c r="A3196" s="286"/>
    </row>
    <row r="3197" spans="1:1" s="287" customFormat="1" ht="12" hidden="1" customHeight="1">
      <c r="A3197" s="286"/>
    </row>
    <row r="3198" spans="1:1" s="287" customFormat="1" ht="12" hidden="1" customHeight="1">
      <c r="A3198" s="286"/>
    </row>
    <row r="3199" spans="1:1" s="287" customFormat="1" ht="12" hidden="1" customHeight="1">
      <c r="A3199" s="286"/>
    </row>
    <row r="3200" spans="1:1" s="287" customFormat="1" ht="12" hidden="1" customHeight="1">
      <c r="A3200" s="286"/>
    </row>
    <row r="3201" spans="1:1" s="287" customFormat="1" ht="12" hidden="1" customHeight="1">
      <c r="A3201" s="286"/>
    </row>
    <row r="3202" spans="1:1" s="287" customFormat="1" ht="12" hidden="1" customHeight="1">
      <c r="A3202" s="286"/>
    </row>
    <row r="3203" spans="1:1" s="287" customFormat="1" ht="12" hidden="1" customHeight="1">
      <c r="A3203" s="286"/>
    </row>
    <row r="3204" spans="1:1" s="287" customFormat="1" ht="12" hidden="1" customHeight="1">
      <c r="A3204" s="286"/>
    </row>
    <row r="3205" spans="1:1" s="287" customFormat="1" ht="12" hidden="1" customHeight="1">
      <c r="A3205" s="286"/>
    </row>
    <row r="3206" spans="1:1" s="287" customFormat="1" ht="12" hidden="1" customHeight="1">
      <c r="A3206" s="286"/>
    </row>
    <row r="3207" spans="1:1" s="287" customFormat="1" ht="12" hidden="1" customHeight="1">
      <c r="A3207" s="286"/>
    </row>
    <row r="3208" spans="1:1" s="287" customFormat="1" ht="12" hidden="1" customHeight="1">
      <c r="A3208" s="286"/>
    </row>
    <row r="3209" spans="1:1" s="287" customFormat="1" ht="12" hidden="1" customHeight="1">
      <c r="A3209" s="286"/>
    </row>
    <row r="3210" spans="1:1" s="287" customFormat="1" ht="12" hidden="1" customHeight="1">
      <c r="A3210" s="286"/>
    </row>
    <row r="3211" spans="1:1" s="287" customFormat="1" ht="12" hidden="1" customHeight="1">
      <c r="A3211" s="286"/>
    </row>
    <row r="3212" spans="1:1" s="287" customFormat="1" ht="12" hidden="1" customHeight="1">
      <c r="A3212" s="286"/>
    </row>
    <row r="3213" spans="1:1" s="287" customFormat="1" ht="12" hidden="1" customHeight="1">
      <c r="A3213" s="286"/>
    </row>
    <row r="3214" spans="1:1" s="287" customFormat="1" ht="12" hidden="1" customHeight="1">
      <c r="A3214" s="286"/>
    </row>
    <row r="3215" spans="1:1" s="287" customFormat="1" ht="12" hidden="1" customHeight="1">
      <c r="A3215" s="286"/>
    </row>
    <row r="3216" spans="1:1" s="287" customFormat="1" ht="12" hidden="1" customHeight="1">
      <c r="A3216" s="286"/>
    </row>
    <row r="3217" spans="1:1" s="287" customFormat="1" ht="12" hidden="1" customHeight="1">
      <c r="A3217" s="286"/>
    </row>
    <row r="3218" spans="1:1" s="287" customFormat="1" ht="12" hidden="1" customHeight="1">
      <c r="A3218" s="286"/>
    </row>
    <row r="3219" spans="1:1" s="287" customFormat="1" ht="12" hidden="1" customHeight="1">
      <c r="A3219" s="286"/>
    </row>
    <row r="3220" spans="1:1" s="287" customFormat="1" ht="12" hidden="1" customHeight="1">
      <c r="A3220" s="286"/>
    </row>
    <row r="3221" spans="1:1" s="287" customFormat="1" ht="12" hidden="1" customHeight="1">
      <c r="A3221" s="286"/>
    </row>
    <row r="3222" spans="1:1" s="287" customFormat="1" ht="12" hidden="1" customHeight="1">
      <c r="A3222" s="286"/>
    </row>
    <row r="3223" spans="1:1" s="287" customFormat="1" ht="12" hidden="1" customHeight="1">
      <c r="A3223" s="286"/>
    </row>
    <row r="3224" spans="1:1" s="287" customFormat="1" ht="12" hidden="1" customHeight="1">
      <c r="A3224" s="286"/>
    </row>
    <row r="3225" spans="1:1" s="287" customFormat="1" ht="12" hidden="1" customHeight="1">
      <c r="A3225" s="286"/>
    </row>
    <row r="3226" spans="1:1" s="287" customFormat="1" ht="12" hidden="1" customHeight="1">
      <c r="A3226" s="286"/>
    </row>
    <row r="3227" spans="1:1" s="287" customFormat="1" ht="12" hidden="1" customHeight="1">
      <c r="A3227" s="286"/>
    </row>
    <row r="3228" spans="1:1" s="287" customFormat="1" ht="12" hidden="1" customHeight="1">
      <c r="A3228" s="286"/>
    </row>
    <row r="3229" spans="1:1" s="287" customFormat="1" ht="12" hidden="1" customHeight="1">
      <c r="A3229" s="286"/>
    </row>
    <row r="3230" spans="1:1" s="287" customFormat="1" ht="12" hidden="1" customHeight="1">
      <c r="A3230" s="286"/>
    </row>
    <row r="3231" spans="1:1" s="287" customFormat="1" ht="12" hidden="1" customHeight="1">
      <c r="A3231" s="286"/>
    </row>
    <row r="3232" spans="1:1" s="287" customFormat="1" ht="12" hidden="1" customHeight="1">
      <c r="A3232" s="286"/>
    </row>
    <row r="3233" spans="1:1" s="287" customFormat="1" ht="12" hidden="1" customHeight="1">
      <c r="A3233" s="286"/>
    </row>
    <row r="3234" spans="1:1" s="287" customFormat="1" ht="12" hidden="1" customHeight="1">
      <c r="A3234" s="286"/>
    </row>
    <row r="3235" spans="1:1" s="287" customFormat="1" ht="12" hidden="1" customHeight="1">
      <c r="A3235" s="286"/>
    </row>
    <row r="3236" spans="1:1" s="287" customFormat="1" ht="12" hidden="1" customHeight="1">
      <c r="A3236" s="286"/>
    </row>
    <row r="3237" spans="1:1" s="287" customFormat="1" ht="12" hidden="1" customHeight="1">
      <c r="A3237" s="286"/>
    </row>
    <row r="3238" spans="1:1" s="287" customFormat="1" ht="12" hidden="1" customHeight="1">
      <c r="A3238" s="286"/>
    </row>
    <row r="3239" spans="1:1" s="287" customFormat="1" ht="12" hidden="1" customHeight="1">
      <c r="A3239" s="286"/>
    </row>
    <row r="3240" spans="1:1" s="287" customFormat="1" ht="12" hidden="1" customHeight="1">
      <c r="A3240" s="286"/>
    </row>
    <row r="3241" spans="1:1" s="287" customFormat="1" ht="12" hidden="1" customHeight="1">
      <c r="A3241" s="286"/>
    </row>
    <row r="3242" spans="1:1" s="287" customFormat="1" ht="12" hidden="1" customHeight="1">
      <c r="A3242" s="286"/>
    </row>
    <row r="3243" spans="1:1" s="287" customFormat="1" ht="12" hidden="1" customHeight="1">
      <c r="A3243" s="286"/>
    </row>
    <row r="3244" spans="1:1" s="287" customFormat="1" ht="12" hidden="1" customHeight="1">
      <c r="A3244" s="286"/>
    </row>
    <row r="3245" spans="1:1" s="287" customFormat="1" ht="12" hidden="1" customHeight="1">
      <c r="A3245" s="286"/>
    </row>
    <row r="3246" spans="1:1" s="287" customFormat="1" ht="12" hidden="1" customHeight="1">
      <c r="A3246" s="286"/>
    </row>
    <row r="3247" spans="1:1" s="287" customFormat="1" ht="12" hidden="1" customHeight="1">
      <c r="A3247" s="286"/>
    </row>
    <row r="3248" spans="1:1" s="287" customFormat="1" ht="12" hidden="1" customHeight="1">
      <c r="A3248" s="286"/>
    </row>
    <row r="3249" spans="1:1" s="287" customFormat="1" ht="12" hidden="1" customHeight="1">
      <c r="A3249" s="286"/>
    </row>
    <row r="3250" spans="1:1" s="287" customFormat="1" ht="12" hidden="1" customHeight="1">
      <c r="A3250" s="286"/>
    </row>
    <row r="3251" spans="1:1" s="287" customFormat="1" ht="12" hidden="1" customHeight="1">
      <c r="A3251" s="286"/>
    </row>
    <row r="3252" spans="1:1" s="287" customFormat="1" ht="12" hidden="1" customHeight="1">
      <c r="A3252" s="286"/>
    </row>
    <row r="3253" spans="1:1" s="287" customFormat="1" ht="12" hidden="1" customHeight="1">
      <c r="A3253" s="286"/>
    </row>
    <row r="3254" spans="1:1" s="287" customFormat="1" ht="12" hidden="1" customHeight="1">
      <c r="A3254" s="286"/>
    </row>
    <row r="3255" spans="1:1" s="287" customFormat="1" ht="12" hidden="1" customHeight="1">
      <c r="A3255" s="286"/>
    </row>
    <row r="3256" spans="1:1" s="287" customFormat="1" ht="12" hidden="1" customHeight="1">
      <c r="A3256" s="286"/>
    </row>
    <row r="3257" spans="1:1" s="287" customFormat="1" ht="12" hidden="1" customHeight="1">
      <c r="A3257" s="286"/>
    </row>
    <row r="3258" spans="1:1" s="287" customFormat="1" ht="12" hidden="1" customHeight="1">
      <c r="A3258" s="286"/>
    </row>
    <row r="3259" spans="1:1" s="287" customFormat="1" ht="12" hidden="1" customHeight="1">
      <c r="A3259" s="286"/>
    </row>
    <row r="3260" spans="1:1" s="287" customFormat="1" ht="12" hidden="1" customHeight="1">
      <c r="A3260" s="286"/>
    </row>
    <row r="3261" spans="1:1" s="287" customFormat="1" ht="12" hidden="1" customHeight="1">
      <c r="A3261" s="286"/>
    </row>
    <row r="3262" spans="1:1" s="287" customFormat="1" ht="12" hidden="1" customHeight="1">
      <c r="A3262" s="286"/>
    </row>
    <row r="3263" spans="1:1" s="287" customFormat="1" ht="12" hidden="1" customHeight="1">
      <c r="A3263" s="286"/>
    </row>
    <row r="3264" spans="1:1" s="287" customFormat="1" ht="12" hidden="1" customHeight="1">
      <c r="A3264" s="286"/>
    </row>
    <row r="3265" spans="1:1" s="287" customFormat="1" ht="12" hidden="1" customHeight="1">
      <c r="A3265" s="286"/>
    </row>
    <row r="3266" spans="1:1" s="287" customFormat="1" ht="12" hidden="1" customHeight="1">
      <c r="A3266" s="286"/>
    </row>
    <row r="3267" spans="1:1" s="287" customFormat="1" ht="12" hidden="1" customHeight="1">
      <c r="A3267" s="286"/>
    </row>
    <row r="3268" spans="1:1" s="287" customFormat="1" ht="12" hidden="1" customHeight="1">
      <c r="A3268" s="286"/>
    </row>
    <row r="3269" spans="1:1" s="287" customFormat="1" ht="12" hidden="1" customHeight="1">
      <c r="A3269" s="286"/>
    </row>
    <row r="3270" spans="1:1" s="287" customFormat="1" ht="12" hidden="1" customHeight="1">
      <c r="A3270" s="286"/>
    </row>
    <row r="3271" spans="1:1" s="287" customFormat="1" ht="12" hidden="1" customHeight="1">
      <c r="A3271" s="286"/>
    </row>
    <row r="3272" spans="1:1" s="287" customFormat="1" ht="12" hidden="1" customHeight="1">
      <c r="A3272" s="286"/>
    </row>
    <row r="3273" spans="1:1" s="287" customFormat="1" ht="12" hidden="1" customHeight="1">
      <c r="A3273" s="286"/>
    </row>
    <row r="3274" spans="1:1" s="287" customFormat="1" ht="12" hidden="1" customHeight="1">
      <c r="A3274" s="286"/>
    </row>
    <row r="3275" spans="1:1" s="287" customFormat="1" ht="12" hidden="1" customHeight="1">
      <c r="A3275" s="286"/>
    </row>
    <row r="3276" spans="1:1" s="287" customFormat="1" ht="12" hidden="1" customHeight="1">
      <c r="A3276" s="286"/>
    </row>
    <row r="3277" spans="1:1" s="287" customFormat="1" ht="12" hidden="1" customHeight="1">
      <c r="A3277" s="286"/>
    </row>
    <row r="3278" spans="1:1" s="287" customFormat="1" ht="12" hidden="1" customHeight="1">
      <c r="A3278" s="286"/>
    </row>
    <row r="3279" spans="1:1" s="287" customFormat="1" ht="12" hidden="1" customHeight="1">
      <c r="A3279" s="286"/>
    </row>
    <row r="3280" spans="1:1" s="287" customFormat="1" ht="12" hidden="1" customHeight="1">
      <c r="A3280" s="286"/>
    </row>
    <row r="3281" spans="1:1" s="287" customFormat="1" ht="12" hidden="1" customHeight="1">
      <c r="A3281" s="286"/>
    </row>
    <row r="3282" spans="1:1" s="287" customFormat="1" ht="12" hidden="1" customHeight="1">
      <c r="A3282" s="286"/>
    </row>
    <row r="3283" spans="1:1" s="287" customFormat="1" ht="12" hidden="1" customHeight="1">
      <c r="A3283" s="286"/>
    </row>
    <row r="3284" spans="1:1" s="287" customFormat="1" ht="12" hidden="1" customHeight="1">
      <c r="A3284" s="286"/>
    </row>
    <row r="3285" spans="1:1" s="287" customFormat="1" ht="12" hidden="1" customHeight="1">
      <c r="A3285" s="286"/>
    </row>
    <row r="3286" spans="1:1" s="287" customFormat="1" ht="12" hidden="1" customHeight="1">
      <c r="A3286" s="286"/>
    </row>
    <row r="3287" spans="1:1" s="287" customFormat="1" ht="12" hidden="1" customHeight="1">
      <c r="A3287" s="286"/>
    </row>
    <row r="3288" spans="1:1" s="287" customFormat="1" ht="12" hidden="1" customHeight="1">
      <c r="A3288" s="286"/>
    </row>
    <row r="3289" spans="1:1" s="287" customFormat="1" ht="12" hidden="1" customHeight="1">
      <c r="A3289" s="286"/>
    </row>
    <row r="3290" spans="1:1" s="287" customFormat="1" ht="12" hidden="1" customHeight="1">
      <c r="A3290" s="286"/>
    </row>
    <row r="3291" spans="1:1" s="287" customFormat="1" ht="12" hidden="1" customHeight="1">
      <c r="A3291" s="286"/>
    </row>
    <row r="3292" spans="1:1" s="287" customFormat="1" ht="12" hidden="1" customHeight="1">
      <c r="A3292" s="286"/>
    </row>
    <row r="3293" spans="1:1" s="287" customFormat="1" ht="12" hidden="1" customHeight="1">
      <c r="A3293" s="286"/>
    </row>
    <row r="3294" spans="1:1" s="287" customFormat="1" ht="12" hidden="1" customHeight="1">
      <c r="A3294" s="286"/>
    </row>
    <row r="3295" spans="1:1" s="287" customFormat="1" ht="12" hidden="1" customHeight="1">
      <c r="A3295" s="286"/>
    </row>
    <row r="3296" spans="1:1" s="287" customFormat="1" ht="12" hidden="1" customHeight="1">
      <c r="A3296" s="286"/>
    </row>
    <row r="3297" spans="1:1" s="287" customFormat="1" ht="12" hidden="1" customHeight="1">
      <c r="A3297" s="286"/>
    </row>
    <row r="3298" spans="1:1" s="287" customFormat="1" ht="12" hidden="1" customHeight="1">
      <c r="A3298" s="286"/>
    </row>
    <row r="3299" spans="1:1" s="287" customFormat="1" ht="12" hidden="1" customHeight="1">
      <c r="A3299" s="286"/>
    </row>
    <row r="3300" spans="1:1" s="287" customFormat="1" ht="12" hidden="1" customHeight="1">
      <c r="A3300" s="286"/>
    </row>
    <row r="3301" spans="1:1" s="287" customFormat="1" ht="12" hidden="1" customHeight="1">
      <c r="A3301" s="286"/>
    </row>
    <row r="3302" spans="1:1" s="287" customFormat="1" ht="12" hidden="1" customHeight="1">
      <c r="A3302" s="286"/>
    </row>
    <row r="3303" spans="1:1" s="287" customFormat="1" ht="12" hidden="1" customHeight="1">
      <c r="A3303" s="286"/>
    </row>
    <row r="3304" spans="1:1" s="287" customFormat="1" ht="12" hidden="1" customHeight="1">
      <c r="A3304" s="286"/>
    </row>
    <row r="3305" spans="1:1" s="287" customFormat="1" ht="12" hidden="1" customHeight="1">
      <c r="A3305" s="286"/>
    </row>
    <row r="3306" spans="1:1" s="287" customFormat="1" ht="12" hidden="1" customHeight="1">
      <c r="A3306" s="286"/>
    </row>
    <row r="3307" spans="1:1" s="287" customFormat="1" ht="12" hidden="1" customHeight="1">
      <c r="A3307" s="286"/>
    </row>
    <row r="3308" spans="1:1" s="287" customFormat="1" ht="12" hidden="1" customHeight="1">
      <c r="A3308" s="286"/>
    </row>
    <row r="3309" spans="1:1" s="287" customFormat="1" ht="12" hidden="1" customHeight="1">
      <c r="A3309" s="286"/>
    </row>
    <row r="3310" spans="1:1" s="287" customFormat="1" ht="12" hidden="1" customHeight="1">
      <c r="A3310" s="286"/>
    </row>
    <row r="3311" spans="1:1" s="287" customFormat="1" ht="12" hidden="1" customHeight="1">
      <c r="A3311" s="286"/>
    </row>
    <row r="3312" spans="1:1" s="287" customFormat="1" ht="12" hidden="1" customHeight="1">
      <c r="A3312" s="286"/>
    </row>
    <row r="3313" spans="1:1" s="287" customFormat="1" ht="12" hidden="1" customHeight="1">
      <c r="A3313" s="286"/>
    </row>
    <row r="3314" spans="1:1" s="287" customFormat="1" ht="12" hidden="1" customHeight="1">
      <c r="A3314" s="286"/>
    </row>
    <row r="3315" spans="1:1" s="287" customFormat="1" ht="12" hidden="1" customHeight="1">
      <c r="A3315" s="286"/>
    </row>
    <row r="3316" spans="1:1" s="287" customFormat="1" ht="12" hidden="1" customHeight="1">
      <c r="A3316" s="286"/>
    </row>
    <row r="3317" spans="1:1" s="287" customFormat="1" ht="12" hidden="1" customHeight="1">
      <c r="A3317" s="286"/>
    </row>
    <row r="3318" spans="1:1" s="287" customFormat="1" ht="12" hidden="1" customHeight="1">
      <c r="A3318" s="286"/>
    </row>
    <row r="3319" spans="1:1" s="287" customFormat="1" ht="12" hidden="1" customHeight="1">
      <c r="A3319" s="286"/>
    </row>
    <row r="3320" spans="1:1" s="287" customFormat="1" ht="12" hidden="1" customHeight="1">
      <c r="A3320" s="286"/>
    </row>
    <row r="3321" spans="1:1" s="287" customFormat="1" ht="12" hidden="1" customHeight="1">
      <c r="A3321" s="286"/>
    </row>
    <row r="3322" spans="1:1" s="287" customFormat="1" ht="12" hidden="1" customHeight="1">
      <c r="A3322" s="286"/>
    </row>
    <row r="3323" spans="1:1" s="287" customFormat="1" ht="12" hidden="1" customHeight="1">
      <c r="A3323" s="286"/>
    </row>
    <row r="3324" spans="1:1" s="287" customFormat="1" ht="12" hidden="1" customHeight="1">
      <c r="A3324" s="286"/>
    </row>
    <row r="3325" spans="1:1" s="287" customFormat="1" ht="12" hidden="1" customHeight="1">
      <c r="A3325" s="286"/>
    </row>
    <row r="3326" spans="1:1" s="287" customFormat="1" ht="12" hidden="1" customHeight="1">
      <c r="A3326" s="286"/>
    </row>
    <row r="3327" spans="1:1" s="287" customFormat="1" ht="12" hidden="1" customHeight="1">
      <c r="A3327" s="286"/>
    </row>
    <row r="3328" spans="1:1" s="287" customFormat="1" ht="12" hidden="1" customHeight="1">
      <c r="A3328" s="286"/>
    </row>
    <row r="3329" spans="1:1" s="287" customFormat="1" ht="12" hidden="1" customHeight="1">
      <c r="A3329" s="286"/>
    </row>
    <row r="3330" spans="1:1" s="287" customFormat="1" ht="12" hidden="1" customHeight="1">
      <c r="A3330" s="286"/>
    </row>
    <row r="3331" spans="1:1" s="287" customFormat="1" ht="12" hidden="1" customHeight="1">
      <c r="A3331" s="286"/>
    </row>
    <row r="3332" spans="1:1" s="287" customFormat="1" ht="12" hidden="1" customHeight="1">
      <c r="A3332" s="286"/>
    </row>
    <row r="3333" spans="1:1" s="287" customFormat="1" ht="12" hidden="1" customHeight="1">
      <c r="A3333" s="286"/>
    </row>
    <row r="3334" spans="1:1" s="287" customFormat="1" ht="12" hidden="1" customHeight="1">
      <c r="A3334" s="286"/>
    </row>
    <row r="3335" spans="1:1" s="287" customFormat="1" ht="12" hidden="1" customHeight="1">
      <c r="A3335" s="286"/>
    </row>
    <row r="3336" spans="1:1" s="287" customFormat="1" ht="12" hidden="1" customHeight="1">
      <c r="A3336" s="286"/>
    </row>
    <row r="3337" spans="1:1" s="287" customFormat="1" ht="12" hidden="1" customHeight="1">
      <c r="A3337" s="286"/>
    </row>
    <row r="3338" spans="1:1" s="287" customFormat="1" ht="12" hidden="1" customHeight="1">
      <c r="A3338" s="286"/>
    </row>
    <row r="3339" spans="1:1" s="287" customFormat="1" ht="12" hidden="1" customHeight="1">
      <c r="A3339" s="286"/>
    </row>
    <row r="3340" spans="1:1" s="287" customFormat="1" ht="12" hidden="1" customHeight="1">
      <c r="A3340" s="286"/>
    </row>
    <row r="3341" spans="1:1" s="287" customFormat="1" ht="12" hidden="1" customHeight="1">
      <c r="A3341" s="286"/>
    </row>
    <row r="3342" spans="1:1" s="287" customFormat="1" ht="12" hidden="1" customHeight="1">
      <c r="A3342" s="286"/>
    </row>
    <row r="3343" spans="1:1" s="287" customFormat="1" ht="12" hidden="1" customHeight="1">
      <c r="A3343" s="286"/>
    </row>
    <row r="3344" spans="1:1" s="287" customFormat="1" ht="12" hidden="1" customHeight="1">
      <c r="A3344" s="286"/>
    </row>
    <row r="3345" spans="1:1" s="287" customFormat="1" ht="12" hidden="1" customHeight="1">
      <c r="A3345" s="286"/>
    </row>
    <row r="3346" spans="1:1" s="287" customFormat="1" ht="12" hidden="1" customHeight="1">
      <c r="A3346" s="286"/>
    </row>
    <row r="3347" spans="1:1" s="287" customFormat="1" ht="12" hidden="1" customHeight="1">
      <c r="A3347" s="286"/>
    </row>
    <row r="3348" spans="1:1" s="287" customFormat="1" ht="12" hidden="1" customHeight="1">
      <c r="A3348" s="286"/>
    </row>
    <row r="3349" spans="1:1" s="287" customFormat="1" ht="12" hidden="1" customHeight="1">
      <c r="A3349" s="286"/>
    </row>
    <row r="3350" spans="1:1" s="287" customFormat="1" ht="12" hidden="1" customHeight="1">
      <c r="A3350" s="286"/>
    </row>
    <row r="3351" spans="1:1" s="287" customFormat="1" ht="12" hidden="1" customHeight="1">
      <c r="A3351" s="286"/>
    </row>
    <row r="3352" spans="1:1" s="287" customFormat="1" ht="12" hidden="1" customHeight="1">
      <c r="A3352" s="286"/>
    </row>
    <row r="3353" spans="1:1" s="287" customFormat="1" ht="12" hidden="1" customHeight="1">
      <c r="A3353" s="286"/>
    </row>
    <row r="3354" spans="1:1" s="287" customFormat="1" ht="12" hidden="1" customHeight="1">
      <c r="A3354" s="286"/>
    </row>
    <row r="3355" spans="1:1" s="287" customFormat="1" ht="12" hidden="1" customHeight="1">
      <c r="A3355" s="286"/>
    </row>
    <row r="3356" spans="1:1" s="287" customFormat="1" ht="12" hidden="1" customHeight="1">
      <c r="A3356" s="286"/>
    </row>
    <row r="3357" spans="1:1" s="287" customFormat="1" ht="12" hidden="1" customHeight="1">
      <c r="A3357" s="286"/>
    </row>
    <row r="3358" spans="1:1" s="287" customFormat="1" ht="12" hidden="1" customHeight="1">
      <c r="A3358" s="286"/>
    </row>
    <row r="3359" spans="1:1" s="287" customFormat="1" ht="12" hidden="1" customHeight="1">
      <c r="A3359" s="286"/>
    </row>
    <row r="3360" spans="1:1" s="287" customFormat="1" ht="12" hidden="1" customHeight="1">
      <c r="A3360" s="286"/>
    </row>
    <row r="3361" spans="1:1" s="287" customFormat="1" ht="12" hidden="1" customHeight="1">
      <c r="A3361" s="286"/>
    </row>
    <row r="3362" spans="1:1" s="287" customFormat="1" ht="12" hidden="1" customHeight="1">
      <c r="A3362" s="286"/>
    </row>
    <row r="3363" spans="1:1" s="287" customFormat="1" ht="12" hidden="1" customHeight="1">
      <c r="A3363" s="286"/>
    </row>
    <row r="3364" spans="1:1" s="287" customFormat="1" ht="12" hidden="1" customHeight="1">
      <c r="A3364" s="286"/>
    </row>
    <row r="3365" spans="1:1" s="287" customFormat="1" ht="12" hidden="1" customHeight="1">
      <c r="A3365" s="286"/>
    </row>
    <row r="3366" spans="1:1" s="287" customFormat="1" ht="12" hidden="1" customHeight="1">
      <c r="A3366" s="286"/>
    </row>
    <row r="3367" spans="1:1" s="287" customFormat="1" ht="12" hidden="1" customHeight="1">
      <c r="A3367" s="286"/>
    </row>
    <row r="3368" spans="1:1" s="287" customFormat="1" ht="12" hidden="1" customHeight="1">
      <c r="A3368" s="286"/>
    </row>
    <row r="3369" spans="1:1" s="287" customFormat="1" ht="12" hidden="1" customHeight="1">
      <c r="A3369" s="286"/>
    </row>
    <row r="3370" spans="1:1" s="287" customFormat="1" ht="12" hidden="1" customHeight="1">
      <c r="A3370" s="286"/>
    </row>
    <row r="3371" spans="1:1" s="287" customFormat="1" ht="12" hidden="1" customHeight="1">
      <c r="A3371" s="286"/>
    </row>
    <row r="3372" spans="1:1" s="287" customFormat="1" ht="12" hidden="1" customHeight="1">
      <c r="A3372" s="286"/>
    </row>
    <row r="3373" spans="1:1" s="287" customFormat="1" ht="12" hidden="1" customHeight="1">
      <c r="A3373" s="286"/>
    </row>
    <row r="3374" spans="1:1" s="287" customFormat="1" ht="12" hidden="1" customHeight="1">
      <c r="A3374" s="286"/>
    </row>
    <row r="3375" spans="1:1" s="287" customFormat="1" ht="12" hidden="1" customHeight="1">
      <c r="A3375" s="286"/>
    </row>
    <row r="3376" spans="1:1" s="287" customFormat="1" ht="12" hidden="1" customHeight="1">
      <c r="A3376" s="286"/>
    </row>
    <row r="3377" spans="1:1" s="287" customFormat="1" ht="12" hidden="1" customHeight="1">
      <c r="A3377" s="286"/>
    </row>
    <row r="3378" spans="1:1" s="287" customFormat="1" ht="12" hidden="1" customHeight="1">
      <c r="A3378" s="286"/>
    </row>
    <row r="3379" spans="1:1" s="287" customFormat="1" ht="12" hidden="1" customHeight="1">
      <c r="A3379" s="286"/>
    </row>
    <row r="3380" spans="1:1" s="287" customFormat="1" ht="12" hidden="1" customHeight="1">
      <c r="A3380" s="286"/>
    </row>
    <row r="3381" spans="1:1" s="287" customFormat="1" ht="12" hidden="1" customHeight="1">
      <c r="A3381" s="286"/>
    </row>
    <row r="3382" spans="1:1" s="287" customFormat="1" ht="12" hidden="1" customHeight="1">
      <c r="A3382" s="286"/>
    </row>
    <row r="3383" spans="1:1" s="287" customFormat="1" ht="12" hidden="1" customHeight="1">
      <c r="A3383" s="286"/>
    </row>
    <row r="3384" spans="1:1" s="287" customFormat="1" ht="12" hidden="1" customHeight="1">
      <c r="A3384" s="286"/>
    </row>
    <row r="3385" spans="1:1" s="287" customFormat="1" ht="12" hidden="1" customHeight="1">
      <c r="A3385" s="286"/>
    </row>
    <row r="3386" spans="1:1" s="287" customFormat="1" ht="12" hidden="1" customHeight="1">
      <c r="A3386" s="286"/>
    </row>
    <row r="3387" spans="1:1" s="287" customFormat="1" ht="12" hidden="1" customHeight="1">
      <c r="A3387" s="286"/>
    </row>
    <row r="3388" spans="1:1" s="287" customFormat="1" ht="12" hidden="1" customHeight="1">
      <c r="A3388" s="286"/>
    </row>
    <row r="3389" spans="1:1" s="287" customFormat="1" ht="12" hidden="1" customHeight="1">
      <c r="A3389" s="286"/>
    </row>
    <row r="3390" spans="1:1" s="287" customFormat="1" ht="12" hidden="1" customHeight="1">
      <c r="A3390" s="286"/>
    </row>
    <row r="3391" spans="1:1" s="287" customFormat="1" ht="12" hidden="1" customHeight="1">
      <c r="A3391" s="286"/>
    </row>
    <row r="3392" spans="1:1" s="287" customFormat="1" ht="12" hidden="1" customHeight="1">
      <c r="A3392" s="286"/>
    </row>
    <row r="3393" spans="1:1" s="287" customFormat="1" ht="12" hidden="1" customHeight="1">
      <c r="A3393" s="286"/>
    </row>
    <row r="3394" spans="1:1" s="287" customFormat="1" ht="12" hidden="1" customHeight="1">
      <c r="A3394" s="286"/>
    </row>
    <row r="3395" spans="1:1" s="287" customFormat="1" ht="12" hidden="1" customHeight="1">
      <c r="A3395" s="286"/>
    </row>
    <row r="3396" spans="1:1" s="287" customFormat="1" ht="12" hidden="1" customHeight="1">
      <c r="A3396" s="286"/>
    </row>
    <row r="3397" spans="1:1" s="287" customFormat="1" ht="12" hidden="1" customHeight="1">
      <c r="A3397" s="286"/>
    </row>
    <row r="3398" spans="1:1" s="287" customFormat="1" ht="12" hidden="1" customHeight="1">
      <c r="A3398" s="286"/>
    </row>
    <row r="3399" spans="1:1" s="287" customFormat="1" ht="12" hidden="1" customHeight="1">
      <c r="A3399" s="286"/>
    </row>
    <row r="3400" spans="1:1" s="287" customFormat="1" ht="12" hidden="1" customHeight="1">
      <c r="A3400" s="286"/>
    </row>
    <row r="3401" spans="1:1" s="287" customFormat="1" ht="12" hidden="1" customHeight="1">
      <c r="A3401" s="286"/>
    </row>
    <row r="3402" spans="1:1" s="287" customFormat="1" ht="12" hidden="1" customHeight="1">
      <c r="A3402" s="286"/>
    </row>
    <row r="3403" spans="1:1" s="287" customFormat="1" ht="12" hidden="1" customHeight="1">
      <c r="A3403" s="286"/>
    </row>
    <row r="3404" spans="1:1" s="287" customFormat="1" ht="12" hidden="1" customHeight="1">
      <c r="A3404" s="286"/>
    </row>
    <row r="3405" spans="1:1" s="287" customFormat="1" ht="12" hidden="1" customHeight="1">
      <c r="A3405" s="286"/>
    </row>
    <row r="3406" spans="1:1" s="287" customFormat="1" ht="12" hidden="1" customHeight="1">
      <c r="A3406" s="286"/>
    </row>
    <row r="3407" spans="1:1" s="287" customFormat="1" ht="12" hidden="1" customHeight="1">
      <c r="A3407" s="286"/>
    </row>
    <row r="3408" spans="1:1" s="287" customFormat="1" ht="12" hidden="1" customHeight="1">
      <c r="A3408" s="286"/>
    </row>
    <row r="3409" spans="1:1" s="287" customFormat="1" ht="12" hidden="1" customHeight="1">
      <c r="A3409" s="286"/>
    </row>
    <row r="3410" spans="1:1" s="287" customFormat="1" ht="12" hidden="1" customHeight="1">
      <c r="A3410" s="286"/>
    </row>
    <row r="3411" spans="1:1" s="287" customFormat="1" ht="12" hidden="1" customHeight="1">
      <c r="A3411" s="286"/>
    </row>
    <row r="3412" spans="1:1" s="287" customFormat="1" ht="12" hidden="1" customHeight="1">
      <c r="A3412" s="286"/>
    </row>
    <row r="3413" spans="1:1" s="287" customFormat="1" ht="12" hidden="1" customHeight="1">
      <c r="A3413" s="286"/>
    </row>
    <row r="3414" spans="1:1" s="287" customFormat="1" ht="12" hidden="1" customHeight="1">
      <c r="A3414" s="286"/>
    </row>
    <row r="3415" spans="1:1" s="287" customFormat="1" ht="12" hidden="1" customHeight="1">
      <c r="A3415" s="286"/>
    </row>
    <row r="3416" spans="1:1" s="287" customFormat="1" ht="12" hidden="1" customHeight="1">
      <c r="A3416" s="286"/>
    </row>
    <row r="3417" spans="1:1" s="287" customFormat="1" ht="12" hidden="1" customHeight="1">
      <c r="A3417" s="286"/>
    </row>
    <row r="3418" spans="1:1" s="287" customFormat="1" ht="12" hidden="1" customHeight="1">
      <c r="A3418" s="286"/>
    </row>
    <row r="3419" spans="1:1" s="287" customFormat="1" ht="12" hidden="1" customHeight="1">
      <c r="A3419" s="286"/>
    </row>
    <row r="3420" spans="1:1" s="287" customFormat="1" ht="12" hidden="1" customHeight="1">
      <c r="A3420" s="286"/>
    </row>
    <row r="3421" spans="1:1" s="287" customFormat="1" ht="12" hidden="1" customHeight="1">
      <c r="A3421" s="286"/>
    </row>
    <row r="3422" spans="1:1" s="287" customFormat="1" ht="12" hidden="1" customHeight="1">
      <c r="A3422" s="286"/>
    </row>
    <row r="3423" spans="1:1" s="287" customFormat="1" ht="12" hidden="1" customHeight="1">
      <c r="A3423" s="286"/>
    </row>
    <row r="3424" spans="1:1" s="287" customFormat="1" ht="12" hidden="1" customHeight="1">
      <c r="A3424" s="286"/>
    </row>
    <row r="3425" spans="1:1" s="287" customFormat="1" ht="12" hidden="1" customHeight="1">
      <c r="A3425" s="286"/>
    </row>
    <row r="3426" spans="1:1" s="287" customFormat="1" ht="12" hidden="1" customHeight="1">
      <c r="A3426" s="286"/>
    </row>
    <row r="3427" spans="1:1" s="287" customFormat="1" ht="12" hidden="1" customHeight="1">
      <c r="A3427" s="286"/>
    </row>
    <row r="3428" spans="1:1" s="287" customFormat="1" ht="12" hidden="1" customHeight="1">
      <c r="A3428" s="286"/>
    </row>
    <row r="3429" spans="1:1" s="287" customFormat="1" ht="12" hidden="1" customHeight="1">
      <c r="A3429" s="286"/>
    </row>
    <row r="3430" spans="1:1" s="287" customFormat="1" ht="12" hidden="1" customHeight="1">
      <c r="A3430" s="286"/>
    </row>
    <row r="3431" spans="1:1" s="287" customFormat="1" ht="12" hidden="1" customHeight="1">
      <c r="A3431" s="286"/>
    </row>
    <row r="3432" spans="1:1" s="287" customFormat="1" ht="12" hidden="1" customHeight="1">
      <c r="A3432" s="286"/>
    </row>
    <row r="3433" spans="1:1" s="287" customFormat="1" ht="12" hidden="1" customHeight="1">
      <c r="A3433" s="286"/>
    </row>
    <row r="3434" spans="1:1" s="287" customFormat="1" ht="12" hidden="1" customHeight="1">
      <c r="A3434" s="286"/>
    </row>
    <row r="3435" spans="1:1" s="287" customFormat="1" ht="12" hidden="1" customHeight="1">
      <c r="A3435" s="286"/>
    </row>
    <row r="3436" spans="1:1" s="287" customFormat="1" ht="12" hidden="1" customHeight="1">
      <c r="A3436" s="286"/>
    </row>
    <row r="3437" spans="1:1" s="287" customFormat="1" ht="12" hidden="1" customHeight="1">
      <c r="A3437" s="286"/>
    </row>
    <row r="3438" spans="1:1" s="287" customFormat="1" ht="12" hidden="1" customHeight="1">
      <c r="A3438" s="286"/>
    </row>
    <row r="3439" spans="1:1" s="287" customFormat="1" ht="12" hidden="1" customHeight="1">
      <c r="A3439" s="286"/>
    </row>
    <row r="3440" spans="1:1" s="287" customFormat="1" ht="12" hidden="1" customHeight="1">
      <c r="A3440" s="286"/>
    </row>
    <row r="3441" spans="1:1" s="287" customFormat="1" ht="12" hidden="1" customHeight="1">
      <c r="A3441" s="286"/>
    </row>
    <row r="3442" spans="1:1" s="287" customFormat="1" ht="12" hidden="1" customHeight="1">
      <c r="A3442" s="286"/>
    </row>
    <row r="3443" spans="1:1" s="287" customFormat="1" ht="12" hidden="1" customHeight="1">
      <c r="A3443" s="286"/>
    </row>
    <row r="3444" spans="1:1" s="287" customFormat="1" ht="12" hidden="1" customHeight="1">
      <c r="A3444" s="286"/>
    </row>
    <row r="3445" spans="1:1" s="287" customFormat="1" ht="12" hidden="1" customHeight="1">
      <c r="A3445" s="286"/>
    </row>
    <row r="3446" spans="1:1" s="287" customFormat="1" ht="12" hidden="1" customHeight="1">
      <c r="A3446" s="286"/>
    </row>
    <row r="3447" spans="1:1" s="287" customFormat="1" ht="12" hidden="1" customHeight="1">
      <c r="A3447" s="286"/>
    </row>
    <row r="3448" spans="1:1" s="287" customFormat="1" ht="12" hidden="1" customHeight="1">
      <c r="A3448" s="286"/>
    </row>
    <row r="3449" spans="1:1" s="287" customFormat="1" ht="12" hidden="1" customHeight="1">
      <c r="A3449" s="286"/>
    </row>
    <row r="3450" spans="1:1" s="287" customFormat="1" ht="12" hidden="1" customHeight="1">
      <c r="A3450" s="286"/>
    </row>
    <row r="3451" spans="1:1" s="287" customFormat="1" ht="12" hidden="1" customHeight="1">
      <c r="A3451" s="286"/>
    </row>
    <row r="3452" spans="1:1" s="287" customFormat="1" ht="12" hidden="1" customHeight="1">
      <c r="A3452" s="286"/>
    </row>
    <row r="3453" spans="1:1" s="287" customFormat="1" ht="12" hidden="1" customHeight="1">
      <c r="A3453" s="286"/>
    </row>
    <row r="3454" spans="1:1" s="287" customFormat="1" ht="12" hidden="1" customHeight="1">
      <c r="A3454" s="286"/>
    </row>
    <row r="3455" spans="1:1" s="287" customFormat="1" ht="12" hidden="1" customHeight="1">
      <c r="A3455" s="286"/>
    </row>
    <row r="3456" spans="1:1" s="287" customFormat="1" ht="12" hidden="1" customHeight="1">
      <c r="A3456" s="286"/>
    </row>
    <row r="3457" spans="1:1" s="287" customFormat="1" ht="12" hidden="1" customHeight="1">
      <c r="A3457" s="286"/>
    </row>
    <row r="3458" spans="1:1" s="287" customFormat="1" ht="12" hidden="1" customHeight="1">
      <c r="A3458" s="286"/>
    </row>
    <row r="3459" spans="1:1" s="287" customFormat="1" ht="12" hidden="1" customHeight="1">
      <c r="A3459" s="286"/>
    </row>
    <row r="3460" spans="1:1" s="287" customFormat="1" ht="12" hidden="1" customHeight="1">
      <c r="A3460" s="286"/>
    </row>
    <row r="3461" spans="1:1" s="287" customFormat="1" ht="12" hidden="1" customHeight="1">
      <c r="A3461" s="286"/>
    </row>
    <row r="3462" spans="1:1" s="287" customFormat="1" ht="12" hidden="1" customHeight="1">
      <c r="A3462" s="286"/>
    </row>
    <row r="3463" spans="1:1" s="287" customFormat="1" ht="12" hidden="1" customHeight="1">
      <c r="A3463" s="286"/>
    </row>
    <row r="3464" spans="1:1" s="287" customFormat="1" ht="12" hidden="1" customHeight="1">
      <c r="A3464" s="286"/>
    </row>
    <row r="3465" spans="1:1" s="287" customFormat="1" ht="12" hidden="1" customHeight="1">
      <c r="A3465" s="286"/>
    </row>
    <row r="3466" spans="1:1" s="287" customFormat="1" ht="12" hidden="1" customHeight="1">
      <c r="A3466" s="286"/>
    </row>
    <row r="3467" spans="1:1" s="287" customFormat="1" ht="12" hidden="1" customHeight="1">
      <c r="A3467" s="286"/>
    </row>
    <row r="3468" spans="1:1" s="287" customFormat="1" ht="12" hidden="1" customHeight="1">
      <c r="A3468" s="286"/>
    </row>
    <row r="3469" spans="1:1" s="287" customFormat="1" ht="12" hidden="1" customHeight="1">
      <c r="A3469" s="286"/>
    </row>
    <row r="3470" spans="1:1" s="287" customFormat="1" ht="12" hidden="1" customHeight="1">
      <c r="A3470" s="286"/>
    </row>
    <row r="3471" spans="1:1" s="287" customFormat="1" ht="12" hidden="1" customHeight="1">
      <c r="A3471" s="286"/>
    </row>
    <row r="3472" spans="1:1" s="287" customFormat="1" ht="12" hidden="1" customHeight="1">
      <c r="A3472" s="286"/>
    </row>
    <row r="3473" spans="1:1" s="287" customFormat="1" ht="12" hidden="1" customHeight="1">
      <c r="A3473" s="286"/>
    </row>
    <row r="3474" spans="1:1" s="287" customFormat="1" ht="12" hidden="1" customHeight="1">
      <c r="A3474" s="286"/>
    </row>
    <row r="3475" spans="1:1" s="287" customFormat="1" ht="12" hidden="1" customHeight="1">
      <c r="A3475" s="286"/>
    </row>
    <row r="3476" spans="1:1" s="287" customFormat="1" ht="12" hidden="1" customHeight="1">
      <c r="A3476" s="286"/>
    </row>
    <row r="3477" spans="1:1" s="287" customFormat="1" ht="12" hidden="1" customHeight="1">
      <c r="A3477" s="286"/>
    </row>
    <row r="3478" spans="1:1" s="287" customFormat="1" ht="12" hidden="1" customHeight="1">
      <c r="A3478" s="286"/>
    </row>
    <row r="3479" spans="1:1" s="287" customFormat="1" ht="12" hidden="1" customHeight="1">
      <c r="A3479" s="286"/>
    </row>
    <row r="3480" spans="1:1" s="287" customFormat="1" ht="12" hidden="1" customHeight="1">
      <c r="A3480" s="286"/>
    </row>
    <row r="3481" spans="1:1" s="287" customFormat="1" ht="12" hidden="1" customHeight="1">
      <c r="A3481" s="286"/>
    </row>
    <row r="3482" spans="1:1" s="287" customFormat="1" ht="12" hidden="1" customHeight="1">
      <c r="A3482" s="286"/>
    </row>
    <row r="3483" spans="1:1" s="287" customFormat="1" ht="12" hidden="1" customHeight="1">
      <c r="A3483" s="286"/>
    </row>
    <row r="3484" spans="1:1" s="287" customFormat="1" ht="12" hidden="1" customHeight="1">
      <c r="A3484" s="286"/>
    </row>
    <row r="3485" spans="1:1" s="287" customFormat="1" ht="12" hidden="1" customHeight="1">
      <c r="A3485" s="286"/>
    </row>
    <row r="3486" spans="1:1" s="287" customFormat="1" ht="12" hidden="1" customHeight="1">
      <c r="A3486" s="286"/>
    </row>
    <row r="3487" spans="1:1" s="287" customFormat="1" ht="12" hidden="1" customHeight="1">
      <c r="A3487" s="286"/>
    </row>
    <row r="3488" spans="1:1" s="287" customFormat="1" ht="12" hidden="1" customHeight="1">
      <c r="A3488" s="286"/>
    </row>
    <row r="3489" spans="1:1" s="287" customFormat="1" ht="12" hidden="1" customHeight="1">
      <c r="A3489" s="286"/>
    </row>
    <row r="3490" spans="1:1" s="287" customFormat="1" ht="12" hidden="1" customHeight="1">
      <c r="A3490" s="286"/>
    </row>
    <row r="3491" spans="1:1" s="287" customFormat="1" ht="12" hidden="1" customHeight="1">
      <c r="A3491" s="286"/>
    </row>
    <row r="3492" spans="1:1" s="287" customFormat="1" ht="12" hidden="1" customHeight="1">
      <c r="A3492" s="286"/>
    </row>
    <row r="3493" spans="1:1" s="287" customFormat="1" ht="12" hidden="1" customHeight="1">
      <c r="A3493" s="286"/>
    </row>
    <row r="3494" spans="1:1" s="287" customFormat="1" ht="12" hidden="1" customHeight="1">
      <c r="A3494" s="286"/>
    </row>
    <row r="3495" spans="1:1" s="287" customFormat="1" ht="12" hidden="1" customHeight="1">
      <c r="A3495" s="286"/>
    </row>
    <row r="3496" spans="1:1" s="287" customFormat="1" ht="12" hidden="1" customHeight="1">
      <c r="A3496" s="286"/>
    </row>
    <row r="3497" spans="1:1" s="287" customFormat="1" ht="12" hidden="1" customHeight="1">
      <c r="A3497" s="286"/>
    </row>
    <row r="3498" spans="1:1" s="287" customFormat="1" ht="12" hidden="1" customHeight="1">
      <c r="A3498" s="286"/>
    </row>
    <row r="3499" spans="1:1" s="287" customFormat="1" ht="12" hidden="1" customHeight="1">
      <c r="A3499" s="286"/>
    </row>
    <row r="3500" spans="1:1" s="287" customFormat="1" ht="12" hidden="1" customHeight="1">
      <c r="A3500" s="286"/>
    </row>
    <row r="3501" spans="1:1" s="287" customFormat="1" ht="12" hidden="1" customHeight="1">
      <c r="A3501" s="286"/>
    </row>
    <row r="3502" spans="1:1" s="287" customFormat="1" ht="12" hidden="1" customHeight="1">
      <c r="A3502" s="286"/>
    </row>
    <row r="3503" spans="1:1" s="287" customFormat="1" ht="12" hidden="1" customHeight="1">
      <c r="A3503" s="286"/>
    </row>
    <row r="3504" spans="1:1" s="287" customFormat="1" ht="12" hidden="1" customHeight="1">
      <c r="A3504" s="286"/>
    </row>
    <row r="3505" spans="1:1" s="287" customFormat="1" ht="12" hidden="1" customHeight="1">
      <c r="A3505" s="286"/>
    </row>
    <row r="3506" spans="1:1" s="287" customFormat="1" ht="12" hidden="1" customHeight="1">
      <c r="A3506" s="286"/>
    </row>
    <row r="3507" spans="1:1" s="287" customFormat="1" ht="12" hidden="1" customHeight="1">
      <c r="A3507" s="286"/>
    </row>
    <row r="3508" spans="1:1" s="287" customFormat="1" ht="12" hidden="1" customHeight="1">
      <c r="A3508" s="286"/>
    </row>
    <row r="3509" spans="1:1" s="287" customFormat="1" ht="12" hidden="1" customHeight="1">
      <c r="A3509" s="286"/>
    </row>
    <row r="3510" spans="1:1" s="287" customFormat="1" ht="12" hidden="1" customHeight="1">
      <c r="A3510" s="286"/>
    </row>
    <row r="3511" spans="1:1" s="287" customFormat="1" ht="12" hidden="1" customHeight="1">
      <c r="A3511" s="286"/>
    </row>
    <row r="3512" spans="1:1" s="287" customFormat="1" ht="12" hidden="1" customHeight="1">
      <c r="A3512" s="286"/>
    </row>
    <row r="3513" spans="1:1" s="287" customFormat="1" ht="12" hidden="1" customHeight="1">
      <c r="A3513" s="286"/>
    </row>
    <row r="3514" spans="1:1" s="287" customFormat="1" ht="12" hidden="1" customHeight="1">
      <c r="A3514" s="286"/>
    </row>
    <row r="3515" spans="1:1" s="287" customFormat="1" ht="12" hidden="1" customHeight="1">
      <c r="A3515" s="286"/>
    </row>
    <row r="3516" spans="1:1" s="287" customFormat="1" ht="12" hidden="1" customHeight="1">
      <c r="A3516" s="286"/>
    </row>
    <row r="3517" spans="1:1" s="287" customFormat="1" ht="12" hidden="1" customHeight="1">
      <c r="A3517" s="286"/>
    </row>
    <row r="3518" spans="1:1" s="287" customFormat="1" ht="12" hidden="1" customHeight="1">
      <c r="A3518" s="286"/>
    </row>
    <row r="3519" spans="1:1" s="287" customFormat="1" ht="12" hidden="1" customHeight="1">
      <c r="A3519" s="286"/>
    </row>
    <row r="3520" spans="1:1" s="287" customFormat="1" ht="12" hidden="1" customHeight="1">
      <c r="A3520" s="286"/>
    </row>
    <row r="3521" spans="1:1" s="287" customFormat="1" ht="12" hidden="1" customHeight="1">
      <c r="A3521" s="286"/>
    </row>
    <row r="3522" spans="1:1" s="287" customFormat="1" ht="12" hidden="1" customHeight="1">
      <c r="A3522" s="286"/>
    </row>
    <row r="3523" spans="1:1" s="287" customFormat="1" ht="12" hidden="1" customHeight="1">
      <c r="A3523" s="286"/>
    </row>
    <row r="3524" spans="1:1" s="287" customFormat="1" ht="12" hidden="1" customHeight="1">
      <c r="A3524" s="286"/>
    </row>
    <row r="3525" spans="1:1" s="287" customFormat="1" ht="12" hidden="1" customHeight="1">
      <c r="A3525" s="286"/>
    </row>
    <row r="3526" spans="1:1" s="287" customFormat="1" ht="12" hidden="1" customHeight="1">
      <c r="A3526" s="286"/>
    </row>
    <row r="3527" spans="1:1" s="287" customFormat="1" ht="12" hidden="1" customHeight="1">
      <c r="A3527" s="286"/>
    </row>
    <row r="3528" spans="1:1" s="287" customFormat="1" ht="12" hidden="1" customHeight="1">
      <c r="A3528" s="286"/>
    </row>
    <row r="3529" spans="1:1" s="287" customFormat="1" ht="12" hidden="1" customHeight="1">
      <c r="A3529" s="286"/>
    </row>
    <row r="3530" spans="1:1" s="287" customFormat="1" ht="12" hidden="1" customHeight="1">
      <c r="A3530" s="286"/>
    </row>
    <row r="3531" spans="1:1" s="287" customFormat="1" ht="12" hidden="1" customHeight="1">
      <c r="A3531" s="286"/>
    </row>
    <row r="3532" spans="1:1" s="287" customFormat="1" ht="12" hidden="1" customHeight="1">
      <c r="A3532" s="286"/>
    </row>
    <row r="3533" spans="1:1" s="287" customFormat="1" ht="12" hidden="1" customHeight="1">
      <c r="A3533" s="286"/>
    </row>
    <row r="3534" spans="1:1" s="287" customFormat="1" ht="12" hidden="1" customHeight="1">
      <c r="A3534" s="286"/>
    </row>
    <row r="3535" spans="1:1" s="287" customFormat="1" ht="12" hidden="1" customHeight="1">
      <c r="A3535" s="286"/>
    </row>
    <row r="3536" spans="1:1" s="287" customFormat="1" ht="12" hidden="1" customHeight="1">
      <c r="A3536" s="286"/>
    </row>
    <row r="3537" spans="1:1" s="287" customFormat="1" ht="12" hidden="1" customHeight="1">
      <c r="A3537" s="286"/>
    </row>
    <row r="3538" spans="1:1" s="287" customFormat="1" ht="12" hidden="1" customHeight="1">
      <c r="A3538" s="286"/>
    </row>
    <row r="3539" spans="1:1" s="287" customFormat="1" ht="12" hidden="1" customHeight="1">
      <c r="A3539" s="286"/>
    </row>
    <row r="3540" spans="1:1" s="287" customFormat="1" ht="12" hidden="1" customHeight="1">
      <c r="A3540" s="286"/>
    </row>
    <row r="3541" spans="1:1" s="287" customFormat="1" ht="12" hidden="1" customHeight="1">
      <c r="A3541" s="286"/>
    </row>
    <row r="3542" spans="1:1" s="287" customFormat="1" ht="12" hidden="1" customHeight="1">
      <c r="A3542" s="286"/>
    </row>
    <row r="3543" spans="1:1" s="287" customFormat="1" ht="12" hidden="1" customHeight="1">
      <c r="A3543" s="286"/>
    </row>
    <row r="3544" spans="1:1" s="287" customFormat="1" ht="12" hidden="1" customHeight="1">
      <c r="A3544" s="286"/>
    </row>
    <row r="3545" spans="1:1" s="287" customFormat="1" ht="12" hidden="1" customHeight="1">
      <c r="A3545" s="286"/>
    </row>
    <row r="3546" spans="1:1" s="287" customFormat="1" ht="12" hidden="1" customHeight="1">
      <c r="A3546" s="286"/>
    </row>
    <row r="3547" spans="1:1" s="287" customFormat="1" ht="12" hidden="1" customHeight="1">
      <c r="A3547" s="286"/>
    </row>
    <row r="3548" spans="1:1" s="287" customFormat="1" ht="12" hidden="1" customHeight="1">
      <c r="A3548" s="286"/>
    </row>
    <row r="3549" spans="1:1" s="287" customFormat="1" ht="12" hidden="1" customHeight="1">
      <c r="A3549" s="286"/>
    </row>
    <row r="3550" spans="1:1" s="287" customFormat="1" ht="12" hidden="1" customHeight="1">
      <c r="A3550" s="286"/>
    </row>
    <row r="3551" spans="1:1" s="287" customFormat="1" ht="12" hidden="1" customHeight="1">
      <c r="A3551" s="286"/>
    </row>
    <row r="3552" spans="1:1" s="287" customFormat="1" ht="12" hidden="1" customHeight="1">
      <c r="A3552" s="286"/>
    </row>
    <row r="3553" spans="1:1" s="287" customFormat="1" ht="12" hidden="1" customHeight="1">
      <c r="A3553" s="286"/>
    </row>
    <row r="3554" spans="1:1" s="287" customFormat="1" ht="12" hidden="1" customHeight="1">
      <c r="A3554" s="286"/>
    </row>
    <row r="3555" spans="1:1" s="287" customFormat="1" ht="12" hidden="1" customHeight="1">
      <c r="A3555" s="286"/>
    </row>
    <row r="3556" spans="1:1" s="287" customFormat="1" ht="12" hidden="1" customHeight="1">
      <c r="A3556" s="286"/>
    </row>
    <row r="3557" spans="1:1" s="287" customFormat="1" ht="12" hidden="1" customHeight="1">
      <c r="A3557" s="286"/>
    </row>
    <row r="3558" spans="1:1" s="287" customFormat="1" ht="12" hidden="1" customHeight="1">
      <c r="A3558" s="286"/>
    </row>
    <row r="3559" spans="1:1" s="287" customFormat="1" ht="12" hidden="1" customHeight="1">
      <c r="A3559" s="286"/>
    </row>
    <row r="3560" spans="1:1" s="287" customFormat="1" ht="12" hidden="1" customHeight="1">
      <c r="A3560" s="286"/>
    </row>
    <row r="3561" spans="1:1" s="287" customFormat="1" ht="12" hidden="1" customHeight="1">
      <c r="A3561" s="286"/>
    </row>
    <row r="3562" spans="1:1" s="287" customFormat="1" ht="12" hidden="1" customHeight="1">
      <c r="A3562" s="286"/>
    </row>
    <row r="3563" spans="1:1" s="287" customFormat="1" ht="12" hidden="1" customHeight="1">
      <c r="A3563" s="286"/>
    </row>
    <row r="3564" spans="1:1" s="287" customFormat="1" ht="12" hidden="1" customHeight="1">
      <c r="A3564" s="286"/>
    </row>
    <row r="3565" spans="1:1" s="287" customFormat="1" ht="12" hidden="1" customHeight="1">
      <c r="A3565" s="286"/>
    </row>
    <row r="3566" spans="1:1" s="287" customFormat="1" ht="12" hidden="1" customHeight="1">
      <c r="A3566" s="286"/>
    </row>
    <row r="3567" spans="1:1" s="287" customFormat="1" ht="12" hidden="1" customHeight="1">
      <c r="A3567" s="286"/>
    </row>
    <row r="3568" spans="1:1" s="287" customFormat="1" ht="12" hidden="1" customHeight="1">
      <c r="A3568" s="286"/>
    </row>
    <row r="3569" spans="1:1" s="287" customFormat="1" ht="12" hidden="1" customHeight="1">
      <c r="A3569" s="286"/>
    </row>
    <row r="3570" spans="1:1" s="287" customFormat="1" ht="12" hidden="1" customHeight="1">
      <c r="A3570" s="286"/>
    </row>
    <row r="3571" spans="1:1" s="287" customFormat="1" ht="12" hidden="1" customHeight="1">
      <c r="A3571" s="286"/>
    </row>
    <row r="3572" spans="1:1" s="287" customFormat="1" ht="12" hidden="1" customHeight="1">
      <c r="A3572" s="286"/>
    </row>
    <row r="3573" spans="1:1" s="287" customFormat="1" ht="12" hidden="1" customHeight="1">
      <c r="A3573" s="286"/>
    </row>
    <row r="3574" spans="1:1" s="287" customFormat="1" ht="12" hidden="1" customHeight="1">
      <c r="A3574" s="286"/>
    </row>
    <row r="3575" spans="1:1" s="287" customFormat="1" ht="12" hidden="1" customHeight="1">
      <c r="A3575" s="286"/>
    </row>
    <row r="3576" spans="1:1" s="287" customFormat="1" ht="12" hidden="1" customHeight="1">
      <c r="A3576" s="286"/>
    </row>
    <row r="3577" spans="1:1" s="287" customFormat="1" ht="12" hidden="1" customHeight="1">
      <c r="A3577" s="286"/>
    </row>
    <row r="3578" spans="1:1" s="287" customFormat="1" ht="12" hidden="1" customHeight="1">
      <c r="A3578" s="286"/>
    </row>
    <row r="3579" spans="1:1" s="287" customFormat="1" ht="12" hidden="1" customHeight="1">
      <c r="A3579" s="286"/>
    </row>
    <row r="3580" spans="1:1" s="287" customFormat="1" ht="12" hidden="1" customHeight="1">
      <c r="A3580" s="286"/>
    </row>
    <row r="3581" spans="1:1" s="287" customFormat="1" ht="12" hidden="1" customHeight="1">
      <c r="A3581" s="286"/>
    </row>
    <row r="3582" spans="1:1" s="287" customFormat="1" ht="12" hidden="1" customHeight="1">
      <c r="A3582" s="286"/>
    </row>
    <row r="3583" spans="1:1" s="287" customFormat="1" ht="12" hidden="1" customHeight="1">
      <c r="A3583" s="286"/>
    </row>
    <row r="3584" spans="1:1" s="287" customFormat="1" ht="12" hidden="1" customHeight="1">
      <c r="A3584" s="286"/>
    </row>
    <row r="3585" spans="1:1" s="287" customFormat="1" ht="12" hidden="1" customHeight="1">
      <c r="A3585" s="286"/>
    </row>
    <row r="3586" spans="1:1" s="287" customFormat="1" ht="12" hidden="1" customHeight="1">
      <c r="A3586" s="286"/>
    </row>
    <row r="3587" spans="1:1" s="287" customFormat="1" ht="12" hidden="1" customHeight="1">
      <c r="A3587" s="286"/>
    </row>
    <row r="3588" spans="1:1" s="287" customFormat="1" ht="12" hidden="1" customHeight="1">
      <c r="A3588" s="286"/>
    </row>
    <row r="3589" spans="1:1" s="287" customFormat="1" ht="12" hidden="1" customHeight="1">
      <c r="A3589" s="286"/>
    </row>
    <row r="3590" spans="1:1" s="287" customFormat="1" ht="12" hidden="1" customHeight="1">
      <c r="A3590" s="286"/>
    </row>
    <row r="3591" spans="1:1" s="287" customFormat="1" ht="12" hidden="1" customHeight="1">
      <c r="A3591" s="286"/>
    </row>
    <row r="3592" spans="1:1" s="287" customFormat="1" ht="12" hidden="1" customHeight="1">
      <c r="A3592" s="286"/>
    </row>
    <row r="3593" spans="1:1" s="287" customFormat="1" ht="12" hidden="1" customHeight="1">
      <c r="A3593" s="286"/>
    </row>
    <row r="3594" spans="1:1" s="287" customFormat="1" ht="12" hidden="1" customHeight="1">
      <c r="A3594" s="286"/>
    </row>
    <row r="3595" spans="1:1" s="287" customFormat="1" ht="12" hidden="1" customHeight="1">
      <c r="A3595" s="286"/>
    </row>
    <row r="3596" spans="1:1" s="287" customFormat="1" ht="12" hidden="1" customHeight="1">
      <c r="A3596" s="286"/>
    </row>
    <row r="3597" spans="1:1" s="287" customFormat="1" ht="12" hidden="1" customHeight="1">
      <c r="A3597" s="286"/>
    </row>
    <row r="3598" spans="1:1" s="287" customFormat="1" ht="12" hidden="1" customHeight="1">
      <c r="A3598" s="286"/>
    </row>
    <row r="3599" spans="1:1" s="287" customFormat="1" ht="12" hidden="1" customHeight="1">
      <c r="A3599" s="286"/>
    </row>
    <row r="3600" spans="1:1" s="287" customFormat="1" ht="12" hidden="1" customHeight="1">
      <c r="A3600" s="286"/>
    </row>
    <row r="3601" spans="1:1" s="287" customFormat="1" ht="12" hidden="1" customHeight="1">
      <c r="A3601" s="286"/>
    </row>
    <row r="3602" spans="1:1" s="287" customFormat="1" ht="12" hidden="1" customHeight="1">
      <c r="A3602" s="286"/>
    </row>
    <row r="3603" spans="1:1" s="287" customFormat="1" ht="12" hidden="1" customHeight="1">
      <c r="A3603" s="286"/>
    </row>
    <row r="3604" spans="1:1" s="287" customFormat="1" ht="12" hidden="1" customHeight="1">
      <c r="A3604" s="286"/>
    </row>
    <row r="3605" spans="1:1" s="287" customFormat="1" ht="12" hidden="1" customHeight="1">
      <c r="A3605" s="286"/>
    </row>
    <row r="3606" spans="1:1" s="287" customFormat="1" ht="12" hidden="1" customHeight="1">
      <c r="A3606" s="286"/>
    </row>
    <row r="3607" spans="1:1" s="287" customFormat="1" ht="12" hidden="1" customHeight="1">
      <c r="A3607" s="286"/>
    </row>
    <row r="3608" spans="1:1" s="287" customFormat="1" ht="12" hidden="1" customHeight="1">
      <c r="A3608" s="286"/>
    </row>
    <row r="3609" spans="1:1" s="287" customFormat="1" ht="12" hidden="1" customHeight="1">
      <c r="A3609" s="286"/>
    </row>
    <row r="3610" spans="1:1" s="287" customFormat="1" ht="12" hidden="1" customHeight="1">
      <c r="A3610" s="286"/>
    </row>
    <row r="3611" spans="1:1" s="287" customFormat="1" ht="12" hidden="1" customHeight="1">
      <c r="A3611" s="286"/>
    </row>
    <row r="3612" spans="1:1" s="287" customFormat="1" ht="12" hidden="1" customHeight="1">
      <c r="A3612" s="286"/>
    </row>
    <row r="3613" spans="1:1" s="287" customFormat="1" ht="12" hidden="1" customHeight="1">
      <c r="A3613" s="286"/>
    </row>
    <row r="3614" spans="1:1" s="287" customFormat="1" ht="12" hidden="1" customHeight="1">
      <c r="A3614" s="286"/>
    </row>
    <row r="3615" spans="1:1" s="287" customFormat="1" ht="12" hidden="1" customHeight="1">
      <c r="A3615" s="286"/>
    </row>
    <row r="3616" spans="1:1" s="287" customFormat="1" ht="12" hidden="1" customHeight="1">
      <c r="A3616" s="286"/>
    </row>
    <row r="3617" spans="1:1" s="287" customFormat="1" ht="12" hidden="1" customHeight="1">
      <c r="A3617" s="286"/>
    </row>
    <row r="3618" spans="1:1" s="287" customFormat="1" ht="12" hidden="1" customHeight="1">
      <c r="A3618" s="286"/>
    </row>
    <row r="3619" spans="1:1" s="287" customFormat="1" ht="12" hidden="1" customHeight="1">
      <c r="A3619" s="286"/>
    </row>
    <row r="3620" spans="1:1" s="287" customFormat="1" ht="12" hidden="1" customHeight="1">
      <c r="A3620" s="286"/>
    </row>
    <row r="3621" spans="1:1" s="287" customFormat="1" ht="12" hidden="1" customHeight="1">
      <c r="A3621" s="286"/>
    </row>
    <row r="3622" spans="1:1" s="287" customFormat="1" ht="12" hidden="1" customHeight="1">
      <c r="A3622" s="286"/>
    </row>
    <row r="3623" spans="1:1" s="287" customFormat="1" ht="12" hidden="1" customHeight="1">
      <c r="A3623" s="286"/>
    </row>
    <row r="3624" spans="1:1" s="287" customFormat="1" ht="12" hidden="1" customHeight="1">
      <c r="A3624" s="286"/>
    </row>
    <row r="3625" spans="1:1" s="287" customFormat="1" ht="12" hidden="1" customHeight="1">
      <c r="A3625" s="286"/>
    </row>
    <row r="3626" spans="1:1" s="287" customFormat="1" ht="12" hidden="1" customHeight="1">
      <c r="A3626" s="286"/>
    </row>
    <row r="3627" spans="1:1" s="287" customFormat="1" ht="12" hidden="1" customHeight="1">
      <c r="A3627" s="286"/>
    </row>
    <row r="3628" spans="1:1" s="287" customFormat="1" ht="12" hidden="1" customHeight="1">
      <c r="A3628" s="286"/>
    </row>
    <row r="3629" spans="1:1" s="287" customFormat="1" ht="12" hidden="1" customHeight="1">
      <c r="A3629" s="286"/>
    </row>
    <row r="3630" spans="1:1" s="287" customFormat="1" ht="12" hidden="1" customHeight="1">
      <c r="A3630" s="286"/>
    </row>
    <row r="3631" spans="1:1" s="287" customFormat="1" ht="12" hidden="1" customHeight="1">
      <c r="A3631" s="286"/>
    </row>
    <row r="3632" spans="1:1" s="287" customFormat="1" ht="12" hidden="1" customHeight="1">
      <c r="A3632" s="286"/>
    </row>
    <row r="3633" spans="1:1" s="287" customFormat="1" ht="12" hidden="1" customHeight="1">
      <c r="A3633" s="286"/>
    </row>
    <row r="3634" spans="1:1" s="287" customFormat="1" ht="12" hidden="1" customHeight="1">
      <c r="A3634" s="286"/>
    </row>
    <row r="3635" spans="1:1" s="287" customFormat="1" ht="12" hidden="1" customHeight="1">
      <c r="A3635" s="286"/>
    </row>
    <row r="3636" spans="1:1" s="287" customFormat="1" ht="12" hidden="1" customHeight="1">
      <c r="A3636" s="286"/>
    </row>
    <row r="3637" spans="1:1" s="287" customFormat="1" ht="12" hidden="1" customHeight="1">
      <c r="A3637" s="286"/>
    </row>
    <row r="3638" spans="1:1" s="287" customFormat="1" ht="12" hidden="1" customHeight="1">
      <c r="A3638" s="286"/>
    </row>
    <row r="3639" spans="1:1" s="287" customFormat="1" ht="12" hidden="1" customHeight="1">
      <c r="A3639" s="286"/>
    </row>
    <row r="3640" spans="1:1" s="287" customFormat="1" ht="12" hidden="1" customHeight="1">
      <c r="A3640" s="286"/>
    </row>
    <row r="3641" spans="1:1" s="287" customFormat="1" ht="12" hidden="1" customHeight="1">
      <c r="A3641" s="286"/>
    </row>
    <row r="3642" spans="1:1" s="287" customFormat="1" ht="12" hidden="1" customHeight="1">
      <c r="A3642" s="286"/>
    </row>
    <row r="3643" spans="1:1" s="287" customFormat="1" ht="12" hidden="1" customHeight="1">
      <c r="A3643" s="286"/>
    </row>
    <row r="3644" spans="1:1" s="287" customFormat="1" ht="12" hidden="1" customHeight="1">
      <c r="A3644" s="286"/>
    </row>
    <row r="3645" spans="1:1" s="287" customFormat="1" ht="12" hidden="1" customHeight="1">
      <c r="A3645" s="286"/>
    </row>
    <row r="3646" spans="1:1" s="287" customFormat="1" ht="12" hidden="1" customHeight="1">
      <c r="A3646" s="286"/>
    </row>
    <row r="3647" spans="1:1" s="287" customFormat="1" ht="12" hidden="1" customHeight="1">
      <c r="A3647" s="286"/>
    </row>
    <row r="3648" spans="1:1" s="287" customFormat="1" ht="12" hidden="1" customHeight="1">
      <c r="A3648" s="286"/>
    </row>
    <row r="3649" spans="1:1" s="287" customFormat="1" ht="12" hidden="1" customHeight="1">
      <c r="A3649" s="286"/>
    </row>
    <row r="3650" spans="1:1" s="287" customFormat="1" ht="12" hidden="1" customHeight="1">
      <c r="A3650" s="286"/>
    </row>
    <row r="3651" spans="1:1" s="287" customFormat="1" ht="12" hidden="1" customHeight="1">
      <c r="A3651" s="286"/>
    </row>
    <row r="3652" spans="1:1" s="287" customFormat="1" ht="12" hidden="1" customHeight="1">
      <c r="A3652" s="286"/>
    </row>
    <row r="3653" spans="1:1" s="287" customFormat="1" ht="12" hidden="1" customHeight="1">
      <c r="A3653" s="286"/>
    </row>
    <row r="3654" spans="1:1" s="287" customFormat="1" ht="12" hidden="1" customHeight="1">
      <c r="A3654" s="286"/>
    </row>
    <row r="3655" spans="1:1" s="287" customFormat="1" ht="12" hidden="1" customHeight="1">
      <c r="A3655" s="286"/>
    </row>
    <row r="3656" spans="1:1" s="287" customFormat="1" ht="12" hidden="1" customHeight="1">
      <c r="A3656" s="286"/>
    </row>
    <row r="3657" spans="1:1" s="287" customFormat="1" ht="12" hidden="1" customHeight="1">
      <c r="A3657" s="286"/>
    </row>
    <row r="3658" spans="1:1" s="287" customFormat="1" ht="12" hidden="1" customHeight="1">
      <c r="A3658" s="286"/>
    </row>
    <row r="3659" spans="1:1" s="287" customFormat="1" ht="12" hidden="1" customHeight="1">
      <c r="A3659" s="286"/>
    </row>
    <row r="3660" spans="1:1" s="287" customFormat="1" ht="12" hidden="1" customHeight="1">
      <c r="A3660" s="286"/>
    </row>
    <row r="3661" spans="1:1" s="287" customFormat="1" ht="12" hidden="1" customHeight="1">
      <c r="A3661" s="286"/>
    </row>
    <row r="3662" spans="1:1" s="287" customFormat="1" ht="12" hidden="1" customHeight="1">
      <c r="A3662" s="286"/>
    </row>
    <row r="3663" spans="1:1" s="287" customFormat="1" ht="12" hidden="1" customHeight="1">
      <c r="A3663" s="286"/>
    </row>
    <row r="3664" spans="1:1" s="287" customFormat="1" ht="12" hidden="1" customHeight="1">
      <c r="A3664" s="286"/>
    </row>
    <row r="3665" spans="1:1" s="287" customFormat="1" ht="12" hidden="1" customHeight="1">
      <c r="A3665" s="286"/>
    </row>
    <row r="3666" spans="1:1" s="287" customFormat="1" ht="12" hidden="1" customHeight="1">
      <c r="A3666" s="286"/>
    </row>
    <row r="3667" spans="1:1" s="287" customFormat="1" ht="12" hidden="1" customHeight="1">
      <c r="A3667" s="286"/>
    </row>
    <row r="3668" spans="1:1" s="287" customFormat="1" ht="12" hidden="1" customHeight="1">
      <c r="A3668" s="286"/>
    </row>
    <row r="3669" spans="1:1" s="287" customFormat="1" ht="12" hidden="1" customHeight="1">
      <c r="A3669" s="286"/>
    </row>
    <row r="3670" spans="1:1" s="287" customFormat="1" ht="12" hidden="1" customHeight="1">
      <c r="A3670" s="286"/>
    </row>
    <row r="3671" spans="1:1" s="287" customFormat="1" ht="12" hidden="1" customHeight="1">
      <c r="A3671" s="286"/>
    </row>
    <row r="3672" spans="1:1" s="287" customFormat="1" ht="12" hidden="1" customHeight="1">
      <c r="A3672" s="286"/>
    </row>
    <row r="3673" spans="1:1" s="287" customFormat="1" ht="12" hidden="1" customHeight="1">
      <c r="A3673" s="286"/>
    </row>
    <row r="3674" spans="1:1" s="287" customFormat="1" ht="12" hidden="1" customHeight="1">
      <c r="A3674" s="286"/>
    </row>
    <row r="3675" spans="1:1" s="287" customFormat="1" ht="12" hidden="1" customHeight="1">
      <c r="A3675" s="286"/>
    </row>
    <row r="3676" spans="1:1" s="287" customFormat="1" ht="12" hidden="1" customHeight="1">
      <c r="A3676" s="286"/>
    </row>
    <row r="3677" spans="1:1" s="287" customFormat="1" ht="12" hidden="1" customHeight="1">
      <c r="A3677" s="286"/>
    </row>
    <row r="3678" spans="1:1" s="287" customFormat="1" ht="12" hidden="1" customHeight="1">
      <c r="A3678" s="286"/>
    </row>
    <row r="3679" spans="1:1" s="287" customFormat="1" ht="12" hidden="1" customHeight="1">
      <c r="A3679" s="286"/>
    </row>
    <row r="3680" spans="1:1" s="287" customFormat="1" ht="12" hidden="1" customHeight="1">
      <c r="A3680" s="286"/>
    </row>
    <row r="3681" spans="1:1" s="287" customFormat="1" ht="12" hidden="1" customHeight="1">
      <c r="A3681" s="286"/>
    </row>
    <row r="3682" spans="1:1" s="287" customFormat="1" ht="12" hidden="1" customHeight="1">
      <c r="A3682" s="286"/>
    </row>
    <row r="3683" spans="1:1" s="287" customFormat="1" ht="12" hidden="1" customHeight="1">
      <c r="A3683" s="286"/>
    </row>
    <row r="3684" spans="1:1" s="287" customFormat="1" ht="12" hidden="1" customHeight="1">
      <c r="A3684" s="286"/>
    </row>
    <row r="3685" spans="1:1" s="287" customFormat="1" ht="12" hidden="1" customHeight="1">
      <c r="A3685" s="286"/>
    </row>
    <row r="3686" spans="1:1" s="287" customFormat="1" ht="12" hidden="1" customHeight="1">
      <c r="A3686" s="286"/>
    </row>
    <row r="3687" spans="1:1" s="287" customFormat="1" ht="12" hidden="1" customHeight="1">
      <c r="A3687" s="286"/>
    </row>
    <row r="3688" spans="1:1" s="287" customFormat="1" ht="12" hidden="1" customHeight="1">
      <c r="A3688" s="286"/>
    </row>
    <row r="3689" spans="1:1" s="287" customFormat="1" ht="12" hidden="1" customHeight="1">
      <c r="A3689" s="286"/>
    </row>
    <row r="3690" spans="1:1" s="287" customFormat="1" ht="12" hidden="1" customHeight="1">
      <c r="A3690" s="286"/>
    </row>
    <row r="3691" spans="1:1" s="287" customFormat="1" ht="12" hidden="1" customHeight="1">
      <c r="A3691" s="286"/>
    </row>
    <row r="3692" spans="1:1" s="287" customFormat="1" ht="12" hidden="1" customHeight="1">
      <c r="A3692" s="286"/>
    </row>
    <row r="3693" spans="1:1" s="287" customFormat="1" ht="12" hidden="1" customHeight="1">
      <c r="A3693" s="286"/>
    </row>
    <row r="3694" spans="1:1" s="287" customFormat="1" ht="12" hidden="1" customHeight="1">
      <c r="A3694" s="286"/>
    </row>
    <row r="3695" spans="1:1" s="287" customFormat="1" ht="12" hidden="1" customHeight="1">
      <c r="A3695" s="286"/>
    </row>
    <row r="3696" spans="1:1" s="287" customFormat="1" ht="12" hidden="1" customHeight="1">
      <c r="A3696" s="286"/>
    </row>
    <row r="3697" spans="1:1" s="287" customFormat="1" ht="12" hidden="1" customHeight="1">
      <c r="A3697" s="286"/>
    </row>
    <row r="3698" spans="1:1" s="287" customFormat="1" ht="12" hidden="1" customHeight="1">
      <c r="A3698" s="286"/>
    </row>
    <row r="3699" spans="1:1" s="287" customFormat="1" ht="12" hidden="1" customHeight="1">
      <c r="A3699" s="286"/>
    </row>
    <row r="3700" spans="1:1" s="287" customFormat="1" ht="12" hidden="1" customHeight="1">
      <c r="A3700" s="286"/>
    </row>
    <row r="3701" spans="1:1" s="287" customFormat="1" ht="12" hidden="1" customHeight="1">
      <c r="A3701" s="286"/>
    </row>
    <row r="3702" spans="1:1" s="287" customFormat="1" ht="12" hidden="1" customHeight="1">
      <c r="A3702" s="286"/>
    </row>
    <row r="3703" spans="1:1" s="287" customFormat="1" ht="12" hidden="1" customHeight="1">
      <c r="A3703" s="286"/>
    </row>
    <row r="3704" spans="1:1" s="287" customFormat="1" ht="12" hidden="1" customHeight="1">
      <c r="A3704" s="286"/>
    </row>
    <row r="3705" spans="1:1" s="287" customFormat="1" ht="12" hidden="1" customHeight="1">
      <c r="A3705" s="286"/>
    </row>
    <row r="3706" spans="1:1" s="287" customFormat="1" ht="12" hidden="1" customHeight="1">
      <c r="A3706" s="286"/>
    </row>
    <row r="3707" spans="1:1" s="287" customFormat="1" ht="12" hidden="1" customHeight="1">
      <c r="A3707" s="286"/>
    </row>
    <row r="3708" spans="1:1" s="287" customFormat="1" ht="12" hidden="1" customHeight="1">
      <c r="A3708" s="286"/>
    </row>
    <row r="3709" spans="1:1" s="287" customFormat="1" ht="12" hidden="1" customHeight="1">
      <c r="A3709" s="286"/>
    </row>
    <row r="3710" spans="1:1" s="287" customFormat="1" ht="12" hidden="1" customHeight="1">
      <c r="A3710" s="286"/>
    </row>
    <row r="3711" spans="1:1" s="287" customFormat="1" ht="12" hidden="1" customHeight="1">
      <c r="A3711" s="286"/>
    </row>
    <row r="3712" spans="1:1" s="287" customFormat="1" ht="12" hidden="1" customHeight="1">
      <c r="A3712" s="286"/>
    </row>
    <row r="3713" spans="1:1" s="287" customFormat="1" ht="12" hidden="1" customHeight="1">
      <c r="A3713" s="286"/>
    </row>
    <row r="3714" spans="1:1" s="287" customFormat="1" ht="12" hidden="1" customHeight="1">
      <c r="A3714" s="286"/>
    </row>
    <row r="3715" spans="1:1" s="287" customFormat="1" ht="12" hidden="1" customHeight="1">
      <c r="A3715" s="286"/>
    </row>
    <row r="3716" spans="1:1" s="287" customFormat="1" ht="12" hidden="1" customHeight="1">
      <c r="A3716" s="286"/>
    </row>
    <row r="3717" spans="1:1" s="287" customFormat="1" ht="12" hidden="1" customHeight="1">
      <c r="A3717" s="286"/>
    </row>
    <row r="3718" spans="1:1" s="287" customFormat="1" ht="12" hidden="1" customHeight="1">
      <c r="A3718" s="286"/>
    </row>
    <row r="3719" spans="1:1" s="287" customFormat="1" ht="12" hidden="1" customHeight="1">
      <c r="A3719" s="286"/>
    </row>
    <row r="3720" spans="1:1" s="287" customFormat="1" ht="12" hidden="1" customHeight="1">
      <c r="A3720" s="286"/>
    </row>
    <row r="3721" spans="1:1" s="287" customFormat="1" ht="12" hidden="1" customHeight="1">
      <c r="A3721" s="286"/>
    </row>
    <row r="3722" spans="1:1" s="287" customFormat="1" ht="12" hidden="1" customHeight="1">
      <c r="A3722" s="286"/>
    </row>
    <row r="3723" spans="1:1" s="287" customFormat="1" ht="12" hidden="1" customHeight="1">
      <c r="A3723" s="286"/>
    </row>
    <row r="3724" spans="1:1" s="287" customFormat="1" ht="12" hidden="1" customHeight="1">
      <c r="A3724" s="286"/>
    </row>
    <row r="3725" spans="1:1" s="287" customFormat="1" ht="12" hidden="1" customHeight="1">
      <c r="A3725" s="286"/>
    </row>
    <row r="3726" spans="1:1" s="287" customFormat="1" ht="12" hidden="1" customHeight="1">
      <c r="A3726" s="286"/>
    </row>
    <row r="3727" spans="1:1" s="287" customFormat="1" ht="12" hidden="1" customHeight="1">
      <c r="A3727" s="286"/>
    </row>
    <row r="3728" spans="1:1" s="287" customFormat="1" ht="12" hidden="1" customHeight="1">
      <c r="A3728" s="286"/>
    </row>
    <row r="3729" spans="1:1" s="287" customFormat="1" ht="12" hidden="1" customHeight="1">
      <c r="A3729" s="286"/>
    </row>
    <row r="3730" spans="1:1" s="287" customFormat="1" ht="12" hidden="1" customHeight="1">
      <c r="A3730" s="286"/>
    </row>
    <row r="3731" spans="1:1" s="287" customFormat="1" ht="12" hidden="1" customHeight="1">
      <c r="A3731" s="286"/>
    </row>
    <row r="3732" spans="1:1" s="287" customFormat="1" ht="12" hidden="1" customHeight="1">
      <c r="A3732" s="286"/>
    </row>
    <row r="3733" spans="1:1" s="287" customFormat="1" ht="12" hidden="1" customHeight="1">
      <c r="A3733" s="286"/>
    </row>
    <row r="3734" spans="1:1" s="287" customFormat="1" ht="12" hidden="1" customHeight="1">
      <c r="A3734" s="286"/>
    </row>
    <row r="3735" spans="1:1" s="287" customFormat="1" ht="12" hidden="1" customHeight="1">
      <c r="A3735" s="286"/>
    </row>
    <row r="3736" spans="1:1" s="287" customFormat="1" ht="12" hidden="1" customHeight="1">
      <c r="A3736" s="286"/>
    </row>
    <row r="3737" spans="1:1" s="287" customFormat="1" ht="12" hidden="1" customHeight="1">
      <c r="A3737" s="286"/>
    </row>
    <row r="3738" spans="1:1" s="287" customFormat="1" ht="12" hidden="1" customHeight="1">
      <c r="A3738" s="286"/>
    </row>
    <row r="3739" spans="1:1" s="287" customFormat="1" ht="12" hidden="1" customHeight="1">
      <c r="A3739" s="286"/>
    </row>
    <row r="3740" spans="1:1" s="287" customFormat="1" ht="12" hidden="1" customHeight="1">
      <c r="A3740" s="286"/>
    </row>
    <row r="3741" spans="1:1" s="287" customFormat="1" ht="12" hidden="1" customHeight="1">
      <c r="A3741" s="286"/>
    </row>
    <row r="3742" spans="1:1" s="287" customFormat="1" ht="12" hidden="1" customHeight="1">
      <c r="A3742" s="286"/>
    </row>
    <row r="3743" spans="1:1" s="287" customFormat="1" ht="12" hidden="1" customHeight="1">
      <c r="A3743" s="286"/>
    </row>
    <row r="3744" spans="1:1" s="287" customFormat="1" ht="12" hidden="1" customHeight="1">
      <c r="A3744" s="286"/>
    </row>
    <row r="3745" spans="1:1" s="287" customFormat="1" ht="12" hidden="1" customHeight="1">
      <c r="A3745" s="286"/>
    </row>
    <row r="3746" spans="1:1" s="287" customFormat="1" ht="12" hidden="1" customHeight="1">
      <c r="A3746" s="286"/>
    </row>
    <row r="3747" spans="1:1" s="287" customFormat="1" ht="12" hidden="1" customHeight="1">
      <c r="A3747" s="286"/>
    </row>
    <row r="3748" spans="1:1" s="287" customFormat="1" ht="12" hidden="1" customHeight="1">
      <c r="A3748" s="286"/>
    </row>
    <row r="3749" spans="1:1" s="287" customFormat="1" ht="12" hidden="1" customHeight="1">
      <c r="A3749" s="286"/>
    </row>
    <row r="3750" spans="1:1" s="287" customFormat="1" ht="12" hidden="1" customHeight="1">
      <c r="A3750" s="286"/>
    </row>
    <row r="3751" spans="1:1" s="287" customFormat="1" ht="12" hidden="1" customHeight="1">
      <c r="A3751" s="286"/>
    </row>
    <row r="3752" spans="1:1" s="287" customFormat="1" ht="12" hidden="1" customHeight="1">
      <c r="A3752" s="286"/>
    </row>
    <row r="3753" spans="1:1" s="287" customFormat="1" ht="12" hidden="1" customHeight="1">
      <c r="A3753" s="286"/>
    </row>
    <row r="3754" spans="1:1" s="287" customFormat="1" ht="12" hidden="1" customHeight="1">
      <c r="A3754" s="286"/>
    </row>
    <row r="3755" spans="1:1" s="287" customFormat="1" ht="12" hidden="1" customHeight="1">
      <c r="A3755" s="286"/>
    </row>
    <row r="3756" spans="1:1" s="287" customFormat="1" ht="12" hidden="1" customHeight="1">
      <c r="A3756" s="286"/>
    </row>
    <row r="3757" spans="1:1" s="287" customFormat="1" ht="12" hidden="1" customHeight="1">
      <c r="A3757" s="286"/>
    </row>
    <row r="3758" spans="1:1" s="287" customFormat="1" ht="12" hidden="1" customHeight="1">
      <c r="A3758" s="286"/>
    </row>
    <row r="3759" spans="1:1" s="287" customFormat="1" ht="12" hidden="1" customHeight="1">
      <c r="A3759" s="286"/>
    </row>
    <row r="3760" spans="1:1" s="287" customFormat="1" ht="12" hidden="1" customHeight="1">
      <c r="A3760" s="286"/>
    </row>
    <row r="3761" spans="1:1" s="287" customFormat="1" ht="12" hidden="1" customHeight="1">
      <c r="A3761" s="286"/>
    </row>
    <row r="3762" spans="1:1" s="287" customFormat="1" ht="12" hidden="1" customHeight="1">
      <c r="A3762" s="286"/>
    </row>
    <row r="3763" spans="1:1" s="287" customFormat="1" ht="12" hidden="1" customHeight="1">
      <c r="A3763" s="286"/>
    </row>
    <row r="3764" spans="1:1" s="287" customFormat="1" ht="12" hidden="1" customHeight="1">
      <c r="A3764" s="286"/>
    </row>
    <row r="3765" spans="1:1" s="287" customFormat="1" ht="12" hidden="1" customHeight="1">
      <c r="A3765" s="286"/>
    </row>
    <row r="3766" spans="1:1" s="287" customFormat="1" ht="12" hidden="1" customHeight="1">
      <c r="A3766" s="286"/>
    </row>
    <row r="3767" spans="1:1" s="287" customFormat="1" ht="12" hidden="1" customHeight="1">
      <c r="A3767" s="286"/>
    </row>
    <row r="3768" spans="1:1" s="287" customFormat="1" ht="12" hidden="1" customHeight="1">
      <c r="A3768" s="286"/>
    </row>
    <row r="3769" spans="1:1" s="287" customFormat="1" ht="12" hidden="1" customHeight="1">
      <c r="A3769" s="286"/>
    </row>
    <row r="3770" spans="1:1" s="287" customFormat="1" ht="12" hidden="1" customHeight="1">
      <c r="A3770" s="286"/>
    </row>
    <row r="3771" spans="1:1" s="287" customFormat="1" ht="12" hidden="1" customHeight="1">
      <c r="A3771" s="286"/>
    </row>
    <row r="3772" spans="1:1" s="287" customFormat="1" ht="12" hidden="1" customHeight="1">
      <c r="A3772" s="286"/>
    </row>
    <row r="3773" spans="1:1" s="287" customFormat="1" ht="12" hidden="1" customHeight="1">
      <c r="A3773" s="286"/>
    </row>
    <row r="3774" spans="1:1" s="287" customFormat="1" ht="12" hidden="1" customHeight="1">
      <c r="A3774" s="286"/>
    </row>
    <row r="3775" spans="1:1" s="287" customFormat="1" ht="12" hidden="1" customHeight="1">
      <c r="A3775" s="286"/>
    </row>
    <row r="3776" spans="1:1" s="287" customFormat="1" ht="12" hidden="1" customHeight="1">
      <c r="A3776" s="286"/>
    </row>
    <row r="3777" spans="1:1" s="287" customFormat="1" ht="12" hidden="1" customHeight="1">
      <c r="A3777" s="286"/>
    </row>
    <row r="3778" spans="1:1" s="287" customFormat="1" ht="12" hidden="1" customHeight="1">
      <c r="A3778" s="286"/>
    </row>
    <row r="3779" spans="1:1" s="287" customFormat="1" ht="12" hidden="1" customHeight="1">
      <c r="A3779" s="286"/>
    </row>
    <row r="3780" spans="1:1" s="287" customFormat="1" ht="12" hidden="1" customHeight="1">
      <c r="A3780" s="286"/>
    </row>
    <row r="3781" spans="1:1" s="287" customFormat="1" ht="12" hidden="1" customHeight="1">
      <c r="A3781" s="286"/>
    </row>
    <row r="3782" spans="1:1" s="287" customFormat="1" ht="12" hidden="1" customHeight="1">
      <c r="A3782" s="286"/>
    </row>
    <row r="3783" spans="1:1" s="287" customFormat="1" ht="12" hidden="1" customHeight="1">
      <c r="A3783" s="286"/>
    </row>
    <row r="3784" spans="1:1" s="287" customFormat="1" ht="12" hidden="1" customHeight="1">
      <c r="A3784" s="286"/>
    </row>
    <row r="3785" spans="1:1" s="287" customFormat="1" ht="12" hidden="1" customHeight="1">
      <c r="A3785" s="286"/>
    </row>
    <row r="3786" spans="1:1" s="287" customFormat="1" ht="12" hidden="1" customHeight="1">
      <c r="A3786" s="286"/>
    </row>
    <row r="3787" spans="1:1" s="287" customFormat="1" ht="12" hidden="1" customHeight="1">
      <c r="A3787" s="286"/>
    </row>
    <row r="3788" spans="1:1" s="287" customFormat="1" ht="12" hidden="1" customHeight="1">
      <c r="A3788" s="286"/>
    </row>
    <row r="3789" spans="1:1" s="287" customFormat="1" ht="12" hidden="1" customHeight="1">
      <c r="A3789" s="286"/>
    </row>
    <row r="3790" spans="1:1" s="287" customFormat="1" ht="12" hidden="1" customHeight="1">
      <c r="A3790" s="286"/>
    </row>
    <row r="3791" spans="1:1" s="287" customFormat="1" ht="12" hidden="1" customHeight="1">
      <c r="A3791" s="286"/>
    </row>
    <row r="3792" spans="1:1" s="287" customFormat="1" ht="12" hidden="1" customHeight="1">
      <c r="A3792" s="286"/>
    </row>
    <row r="3793" spans="1:1" s="287" customFormat="1" ht="12" hidden="1" customHeight="1">
      <c r="A3793" s="286"/>
    </row>
    <row r="3794" spans="1:1" s="287" customFormat="1" ht="12" hidden="1" customHeight="1">
      <c r="A3794" s="286"/>
    </row>
    <row r="3795" spans="1:1" s="287" customFormat="1" ht="12" hidden="1" customHeight="1">
      <c r="A3795" s="286"/>
    </row>
    <row r="3796" spans="1:1" s="287" customFormat="1" ht="12" hidden="1" customHeight="1">
      <c r="A3796" s="286"/>
    </row>
    <row r="3797" spans="1:1" s="287" customFormat="1" ht="12" hidden="1" customHeight="1">
      <c r="A3797" s="286"/>
    </row>
    <row r="3798" spans="1:1" s="287" customFormat="1" ht="12" hidden="1" customHeight="1">
      <c r="A3798" s="286"/>
    </row>
    <row r="3799" spans="1:1" s="287" customFormat="1" ht="12" hidden="1" customHeight="1">
      <c r="A3799" s="286"/>
    </row>
    <row r="3800" spans="1:1" s="287" customFormat="1" ht="12" hidden="1" customHeight="1">
      <c r="A3800" s="286"/>
    </row>
    <row r="3801" spans="1:1" s="287" customFormat="1" ht="12" hidden="1" customHeight="1">
      <c r="A3801" s="286"/>
    </row>
    <row r="3802" spans="1:1" s="287" customFormat="1" ht="12" hidden="1" customHeight="1">
      <c r="A3802" s="286"/>
    </row>
    <row r="3803" spans="1:1" s="287" customFormat="1" ht="12" hidden="1" customHeight="1">
      <c r="A3803" s="286"/>
    </row>
    <row r="3804" spans="1:1" s="287" customFormat="1" ht="12" hidden="1" customHeight="1">
      <c r="A3804" s="286"/>
    </row>
    <row r="3805" spans="1:1" s="287" customFormat="1" ht="12" hidden="1" customHeight="1">
      <c r="A3805" s="286"/>
    </row>
    <row r="3806" spans="1:1" s="287" customFormat="1" ht="12" hidden="1" customHeight="1">
      <c r="A3806" s="286"/>
    </row>
    <row r="3807" spans="1:1" s="287" customFormat="1" ht="12" hidden="1" customHeight="1">
      <c r="A3807" s="286"/>
    </row>
    <row r="3808" spans="1:1" s="287" customFormat="1" ht="12" hidden="1" customHeight="1">
      <c r="A3808" s="286"/>
    </row>
    <row r="3809" spans="1:1" s="287" customFormat="1" ht="12" hidden="1" customHeight="1">
      <c r="A3809" s="286"/>
    </row>
    <row r="3810" spans="1:1" s="287" customFormat="1" ht="12" hidden="1" customHeight="1">
      <c r="A3810" s="286"/>
    </row>
    <row r="3811" spans="1:1" s="287" customFormat="1" ht="12" hidden="1" customHeight="1">
      <c r="A3811" s="286"/>
    </row>
    <row r="3812" spans="1:1" s="287" customFormat="1" ht="12" hidden="1" customHeight="1">
      <c r="A3812" s="286"/>
    </row>
    <row r="3813" spans="1:1" s="287" customFormat="1" ht="12" hidden="1" customHeight="1">
      <c r="A3813" s="286"/>
    </row>
    <row r="3814" spans="1:1" s="287" customFormat="1" ht="12" hidden="1" customHeight="1">
      <c r="A3814" s="286"/>
    </row>
    <row r="3815" spans="1:1" s="287" customFormat="1" ht="12" hidden="1" customHeight="1">
      <c r="A3815" s="286"/>
    </row>
    <row r="3816" spans="1:1" s="287" customFormat="1" ht="12" hidden="1" customHeight="1">
      <c r="A3816" s="286"/>
    </row>
    <row r="3817" spans="1:1" s="287" customFormat="1" ht="12" hidden="1" customHeight="1">
      <c r="A3817" s="286"/>
    </row>
    <row r="3818" spans="1:1" s="287" customFormat="1" ht="12" hidden="1" customHeight="1">
      <c r="A3818" s="286"/>
    </row>
    <row r="3819" spans="1:1" s="287" customFormat="1" ht="12" hidden="1" customHeight="1">
      <c r="A3819" s="286"/>
    </row>
    <row r="3820" spans="1:1" s="287" customFormat="1" ht="12" hidden="1" customHeight="1">
      <c r="A3820" s="286"/>
    </row>
    <row r="3821" spans="1:1" s="287" customFormat="1" ht="12" hidden="1" customHeight="1">
      <c r="A3821" s="286"/>
    </row>
    <row r="3822" spans="1:1" s="287" customFormat="1" ht="12" hidden="1" customHeight="1">
      <c r="A3822" s="286"/>
    </row>
    <row r="3823" spans="1:1" s="287" customFormat="1" ht="12" hidden="1" customHeight="1">
      <c r="A3823" s="286"/>
    </row>
    <row r="3824" spans="1:1" s="287" customFormat="1" ht="12" hidden="1" customHeight="1">
      <c r="A3824" s="286"/>
    </row>
    <row r="3825" spans="1:1" s="287" customFormat="1" ht="12" hidden="1" customHeight="1">
      <c r="A3825" s="286"/>
    </row>
    <row r="3826" spans="1:1" s="287" customFormat="1" ht="12" hidden="1" customHeight="1">
      <c r="A3826" s="286"/>
    </row>
    <row r="3827" spans="1:1" s="287" customFormat="1" ht="12" hidden="1" customHeight="1">
      <c r="A3827" s="286"/>
    </row>
    <row r="3828" spans="1:1" s="287" customFormat="1" ht="12" hidden="1" customHeight="1">
      <c r="A3828" s="286"/>
    </row>
    <row r="3829" spans="1:1" s="287" customFormat="1" ht="12" hidden="1" customHeight="1">
      <c r="A3829" s="286"/>
    </row>
    <row r="3830" spans="1:1" s="287" customFormat="1" ht="12" hidden="1" customHeight="1">
      <c r="A3830" s="286"/>
    </row>
    <row r="3831" spans="1:1" s="287" customFormat="1" ht="12" hidden="1" customHeight="1">
      <c r="A3831" s="286"/>
    </row>
    <row r="3832" spans="1:1" s="287" customFormat="1" ht="12" hidden="1" customHeight="1">
      <c r="A3832" s="286"/>
    </row>
    <row r="3833" spans="1:1" s="287" customFormat="1" ht="12" hidden="1" customHeight="1">
      <c r="A3833" s="286"/>
    </row>
    <row r="3834" spans="1:1" s="287" customFormat="1" ht="12" hidden="1" customHeight="1">
      <c r="A3834" s="286"/>
    </row>
    <row r="3835" spans="1:1" s="287" customFormat="1" ht="12" hidden="1" customHeight="1">
      <c r="A3835" s="286"/>
    </row>
    <row r="3836" spans="1:1" s="287" customFormat="1" ht="12" hidden="1" customHeight="1">
      <c r="A3836" s="286"/>
    </row>
    <row r="3837" spans="1:1" s="287" customFormat="1" ht="12" hidden="1" customHeight="1">
      <c r="A3837" s="286"/>
    </row>
    <row r="3838" spans="1:1" s="287" customFormat="1" ht="12" hidden="1" customHeight="1">
      <c r="A3838" s="286"/>
    </row>
    <row r="3839" spans="1:1" s="287" customFormat="1" ht="12" hidden="1" customHeight="1">
      <c r="A3839" s="286"/>
    </row>
    <row r="3840" spans="1:1" s="287" customFormat="1" ht="12" hidden="1" customHeight="1">
      <c r="A3840" s="286"/>
    </row>
    <row r="3841" spans="1:1" s="287" customFormat="1" ht="12" hidden="1" customHeight="1">
      <c r="A3841" s="286"/>
    </row>
    <row r="3842" spans="1:1" s="287" customFormat="1" ht="12" hidden="1" customHeight="1">
      <c r="A3842" s="286"/>
    </row>
    <row r="3843" spans="1:1" s="287" customFormat="1" ht="12" hidden="1" customHeight="1">
      <c r="A3843" s="286"/>
    </row>
    <row r="3844" spans="1:1" s="287" customFormat="1" ht="12" hidden="1" customHeight="1">
      <c r="A3844" s="286"/>
    </row>
    <row r="3845" spans="1:1" s="287" customFormat="1" ht="12" hidden="1" customHeight="1">
      <c r="A3845" s="286"/>
    </row>
    <row r="3846" spans="1:1" s="287" customFormat="1" ht="12" hidden="1" customHeight="1">
      <c r="A3846" s="286"/>
    </row>
    <row r="3847" spans="1:1" s="287" customFormat="1" ht="12" hidden="1" customHeight="1">
      <c r="A3847" s="286"/>
    </row>
    <row r="3848" spans="1:1" s="287" customFormat="1" ht="12" hidden="1" customHeight="1">
      <c r="A3848" s="286"/>
    </row>
    <row r="3849" spans="1:1" s="287" customFormat="1" ht="12" hidden="1" customHeight="1">
      <c r="A3849" s="286"/>
    </row>
    <row r="3850" spans="1:1" s="287" customFormat="1" ht="12" hidden="1" customHeight="1">
      <c r="A3850" s="286"/>
    </row>
    <row r="3851" spans="1:1" s="287" customFormat="1" ht="12" hidden="1" customHeight="1">
      <c r="A3851" s="286"/>
    </row>
    <row r="3852" spans="1:1" s="287" customFormat="1" ht="12" hidden="1" customHeight="1">
      <c r="A3852" s="286"/>
    </row>
    <row r="3853" spans="1:1" s="287" customFormat="1" ht="12" hidden="1" customHeight="1">
      <c r="A3853" s="286"/>
    </row>
    <row r="3854" spans="1:1" s="287" customFormat="1" ht="12" hidden="1" customHeight="1">
      <c r="A3854" s="286"/>
    </row>
    <row r="3855" spans="1:1" s="287" customFormat="1" ht="12" hidden="1" customHeight="1">
      <c r="A3855" s="286"/>
    </row>
    <row r="3856" spans="1:1" s="287" customFormat="1" ht="12" hidden="1" customHeight="1">
      <c r="A3856" s="286"/>
    </row>
    <row r="3857" spans="1:1" s="287" customFormat="1" ht="12" hidden="1" customHeight="1">
      <c r="A3857" s="286"/>
    </row>
    <row r="3858" spans="1:1" s="287" customFormat="1" ht="12" hidden="1" customHeight="1">
      <c r="A3858" s="286"/>
    </row>
    <row r="3859" spans="1:1" s="287" customFormat="1" ht="12" hidden="1" customHeight="1">
      <c r="A3859" s="286"/>
    </row>
    <row r="3860" spans="1:1" s="287" customFormat="1" ht="12" hidden="1" customHeight="1">
      <c r="A3860" s="286"/>
    </row>
    <row r="3861" spans="1:1" s="287" customFormat="1" ht="12" hidden="1" customHeight="1">
      <c r="A3861" s="286"/>
    </row>
    <row r="3862" spans="1:1" s="287" customFormat="1" ht="12" hidden="1" customHeight="1">
      <c r="A3862" s="286"/>
    </row>
    <row r="3863" spans="1:1" s="287" customFormat="1" ht="12" hidden="1" customHeight="1">
      <c r="A3863" s="286"/>
    </row>
    <row r="3864" spans="1:1" s="287" customFormat="1" ht="12" hidden="1" customHeight="1">
      <c r="A3864" s="286"/>
    </row>
    <row r="3865" spans="1:1" s="287" customFormat="1" ht="12" hidden="1" customHeight="1">
      <c r="A3865" s="286"/>
    </row>
    <row r="3866" spans="1:1" s="287" customFormat="1" ht="12" hidden="1" customHeight="1">
      <c r="A3866" s="286"/>
    </row>
    <row r="3867" spans="1:1" s="287" customFormat="1" ht="12" hidden="1" customHeight="1">
      <c r="A3867" s="286"/>
    </row>
    <row r="3868" spans="1:1" s="287" customFormat="1" ht="12" hidden="1" customHeight="1">
      <c r="A3868" s="286"/>
    </row>
    <row r="3869" spans="1:1" s="287" customFormat="1" ht="12" hidden="1" customHeight="1">
      <c r="A3869" s="286"/>
    </row>
    <row r="3870" spans="1:1" s="287" customFormat="1" ht="12" hidden="1" customHeight="1">
      <c r="A3870" s="286"/>
    </row>
    <row r="3871" spans="1:1" s="287" customFormat="1" ht="12" hidden="1" customHeight="1">
      <c r="A3871" s="286"/>
    </row>
    <row r="3872" spans="1:1" s="287" customFormat="1" ht="12" hidden="1" customHeight="1">
      <c r="A3872" s="286"/>
    </row>
    <row r="3873" spans="1:1" s="287" customFormat="1" ht="12" hidden="1" customHeight="1">
      <c r="A3873" s="286"/>
    </row>
    <row r="3874" spans="1:1" s="287" customFormat="1" ht="12" hidden="1" customHeight="1">
      <c r="A3874" s="286"/>
    </row>
    <row r="3875" spans="1:1" s="287" customFormat="1" ht="12" hidden="1" customHeight="1">
      <c r="A3875" s="286"/>
    </row>
    <row r="3876" spans="1:1" s="287" customFormat="1" ht="12" hidden="1" customHeight="1">
      <c r="A3876" s="286"/>
    </row>
    <row r="3877" spans="1:1" s="287" customFormat="1" ht="12" hidden="1" customHeight="1">
      <c r="A3877" s="286"/>
    </row>
    <row r="3878" spans="1:1" s="287" customFormat="1" ht="12" hidden="1" customHeight="1">
      <c r="A3878" s="286"/>
    </row>
    <row r="3879" spans="1:1" s="287" customFormat="1" ht="12" hidden="1" customHeight="1">
      <c r="A3879" s="286"/>
    </row>
    <row r="3880" spans="1:1" s="287" customFormat="1" ht="12" hidden="1" customHeight="1">
      <c r="A3880" s="286"/>
    </row>
    <row r="3881" spans="1:1" s="287" customFormat="1" ht="12" hidden="1" customHeight="1">
      <c r="A3881" s="286"/>
    </row>
    <row r="3882" spans="1:1" s="287" customFormat="1" ht="12" hidden="1" customHeight="1">
      <c r="A3882" s="286"/>
    </row>
    <row r="3883" spans="1:1" s="287" customFormat="1" ht="12" hidden="1" customHeight="1">
      <c r="A3883" s="286"/>
    </row>
    <row r="3884" spans="1:1" s="287" customFormat="1" ht="12" hidden="1" customHeight="1">
      <c r="A3884" s="286"/>
    </row>
    <row r="3885" spans="1:1" s="287" customFormat="1" ht="12" hidden="1" customHeight="1">
      <c r="A3885" s="286"/>
    </row>
    <row r="3886" spans="1:1" s="287" customFormat="1" ht="12" hidden="1" customHeight="1">
      <c r="A3886" s="286"/>
    </row>
    <row r="3887" spans="1:1" s="287" customFormat="1" ht="12" hidden="1" customHeight="1">
      <c r="A3887" s="286"/>
    </row>
    <row r="3888" spans="1:1" s="287" customFormat="1" ht="12" hidden="1" customHeight="1">
      <c r="A3888" s="286"/>
    </row>
    <row r="3889" spans="1:1" s="287" customFormat="1" ht="12" hidden="1" customHeight="1">
      <c r="A3889" s="286"/>
    </row>
    <row r="3890" spans="1:1" s="287" customFormat="1" ht="12" hidden="1" customHeight="1">
      <c r="A3890" s="286"/>
    </row>
    <row r="3891" spans="1:1" s="287" customFormat="1" ht="12" hidden="1" customHeight="1">
      <c r="A3891" s="286"/>
    </row>
    <row r="3892" spans="1:1" s="287" customFormat="1" ht="12" hidden="1" customHeight="1">
      <c r="A3892" s="286"/>
    </row>
    <row r="3893" spans="1:1" s="287" customFormat="1" ht="12" hidden="1" customHeight="1">
      <c r="A3893" s="286"/>
    </row>
    <row r="3894" spans="1:1" s="287" customFormat="1" ht="12" hidden="1" customHeight="1">
      <c r="A3894" s="286"/>
    </row>
    <row r="3895" spans="1:1" s="287" customFormat="1" ht="12" hidden="1" customHeight="1">
      <c r="A3895" s="286"/>
    </row>
    <row r="3896" spans="1:1" s="287" customFormat="1" ht="12" hidden="1" customHeight="1">
      <c r="A3896" s="286"/>
    </row>
    <row r="3897" spans="1:1" s="287" customFormat="1" ht="12" hidden="1" customHeight="1">
      <c r="A3897" s="286"/>
    </row>
    <row r="3898" spans="1:1" s="287" customFormat="1" ht="12" hidden="1" customHeight="1">
      <c r="A3898" s="286"/>
    </row>
    <row r="3899" spans="1:1" s="287" customFormat="1" ht="12" hidden="1" customHeight="1">
      <c r="A3899" s="286"/>
    </row>
    <row r="3900" spans="1:1" s="287" customFormat="1" ht="12" hidden="1" customHeight="1">
      <c r="A3900" s="286"/>
    </row>
    <row r="3901" spans="1:1" s="287" customFormat="1" ht="12" hidden="1" customHeight="1">
      <c r="A3901" s="286"/>
    </row>
    <row r="3902" spans="1:1" s="287" customFormat="1" ht="12" hidden="1" customHeight="1">
      <c r="A3902" s="286"/>
    </row>
    <row r="3903" spans="1:1" s="287" customFormat="1" ht="12" hidden="1" customHeight="1">
      <c r="A3903" s="286"/>
    </row>
    <row r="3904" spans="1:1" s="287" customFormat="1" ht="12" hidden="1" customHeight="1">
      <c r="A3904" s="286"/>
    </row>
    <row r="3905" spans="1:1" s="287" customFormat="1" ht="12" hidden="1" customHeight="1">
      <c r="A3905" s="286"/>
    </row>
    <row r="3906" spans="1:1" s="287" customFormat="1" ht="12" hidden="1" customHeight="1">
      <c r="A3906" s="286"/>
    </row>
    <row r="3907" spans="1:1" s="287" customFormat="1" ht="12" hidden="1" customHeight="1">
      <c r="A3907" s="286"/>
    </row>
    <row r="3908" spans="1:1" s="287" customFormat="1" ht="12" hidden="1" customHeight="1">
      <c r="A3908" s="286"/>
    </row>
    <row r="3909" spans="1:1" s="287" customFormat="1" ht="12" hidden="1" customHeight="1">
      <c r="A3909" s="286"/>
    </row>
    <row r="3910" spans="1:1" s="287" customFormat="1" ht="12" hidden="1" customHeight="1">
      <c r="A3910" s="286"/>
    </row>
    <row r="3911" spans="1:1" s="287" customFormat="1" ht="12" hidden="1" customHeight="1">
      <c r="A3911" s="286"/>
    </row>
    <row r="3912" spans="1:1" s="287" customFormat="1" ht="12" hidden="1" customHeight="1">
      <c r="A3912" s="286"/>
    </row>
    <row r="3913" spans="1:1" s="287" customFormat="1" ht="12" hidden="1" customHeight="1">
      <c r="A3913" s="286"/>
    </row>
    <row r="3914" spans="1:1" s="287" customFormat="1" ht="12" hidden="1" customHeight="1">
      <c r="A3914" s="286"/>
    </row>
    <row r="3915" spans="1:1" s="287" customFormat="1" ht="12" hidden="1" customHeight="1">
      <c r="A3915" s="286"/>
    </row>
    <row r="3916" spans="1:1" s="287" customFormat="1" ht="12" hidden="1" customHeight="1">
      <c r="A3916" s="286"/>
    </row>
    <row r="3917" spans="1:1" s="287" customFormat="1" ht="12" hidden="1" customHeight="1">
      <c r="A3917" s="286"/>
    </row>
    <row r="3918" spans="1:1" s="287" customFormat="1" ht="12" hidden="1" customHeight="1">
      <c r="A3918" s="286"/>
    </row>
    <row r="3919" spans="1:1" s="287" customFormat="1" ht="12" hidden="1" customHeight="1">
      <c r="A3919" s="286"/>
    </row>
    <row r="3920" spans="1:1" s="287" customFormat="1" ht="12" hidden="1" customHeight="1">
      <c r="A3920" s="286"/>
    </row>
    <row r="3921" spans="1:1" s="287" customFormat="1" ht="12" hidden="1" customHeight="1">
      <c r="A3921" s="286"/>
    </row>
    <row r="3922" spans="1:1" s="287" customFormat="1" ht="12" hidden="1" customHeight="1">
      <c r="A3922" s="286"/>
    </row>
    <row r="3923" spans="1:1" s="287" customFormat="1" ht="12" hidden="1" customHeight="1">
      <c r="A3923" s="286"/>
    </row>
    <row r="3924" spans="1:1" s="287" customFormat="1" ht="12" hidden="1" customHeight="1">
      <c r="A3924" s="286"/>
    </row>
    <row r="3925" spans="1:1" s="287" customFormat="1" ht="12" hidden="1" customHeight="1">
      <c r="A3925" s="286"/>
    </row>
    <row r="3926" spans="1:1" s="287" customFormat="1" ht="12" hidden="1" customHeight="1">
      <c r="A3926" s="286"/>
    </row>
    <row r="3927" spans="1:1" s="287" customFormat="1" ht="12" hidden="1" customHeight="1">
      <c r="A3927" s="286"/>
    </row>
    <row r="3928" spans="1:1" s="287" customFormat="1" ht="12" hidden="1" customHeight="1">
      <c r="A3928" s="286"/>
    </row>
    <row r="3929" spans="1:1" s="287" customFormat="1" ht="12" hidden="1" customHeight="1">
      <c r="A3929" s="286"/>
    </row>
    <row r="3930" spans="1:1" s="287" customFormat="1" ht="12" hidden="1" customHeight="1">
      <c r="A3930" s="286"/>
    </row>
    <row r="3931" spans="1:1" s="287" customFormat="1" ht="12" hidden="1" customHeight="1">
      <c r="A3931" s="286"/>
    </row>
    <row r="3932" spans="1:1" s="287" customFormat="1" ht="12" hidden="1" customHeight="1">
      <c r="A3932" s="286"/>
    </row>
    <row r="3933" spans="1:1" s="287" customFormat="1" ht="12" hidden="1" customHeight="1">
      <c r="A3933" s="286"/>
    </row>
    <row r="3934" spans="1:1" s="287" customFormat="1" ht="12" hidden="1" customHeight="1">
      <c r="A3934" s="286"/>
    </row>
    <row r="3935" spans="1:1" s="287" customFormat="1" ht="12" hidden="1" customHeight="1">
      <c r="A3935" s="286"/>
    </row>
    <row r="3936" spans="1:1" s="287" customFormat="1" ht="12" hidden="1" customHeight="1">
      <c r="A3936" s="286"/>
    </row>
    <row r="3937" spans="1:1" s="287" customFormat="1" ht="12" hidden="1" customHeight="1">
      <c r="A3937" s="286"/>
    </row>
    <row r="3938" spans="1:1" s="287" customFormat="1" ht="12" hidden="1" customHeight="1">
      <c r="A3938" s="286"/>
    </row>
    <row r="3939" spans="1:1" s="287" customFormat="1" ht="12" hidden="1" customHeight="1">
      <c r="A3939" s="286"/>
    </row>
    <row r="3940" spans="1:1" s="287" customFormat="1" ht="12" hidden="1" customHeight="1">
      <c r="A3940" s="286"/>
    </row>
    <row r="3941" spans="1:1" s="287" customFormat="1" ht="12" hidden="1" customHeight="1">
      <c r="A3941" s="286"/>
    </row>
    <row r="3942" spans="1:1" s="287" customFormat="1" ht="12" hidden="1" customHeight="1">
      <c r="A3942" s="286"/>
    </row>
    <row r="3943" spans="1:1" s="287" customFormat="1" ht="12" hidden="1" customHeight="1">
      <c r="A3943" s="286"/>
    </row>
    <row r="3944" spans="1:1" s="287" customFormat="1" ht="12" hidden="1" customHeight="1">
      <c r="A3944" s="286"/>
    </row>
    <row r="3945" spans="1:1" s="287" customFormat="1" ht="12" hidden="1" customHeight="1">
      <c r="A3945" s="286"/>
    </row>
    <row r="3946" spans="1:1" s="287" customFormat="1" ht="12" hidden="1" customHeight="1">
      <c r="A3946" s="286"/>
    </row>
    <row r="3947" spans="1:1" s="287" customFormat="1" ht="12" hidden="1" customHeight="1">
      <c r="A3947" s="286"/>
    </row>
    <row r="3948" spans="1:1" s="287" customFormat="1" ht="12" hidden="1" customHeight="1">
      <c r="A3948" s="286"/>
    </row>
    <row r="3949" spans="1:1" s="287" customFormat="1" ht="12" hidden="1" customHeight="1">
      <c r="A3949" s="286"/>
    </row>
    <row r="3950" spans="1:1" s="287" customFormat="1" ht="12" hidden="1" customHeight="1">
      <c r="A3950" s="286"/>
    </row>
    <row r="3951" spans="1:1" s="287" customFormat="1" ht="12" hidden="1" customHeight="1">
      <c r="A3951" s="286"/>
    </row>
    <row r="3952" spans="1:1" s="287" customFormat="1" ht="12" hidden="1" customHeight="1">
      <c r="A3952" s="286"/>
    </row>
    <row r="3953" spans="1:1" s="287" customFormat="1" ht="12" hidden="1" customHeight="1">
      <c r="A3953" s="286"/>
    </row>
    <row r="3954" spans="1:1" s="287" customFormat="1" ht="12" hidden="1" customHeight="1">
      <c r="A3954" s="286"/>
    </row>
    <row r="3955" spans="1:1" s="287" customFormat="1" ht="12" hidden="1" customHeight="1">
      <c r="A3955" s="286"/>
    </row>
    <row r="3956" spans="1:1" s="287" customFormat="1" ht="12" hidden="1" customHeight="1">
      <c r="A3956" s="286"/>
    </row>
    <row r="3957" spans="1:1" s="287" customFormat="1" ht="12" hidden="1" customHeight="1">
      <c r="A3957" s="286"/>
    </row>
    <row r="3958" spans="1:1" s="287" customFormat="1" ht="12" hidden="1" customHeight="1">
      <c r="A3958" s="286"/>
    </row>
    <row r="3959" spans="1:1" s="287" customFormat="1" ht="12" hidden="1" customHeight="1">
      <c r="A3959" s="286"/>
    </row>
    <row r="3960" spans="1:1" s="287" customFormat="1" ht="12" hidden="1" customHeight="1">
      <c r="A3960" s="286"/>
    </row>
    <row r="3961" spans="1:1" s="287" customFormat="1" ht="12" hidden="1" customHeight="1">
      <c r="A3961" s="286"/>
    </row>
    <row r="3962" spans="1:1" s="287" customFormat="1" ht="12" hidden="1" customHeight="1">
      <c r="A3962" s="286"/>
    </row>
    <row r="3963" spans="1:1" s="287" customFormat="1" ht="12" hidden="1" customHeight="1">
      <c r="A3963" s="286"/>
    </row>
    <row r="3964" spans="1:1" s="287" customFormat="1" ht="12" hidden="1" customHeight="1">
      <c r="A3964" s="286"/>
    </row>
    <row r="3965" spans="1:1" s="287" customFormat="1" ht="12" hidden="1" customHeight="1">
      <c r="A3965" s="286"/>
    </row>
    <row r="3966" spans="1:1" s="287" customFormat="1" ht="12" hidden="1" customHeight="1">
      <c r="A3966" s="286"/>
    </row>
    <row r="3967" spans="1:1" s="287" customFormat="1" ht="12" hidden="1" customHeight="1">
      <c r="A3967" s="286"/>
    </row>
    <row r="3968" spans="1:1" s="287" customFormat="1" ht="12" hidden="1" customHeight="1">
      <c r="A3968" s="286"/>
    </row>
    <row r="3969" spans="1:1" s="287" customFormat="1" ht="12" hidden="1" customHeight="1">
      <c r="A3969" s="286"/>
    </row>
    <row r="3970" spans="1:1" s="287" customFormat="1" ht="12" hidden="1" customHeight="1">
      <c r="A3970" s="286"/>
    </row>
    <row r="3971" spans="1:1" s="287" customFormat="1" ht="12" hidden="1" customHeight="1">
      <c r="A3971" s="286"/>
    </row>
    <row r="3972" spans="1:1" s="287" customFormat="1" ht="12" hidden="1" customHeight="1">
      <c r="A3972" s="286"/>
    </row>
    <row r="3973" spans="1:1" s="287" customFormat="1" ht="12" hidden="1" customHeight="1">
      <c r="A3973" s="286"/>
    </row>
    <row r="3974" spans="1:1" s="287" customFormat="1" ht="12" hidden="1" customHeight="1">
      <c r="A3974" s="286"/>
    </row>
    <row r="3975" spans="1:1" s="287" customFormat="1" ht="12" hidden="1" customHeight="1">
      <c r="A3975" s="286"/>
    </row>
    <row r="3976" spans="1:1" s="287" customFormat="1" ht="12" hidden="1" customHeight="1">
      <c r="A3976" s="286"/>
    </row>
    <row r="3977" spans="1:1" s="287" customFormat="1" ht="12" hidden="1" customHeight="1">
      <c r="A3977" s="286"/>
    </row>
    <row r="3978" spans="1:1" s="287" customFormat="1" ht="12" hidden="1" customHeight="1">
      <c r="A3978" s="286"/>
    </row>
    <row r="3979" spans="1:1" s="287" customFormat="1" ht="12" hidden="1" customHeight="1">
      <c r="A3979" s="286"/>
    </row>
    <row r="3980" spans="1:1" s="287" customFormat="1" ht="12" hidden="1" customHeight="1">
      <c r="A3980" s="286"/>
    </row>
    <row r="3981" spans="1:1" s="287" customFormat="1" ht="12" hidden="1" customHeight="1">
      <c r="A3981" s="286"/>
    </row>
    <row r="3982" spans="1:1" s="287" customFormat="1" ht="12" hidden="1" customHeight="1">
      <c r="A3982" s="286"/>
    </row>
    <row r="3983" spans="1:1" s="287" customFormat="1" ht="12" hidden="1" customHeight="1">
      <c r="A3983" s="286"/>
    </row>
    <row r="3984" spans="1:1" s="287" customFormat="1" ht="12" hidden="1" customHeight="1">
      <c r="A3984" s="286"/>
    </row>
    <row r="3985" spans="1:1" s="287" customFormat="1" ht="12" hidden="1" customHeight="1">
      <c r="A3985" s="286"/>
    </row>
    <row r="3986" spans="1:1" s="287" customFormat="1" ht="12" hidden="1" customHeight="1">
      <c r="A3986" s="286"/>
    </row>
    <row r="3987" spans="1:1" s="287" customFormat="1" ht="12" hidden="1" customHeight="1">
      <c r="A3987" s="286"/>
    </row>
    <row r="3988" spans="1:1" s="287" customFormat="1" ht="12" hidden="1" customHeight="1">
      <c r="A3988" s="286"/>
    </row>
    <row r="3989" spans="1:1" s="287" customFormat="1" ht="12" hidden="1" customHeight="1">
      <c r="A3989" s="286"/>
    </row>
    <row r="3990" spans="1:1" s="287" customFormat="1" ht="12" hidden="1" customHeight="1">
      <c r="A3990" s="286"/>
    </row>
    <row r="3991" spans="1:1" s="287" customFormat="1" ht="12" hidden="1" customHeight="1">
      <c r="A3991" s="286"/>
    </row>
    <row r="3992" spans="1:1" s="287" customFormat="1" ht="12" hidden="1" customHeight="1">
      <c r="A3992" s="286"/>
    </row>
    <row r="3993" spans="1:1" s="287" customFormat="1" ht="12" hidden="1" customHeight="1">
      <c r="A3993" s="286"/>
    </row>
    <row r="3994" spans="1:1" s="287" customFormat="1" ht="12" hidden="1" customHeight="1">
      <c r="A3994" s="286"/>
    </row>
    <row r="3995" spans="1:1" s="287" customFormat="1" ht="12" hidden="1" customHeight="1">
      <c r="A3995" s="286"/>
    </row>
    <row r="3996" spans="1:1" s="287" customFormat="1" ht="12" hidden="1" customHeight="1">
      <c r="A3996" s="286"/>
    </row>
    <row r="3997" spans="1:1" s="287" customFormat="1" ht="12" hidden="1" customHeight="1">
      <c r="A3997" s="286"/>
    </row>
    <row r="3998" spans="1:1" s="287" customFormat="1" ht="12" hidden="1" customHeight="1">
      <c r="A3998" s="286"/>
    </row>
    <row r="3999" spans="1:1" s="287" customFormat="1" ht="12" hidden="1" customHeight="1">
      <c r="A3999" s="286"/>
    </row>
    <row r="4000" spans="1:1" s="287" customFormat="1" ht="12" hidden="1" customHeight="1">
      <c r="A4000" s="286"/>
    </row>
    <row r="4001" spans="1:1" s="287" customFormat="1" ht="12" hidden="1" customHeight="1">
      <c r="A4001" s="286"/>
    </row>
    <row r="4002" spans="1:1" s="287" customFormat="1" ht="12" hidden="1" customHeight="1">
      <c r="A4002" s="286"/>
    </row>
    <row r="4003" spans="1:1" s="287" customFormat="1" ht="12" hidden="1" customHeight="1">
      <c r="A4003" s="286"/>
    </row>
    <row r="4004" spans="1:1" s="287" customFormat="1" ht="12" hidden="1" customHeight="1">
      <c r="A4004" s="286"/>
    </row>
    <row r="4005" spans="1:1" s="287" customFormat="1" ht="12" hidden="1" customHeight="1">
      <c r="A4005" s="286"/>
    </row>
    <row r="4006" spans="1:1" s="287" customFormat="1" ht="12" hidden="1" customHeight="1">
      <c r="A4006" s="286"/>
    </row>
    <row r="4007" spans="1:1" s="287" customFormat="1" ht="12" hidden="1" customHeight="1">
      <c r="A4007" s="286"/>
    </row>
    <row r="4008" spans="1:1" s="287" customFormat="1" ht="12" hidden="1" customHeight="1">
      <c r="A4008" s="286"/>
    </row>
    <row r="4009" spans="1:1" s="287" customFormat="1" ht="12" hidden="1" customHeight="1">
      <c r="A4009" s="286"/>
    </row>
    <row r="4010" spans="1:1" s="287" customFormat="1" ht="12" hidden="1" customHeight="1">
      <c r="A4010" s="286"/>
    </row>
    <row r="4011" spans="1:1" s="287" customFormat="1" ht="12" hidden="1" customHeight="1">
      <c r="A4011" s="286"/>
    </row>
    <row r="4012" spans="1:1" s="287" customFormat="1" ht="12" hidden="1" customHeight="1">
      <c r="A4012" s="286"/>
    </row>
    <row r="4013" spans="1:1" s="287" customFormat="1" ht="12" hidden="1" customHeight="1">
      <c r="A4013" s="286"/>
    </row>
    <row r="4014" spans="1:1" s="287" customFormat="1" ht="12" hidden="1" customHeight="1">
      <c r="A4014" s="286"/>
    </row>
    <row r="4015" spans="1:1" s="287" customFormat="1" ht="12" hidden="1" customHeight="1">
      <c r="A4015" s="286"/>
    </row>
    <row r="4016" spans="1:1" s="287" customFormat="1" ht="12" hidden="1" customHeight="1">
      <c r="A4016" s="286"/>
    </row>
    <row r="4017" spans="1:1" s="287" customFormat="1" ht="12" hidden="1" customHeight="1">
      <c r="A4017" s="286"/>
    </row>
    <row r="4018" spans="1:1" s="287" customFormat="1" ht="12" hidden="1" customHeight="1">
      <c r="A4018" s="286"/>
    </row>
    <row r="4019" spans="1:1" s="287" customFormat="1" ht="12" hidden="1" customHeight="1">
      <c r="A4019" s="286"/>
    </row>
    <row r="4020" spans="1:1" s="287" customFormat="1" ht="12" hidden="1" customHeight="1">
      <c r="A4020" s="286"/>
    </row>
    <row r="4021" spans="1:1" s="287" customFormat="1" ht="12" hidden="1" customHeight="1">
      <c r="A4021" s="286"/>
    </row>
    <row r="4022" spans="1:1" s="287" customFormat="1" ht="12" hidden="1" customHeight="1">
      <c r="A4022" s="286"/>
    </row>
    <row r="4023" spans="1:1" s="287" customFormat="1" ht="12" hidden="1" customHeight="1">
      <c r="A4023" s="286"/>
    </row>
    <row r="4024" spans="1:1" s="287" customFormat="1" ht="12" hidden="1" customHeight="1">
      <c r="A4024" s="286"/>
    </row>
    <row r="4025" spans="1:1" s="287" customFormat="1" ht="12" hidden="1" customHeight="1">
      <c r="A4025" s="286"/>
    </row>
    <row r="4026" spans="1:1" s="287" customFormat="1" ht="12" hidden="1" customHeight="1">
      <c r="A4026" s="286"/>
    </row>
    <row r="4027" spans="1:1" s="287" customFormat="1" ht="12" hidden="1" customHeight="1">
      <c r="A4027" s="286"/>
    </row>
    <row r="4028" spans="1:1" s="287" customFormat="1" ht="12" hidden="1" customHeight="1">
      <c r="A4028" s="286"/>
    </row>
    <row r="4029" spans="1:1" s="287" customFormat="1" ht="12" hidden="1" customHeight="1">
      <c r="A4029" s="286"/>
    </row>
    <row r="4030" spans="1:1" s="287" customFormat="1" ht="12" hidden="1" customHeight="1">
      <c r="A4030" s="286"/>
    </row>
    <row r="4031" spans="1:1" s="287" customFormat="1" ht="12" hidden="1" customHeight="1">
      <c r="A4031" s="286"/>
    </row>
    <row r="4032" spans="1:1" s="287" customFormat="1" ht="12" hidden="1" customHeight="1">
      <c r="A4032" s="286"/>
    </row>
    <row r="4033" spans="1:1" s="287" customFormat="1" ht="12" hidden="1" customHeight="1">
      <c r="A4033" s="286"/>
    </row>
    <row r="4034" spans="1:1" s="287" customFormat="1" ht="12" hidden="1" customHeight="1">
      <c r="A4034" s="286"/>
    </row>
    <row r="4035" spans="1:1" s="287" customFormat="1" ht="12" hidden="1" customHeight="1">
      <c r="A4035" s="286"/>
    </row>
    <row r="4036" spans="1:1" s="287" customFormat="1" ht="12" hidden="1" customHeight="1">
      <c r="A4036" s="286"/>
    </row>
    <row r="4037" spans="1:1" s="287" customFormat="1" ht="12" hidden="1" customHeight="1">
      <c r="A4037" s="286"/>
    </row>
    <row r="4038" spans="1:1" s="287" customFormat="1" ht="12" hidden="1" customHeight="1">
      <c r="A4038" s="286"/>
    </row>
    <row r="4039" spans="1:1" s="287" customFormat="1" ht="12" hidden="1" customHeight="1">
      <c r="A4039" s="286"/>
    </row>
    <row r="4040" spans="1:1" s="287" customFormat="1" ht="12" hidden="1" customHeight="1">
      <c r="A4040" s="286"/>
    </row>
    <row r="4041" spans="1:1" s="287" customFormat="1" ht="12" hidden="1" customHeight="1">
      <c r="A4041" s="286"/>
    </row>
    <row r="4042" spans="1:1" s="287" customFormat="1" ht="12" hidden="1" customHeight="1">
      <c r="A4042" s="286"/>
    </row>
    <row r="4043" spans="1:1" s="287" customFormat="1" ht="12" hidden="1" customHeight="1">
      <c r="A4043" s="286"/>
    </row>
    <row r="4044" spans="1:1" s="287" customFormat="1" ht="12" hidden="1" customHeight="1">
      <c r="A4044" s="286"/>
    </row>
    <row r="4045" spans="1:1" s="287" customFormat="1" ht="12" hidden="1" customHeight="1">
      <c r="A4045" s="286"/>
    </row>
    <row r="4046" spans="1:1" s="287" customFormat="1" ht="12" hidden="1" customHeight="1">
      <c r="A4046" s="286"/>
    </row>
    <row r="4047" spans="1:1" s="287" customFormat="1" ht="12" hidden="1" customHeight="1">
      <c r="A4047" s="286"/>
    </row>
    <row r="4048" spans="1:1" s="287" customFormat="1" ht="12" hidden="1" customHeight="1">
      <c r="A4048" s="286"/>
    </row>
    <row r="4049" spans="1:1" s="287" customFormat="1" ht="12" hidden="1" customHeight="1">
      <c r="A4049" s="286"/>
    </row>
    <row r="4050" spans="1:1" s="287" customFormat="1" ht="12" hidden="1" customHeight="1">
      <c r="A4050" s="286"/>
    </row>
    <row r="4051" spans="1:1" s="287" customFormat="1" ht="12" hidden="1" customHeight="1">
      <c r="A4051" s="286"/>
    </row>
    <row r="4052" spans="1:1" s="287" customFormat="1" ht="12" hidden="1" customHeight="1">
      <c r="A4052" s="286"/>
    </row>
    <row r="4053" spans="1:1" s="287" customFormat="1" ht="12" hidden="1" customHeight="1">
      <c r="A4053" s="286"/>
    </row>
    <row r="4054" spans="1:1" s="287" customFormat="1" ht="12" hidden="1" customHeight="1">
      <c r="A4054" s="286"/>
    </row>
    <row r="4055" spans="1:1" s="287" customFormat="1" ht="12" hidden="1" customHeight="1">
      <c r="A4055" s="286"/>
    </row>
    <row r="4056" spans="1:1" s="287" customFormat="1" ht="12" hidden="1" customHeight="1">
      <c r="A4056" s="286"/>
    </row>
    <row r="4057" spans="1:1" s="287" customFormat="1" ht="12" hidden="1" customHeight="1">
      <c r="A4057" s="286"/>
    </row>
    <row r="4058" spans="1:1" s="287" customFormat="1" ht="12" hidden="1" customHeight="1">
      <c r="A4058" s="286"/>
    </row>
    <row r="4059" spans="1:1" s="287" customFormat="1" ht="12" hidden="1" customHeight="1">
      <c r="A4059" s="286"/>
    </row>
    <row r="4060" spans="1:1" s="287" customFormat="1" ht="12" hidden="1" customHeight="1">
      <c r="A4060" s="286"/>
    </row>
    <row r="4061" spans="1:1" s="287" customFormat="1" ht="12" hidden="1" customHeight="1">
      <c r="A4061" s="286"/>
    </row>
    <row r="4062" spans="1:1" s="287" customFormat="1" ht="12" hidden="1" customHeight="1">
      <c r="A4062" s="286"/>
    </row>
    <row r="4063" spans="1:1" s="287" customFormat="1" ht="12" hidden="1" customHeight="1">
      <c r="A4063" s="286"/>
    </row>
    <row r="4064" spans="1:1" s="287" customFormat="1" ht="12" hidden="1" customHeight="1">
      <c r="A4064" s="286"/>
    </row>
    <row r="4065" spans="1:1" s="287" customFormat="1" ht="12" hidden="1" customHeight="1">
      <c r="A4065" s="286"/>
    </row>
    <row r="4066" spans="1:1" s="287" customFormat="1" ht="12" hidden="1" customHeight="1">
      <c r="A4066" s="286"/>
    </row>
    <row r="4067" spans="1:1" s="287" customFormat="1" ht="12" hidden="1" customHeight="1">
      <c r="A4067" s="286"/>
    </row>
    <row r="4068" spans="1:1" s="287" customFormat="1" ht="12" hidden="1" customHeight="1">
      <c r="A4068" s="286"/>
    </row>
    <row r="4069" spans="1:1" s="287" customFormat="1" ht="12" hidden="1" customHeight="1">
      <c r="A4069" s="286"/>
    </row>
    <row r="4070" spans="1:1" s="287" customFormat="1" ht="12" hidden="1" customHeight="1">
      <c r="A4070" s="286"/>
    </row>
    <row r="4071" spans="1:1" s="287" customFormat="1" ht="12" hidden="1" customHeight="1">
      <c r="A4071" s="286"/>
    </row>
    <row r="4072" spans="1:1" s="287" customFormat="1" ht="12" hidden="1" customHeight="1">
      <c r="A4072" s="286"/>
    </row>
    <row r="4073" spans="1:1" s="287" customFormat="1" ht="12" hidden="1" customHeight="1">
      <c r="A4073" s="286"/>
    </row>
    <row r="4074" spans="1:1" s="287" customFormat="1" ht="12" hidden="1" customHeight="1">
      <c r="A4074" s="286"/>
    </row>
    <row r="4075" spans="1:1" s="287" customFormat="1" ht="12" hidden="1" customHeight="1">
      <c r="A4075" s="286"/>
    </row>
    <row r="4076" spans="1:1" s="287" customFormat="1" ht="12" hidden="1" customHeight="1">
      <c r="A4076" s="286"/>
    </row>
    <row r="4077" spans="1:1" s="287" customFormat="1" ht="12" hidden="1" customHeight="1">
      <c r="A4077" s="286"/>
    </row>
    <row r="4078" spans="1:1" s="287" customFormat="1" ht="12" hidden="1" customHeight="1">
      <c r="A4078" s="286"/>
    </row>
    <row r="4079" spans="1:1" s="287" customFormat="1" ht="12" hidden="1" customHeight="1">
      <c r="A4079" s="286"/>
    </row>
    <row r="4080" spans="1:1" s="287" customFormat="1" ht="12" hidden="1" customHeight="1">
      <c r="A4080" s="286"/>
    </row>
    <row r="4081" spans="1:1" s="287" customFormat="1" ht="12" hidden="1" customHeight="1">
      <c r="A4081" s="286"/>
    </row>
    <row r="4082" spans="1:1" s="287" customFormat="1" ht="12" hidden="1" customHeight="1">
      <c r="A4082" s="286"/>
    </row>
    <row r="4083" spans="1:1" s="287" customFormat="1" ht="12" hidden="1" customHeight="1">
      <c r="A4083" s="286"/>
    </row>
    <row r="4084" spans="1:1" s="287" customFormat="1" ht="12" hidden="1" customHeight="1">
      <c r="A4084" s="286"/>
    </row>
    <row r="4085" spans="1:1" s="287" customFormat="1" ht="12" hidden="1" customHeight="1">
      <c r="A4085" s="286"/>
    </row>
    <row r="4086" spans="1:1" s="287" customFormat="1" ht="12" hidden="1" customHeight="1">
      <c r="A4086" s="286"/>
    </row>
    <row r="4087" spans="1:1" s="287" customFormat="1" ht="12" hidden="1" customHeight="1">
      <c r="A4087" s="286"/>
    </row>
    <row r="4088" spans="1:1" s="287" customFormat="1" ht="12" hidden="1" customHeight="1">
      <c r="A4088" s="286"/>
    </row>
    <row r="4089" spans="1:1" s="287" customFormat="1" ht="12" hidden="1" customHeight="1">
      <c r="A4089" s="286"/>
    </row>
    <row r="4090" spans="1:1" s="287" customFormat="1" ht="12" hidden="1" customHeight="1">
      <c r="A4090" s="286"/>
    </row>
    <row r="4091" spans="1:1" s="287" customFormat="1" ht="12" hidden="1" customHeight="1">
      <c r="A4091" s="286"/>
    </row>
    <row r="4092" spans="1:1" s="287" customFormat="1" ht="12" hidden="1" customHeight="1">
      <c r="A4092" s="286"/>
    </row>
    <row r="4093" spans="1:1" s="287" customFormat="1" ht="12" hidden="1" customHeight="1">
      <c r="A4093" s="286"/>
    </row>
    <row r="4094" spans="1:1" s="287" customFormat="1" ht="12" hidden="1" customHeight="1">
      <c r="A4094" s="286"/>
    </row>
    <row r="4095" spans="1:1" s="287" customFormat="1" ht="12" hidden="1" customHeight="1">
      <c r="A4095" s="286"/>
    </row>
    <row r="4096" spans="1:1" s="287" customFormat="1" ht="12" hidden="1" customHeight="1">
      <c r="A4096" s="286"/>
    </row>
    <row r="4097" spans="1:1" s="287" customFormat="1" ht="12" hidden="1" customHeight="1">
      <c r="A4097" s="286"/>
    </row>
    <row r="4098" spans="1:1" s="287" customFormat="1" ht="12" hidden="1" customHeight="1">
      <c r="A4098" s="286"/>
    </row>
    <row r="4099" spans="1:1" s="287" customFormat="1" ht="12" hidden="1" customHeight="1">
      <c r="A4099" s="286"/>
    </row>
    <row r="4100" spans="1:1" s="287" customFormat="1" ht="12" hidden="1" customHeight="1">
      <c r="A4100" s="286"/>
    </row>
    <row r="4101" spans="1:1" s="287" customFormat="1" ht="12" hidden="1" customHeight="1">
      <c r="A4101" s="286"/>
    </row>
    <row r="4102" spans="1:1" s="287" customFormat="1" ht="12" hidden="1" customHeight="1">
      <c r="A4102" s="286"/>
    </row>
    <row r="4103" spans="1:1" s="287" customFormat="1" ht="12" hidden="1" customHeight="1">
      <c r="A4103" s="286"/>
    </row>
    <row r="4104" spans="1:1" s="287" customFormat="1" ht="12" hidden="1" customHeight="1">
      <c r="A4104" s="286"/>
    </row>
    <row r="4105" spans="1:1" s="287" customFormat="1" ht="12" hidden="1" customHeight="1">
      <c r="A4105" s="286"/>
    </row>
    <row r="4106" spans="1:1" s="287" customFormat="1" ht="12" hidden="1" customHeight="1">
      <c r="A4106" s="286"/>
    </row>
    <row r="4107" spans="1:1" s="287" customFormat="1" ht="12" hidden="1" customHeight="1">
      <c r="A4107" s="286"/>
    </row>
    <row r="4108" spans="1:1" s="287" customFormat="1" ht="12" hidden="1" customHeight="1">
      <c r="A4108" s="286"/>
    </row>
    <row r="4109" spans="1:1" s="287" customFormat="1" ht="12" hidden="1" customHeight="1">
      <c r="A4109" s="286"/>
    </row>
    <row r="4110" spans="1:1" s="287" customFormat="1" ht="12" hidden="1" customHeight="1">
      <c r="A4110" s="286"/>
    </row>
    <row r="4111" spans="1:1" s="287" customFormat="1" ht="12" hidden="1" customHeight="1">
      <c r="A4111" s="286"/>
    </row>
    <row r="4112" spans="1:1" s="287" customFormat="1" ht="12" hidden="1" customHeight="1">
      <c r="A4112" s="286"/>
    </row>
    <row r="4113" spans="1:1" s="287" customFormat="1" ht="12" hidden="1" customHeight="1">
      <c r="A4113" s="286"/>
    </row>
    <row r="4114" spans="1:1" s="287" customFormat="1" ht="12" hidden="1" customHeight="1">
      <c r="A4114" s="286"/>
    </row>
    <row r="4115" spans="1:1" s="287" customFormat="1" ht="12" hidden="1" customHeight="1">
      <c r="A4115" s="286"/>
    </row>
    <row r="4116" spans="1:1" s="287" customFormat="1" ht="12" hidden="1" customHeight="1">
      <c r="A4116" s="286"/>
    </row>
    <row r="4117" spans="1:1" s="287" customFormat="1" ht="12" hidden="1" customHeight="1">
      <c r="A4117" s="286"/>
    </row>
    <row r="4118" spans="1:1" s="287" customFormat="1" ht="12" hidden="1" customHeight="1">
      <c r="A4118" s="286"/>
    </row>
    <row r="4119" spans="1:1" s="287" customFormat="1" ht="12" hidden="1" customHeight="1">
      <c r="A4119" s="286"/>
    </row>
    <row r="4120" spans="1:1" s="287" customFormat="1" ht="12" hidden="1" customHeight="1">
      <c r="A4120" s="286"/>
    </row>
    <row r="4121" spans="1:1" s="287" customFormat="1" ht="12" hidden="1" customHeight="1">
      <c r="A4121" s="286"/>
    </row>
    <row r="4122" spans="1:1" s="287" customFormat="1" ht="12" hidden="1" customHeight="1">
      <c r="A4122" s="286"/>
    </row>
    <row r="4123" spans="1:1" s="287" customFormat="1" ht="12" hidden="1" customHeight="1">
      <c r="A4123" s="286"/>
    </row>
    <row r="4124" spans="1:1" s="287" customFormat="1" ht="12" hidden="1" customHeight="1">
      <c r="A4124" s="286"/>
    </row>
    <row r="4125" spans="1:1" s="287" customFormat="1" ht="12" hidden="1" customHeight="1">
      <c r="A4125" s="286"/>
    </row>
    <row r="4126" spans="1:1" s="287" customFormat="1" ht="12" hidden="1" customHeight="1">
      <c r="A4126" s="286"/>
    </row>
    <row r="4127" spans="1:1" s="287" customFormat="1" ht="12" hidden="1" customHeight="1">
      <c r="A4127" s="286"/>
    </row>
    <row r="4128" spans="1:1" s="287" customFormat="1" ht="12" hidden="1" customHeight="1">
      <c r="A4128" s="286"/>
    </row>
    <row r="4129" spans="1:1" s="287" customFormat="1" ht="12" hidden="1" customHeight="1">
      <c r="A4129" s="286"/>
    </row>
    <row r="4130" spans="1:1" s="287" customFormat="1" ht="12" hidden="1" customHeight="1">
      <c r="A4130" s="286"/>
    </row>
    <row r="4131" spans="1:1" s="287" customFormat="1" ht="12" hidden="1" customHeight="1">
      <c r="A4131" s="286"/>
    </row>
    <row r="4132" spans="1:1" s="287" customFormat="1" ht="12" hidden="1" customHeight="1">
      <c r="A4132" s="286"/>
    </row>
    <row r="4133" spans="1:1" s="287" customFormat="1" ht="12" hidden="1" customHeight="1">
      <c r="A4133" s="286"/>
    </row>
    <row r="4134" spans="1:1" s="287" customFormat="1" ht="12" hidden="1" customHeight="1">
      <c r="A4134" s="286"/>
    </row>
    <row r="4135" spans="1:1" s="287" customFormat="1" ht="12" hidden="1" customHeight="1">
      <c r="A4135" s="286"/>
    </row>
    <row r="4136" spans="1:1" s="287" customFormat="1" ht="12" hidden="1" customHeight="1">
      <c r="A4136" s="286"/>
    </row>
    <row r="4137" spans="1:1" s="287" customFormat="1" ht="12" hidden="1" customHeight="1">
      <c r="A4137" s="286"/>
    </row>
    <row r="4138" spans="1:1" s="287" customFormat="1" ht="12" hidden="1" customHeight="1">
      <c r="A4138" s="286"/>
    </row>
    <row r="4139" spans="1:1" s="287" customFormat="1" ht="12" hidden="1" customHeight="1">
      <c r="A4139" s="286"/>
    </row>
    <row r="4140" spans="1:1" s="287" customFormat="1" ht="12" hidden="1" customHeight="1">
      <c r="A4140" s="286"/>
    </row>
    <row r="4141" spans="1:1" s="287" customFormat="1" ht="12" hidden="1" customHeight="1">
      <c r="A4141" s="286"/>
    </row>
    <row r="4142" spans="1:1" s="287" customFormat="1" ht="12" hidden="1" customHeight="1">
      <c r="A4142" s="286"/>
    </row>
    <row r="4143" spans="1:1" s="287" customFormat="1" ht="12" hidden="1" customHeight="1">
      <c r="A4143" s="286"/>
    </row>
    <row r="4144" spans="1:1" s="287" customFormat="1" ht="12" hidden="1" customHeight="1">
      <c r="A4144" s="286"/>
    </row>
    <row r="4145" spans="1:1" s="287" customFormat="1" ht="12" hidden="1" customHeight="1">
      <c r="A4145" s="286"/>
    </row>
    <row r="4146" spans="1:1" s="287" customFormat="1" ht="12" hidden="1" customHeight="1">
      <c r="A4146" s="286"/>
    </row>
    <row r="4147" spans="1:1" s="287" customFormat="1" ht="12" hidden="1" customHeight="1">
      <c r="A4147" s="286"/>
    </row>
    <row r="4148" spans="1:1" s="287" customFormat="1" ht="12" hidden="1" customHeight="1">
      <c r="A4148" s="286"/>
    </row>
    <row r="4149" spans="1:1" s="287" customFormat="1" ht="12" hidden="1" customHeight="1">
      <c r="A4149" s="286"/>
    </row>
    <row r="4150" spans="1:1" s="287" customFormat="1" ht="12" hidden="1" customHeight="1">
      <c r="A4150" s="286"/>
    </row>
    <row r="4151" spans="1:1" s="287" customFormat="1" ht="12" hidden="1" customHeight="1">
      <c r="A4151" s="286"/>
    </row>
    <row r="4152" spans="1:1" s="287" customFormat="1" ht="12" hidden="1" customHeight="1">
      <c r="A4152" s="286"/>
    </row>
    <row r="4153" spans="1:1" s="287" customFormat="1" ht="12" hidden="1" customHeight="1">
      <c r="A4153" s="286"/>
    </row>
    <row r="4154" spans="1:1" s="287" customFormat="1" ht="12" hidden="1" customHeight="1">
      <c r="A4154" s="286"/>
    </row>
    <row r="4155" spans="1:1" s="287" customFormat="1" ht="12" hidden="1" customHeight="1">
      <c r="A4155" s="286"/>
    </row>
    <row r="4156" spans="1:1" s="287" customFormat="1" ht="12" hidden="1" customHeight="1">
      <c r="A4156" s="286"/>
    </row>
    <row r="4157" spans="1:1" s="287" customFormat="1" ht="12" hidden="1" customHeight="1">
      <c r="A4157" s="286"/>
    </row>
    <row r="4158" spans="1:1" s="287" customFormat="1" ht="12" hidden="1" customHeight="1">
      <c r="A4158" s="286"/>
    </row>
    <row r="4159" spans="1:1" s="287" customFormat="1" ht="12" hidden="1" customHeight="1">
      <c r="A4159" s="286"/>
    </row>
    <row r="4160" spans="1:1" s="287" customFormat="1" ht="12" hidden="1" customHeight="1">
      <c r="A4160" s="286"/>
    </row>
    <row r="4161" spans="1:1" s="287" customFormat="1" ht="12" hidden="1" customHeight="1">
      <c r="A4161" s="286"/>
    </row>
    <row r="4162" spans="1:1" s="287" customFormat="1" ht="12" hidden="1" customHeight="1">
      <c r="A4162" s="286"/>
    </row>
    <row r="4163" spans="1:1" s="287" customFormat="1" ht="12" hidden="1" customHeight="1">
      <c r="A4163" s="286"/>
    </row>
    <row r="4164" spans="1:1" s="287" customFormat="1" ht="12" hidden="1" customHeight="1">
      <c r="A4164" s="286"/>
    </row>
    <row r="4165" spans="1:1" s="287" customFormat="1" ht="12" hidden="1" customHeight="1">
      <c r="A4165" s="286"/>
    </row>
    <row r="4166" spans="1:1" s="287" customFormat="1" ht="12" hidden="1" customHeight="1">
      <c r="A4166" s="286"/>
    </row>
    <row r="4167" spans="1:1" s="287" customFormat="1" ht="12" hidden="1" customHeight="1">
      <c r="A4167" s="286"/>
    </row>
    <row r="4168" spans="1:1" s="287" customFormat="1" ht="12" hidden="1" customHeight="1">
      <c r="A4168" s="286"/>
    </row>
    <row r="4169" spans="1:1" s="287" customFormat="1" ht="12" hidden="1" customHeight="1">
      <c r="A4169" s="286"/>
    </row>
    <row r="4170" spans="1:1" s="287" customFormat="1" ht="12" hidden="1" customHeight="1">
      <c r="A4170" s="286"/>
    </row>
    <row r="4171" spans="1:1" s="287" customFormat="1" ht="12" hidden="1" customHeight="1">
      <c r="A4171" s="286"/>
    </row>
    <row r="4172" spans="1:1" s="287" customFormat="1" ht="12" hidden="1" customHeight="1">
      <c r="A4172" s="286"/>
    </row>
    <row r="4173" spans="1:1" s="287" customFormat="1" ht="12" hidden="1" customHeight="1">
      <c r="A4173" s="286"/>
    </row>
    <row r="4174" spans="1:1" s="287" customFormat="1" ht="12" hidden="1" customHeight="1">
      <c r="A4174" s="286"/>
    </row>
    <row r="4175" spans="1:1" s="287" customFormat="1" ht="12" hidden="1" customHeight="1">
      <c r="A4175" s="286"/>
    </row>
    <row r="4176" spans="1:1" s="287" customFormat="1" ht="12" hidden="1" customHeight="1">
      <c r="A4176" s="286"/>
    </row>
    <row r="4177" spans="1:1" s="287" customFormat="1" ht="12" hidden="1" customHeight="1">
      <c r="A4177" s="286"/>
    </row>
    <row r="4178" spans="1:1" s="287" customFormat="1" ht="12" hidden="1" customHeight="1">
      <c r="A4178" s="286"/>
    </row>
    <row r="4179" spans="1:1" s="287" customFormat="1" ht="12" hidden="1" customHeight="1">
      <c r="A4179" s="286"/>
    </row>
    <row r="4180" spans="1:1" s="287" customFormat="1" ht="12" hidden="1" customHeight="1">
      <c r="A4180" s="286"/>
    </row>
    <row r="4181" spans="1:1" s="287" customFormat="1" ht="12" hidden="1" customHeight="1">
      <c r="A4181" s="286"/>
    </row>
    <row r="4182" spans="1:1" s="287" customFormat="1" ht="12" hidden="1" customHeight="1">
      <c r="A4182" s="286"/>
    </row>
    <row r="4183" spans="1:1" s="287" customFormat="1" ht="12" hidden="1" customHeight="1">
      <c r="A4183" s="286"/>
    </row>
    <row r="4184" spans="1:1" s="287" customFormat="1" ht="12" hidden="1" customHeight="1">
      <c r="A4184" s="286"/>
    </row>
    <row r="4185" spans="1:1" s="287" customFormat="1" ht="12" hidden="1" customHeight="1">
      <c r="A4185" s="286"/>
    </row>
    <row r="4186" spans="1:1" s="287" customFormat="1" ht="12" hidden="1" customHeight="1">
      <c r="A4186" s="286"/>
    </row>
    <row r="4187" spans="1:1" s="287" customFormat="1" ht="12" hidden="1" customHeight="1">
      <c r="A4187" s="286"/>
    </row>
    <row r="4188" spans="1:1" s="287" customFormat="1" ht="12" hidden="1" customHeight="1">
      <c r="A4188" s="286"/>
    </row>
    <row r="4189" spans="1:1" s="287" customFormat="1" ht="12" hidden="1" customHeight="1">
      <c r="A4189" s="286"/>
    </row>
    <row r="4190" spans="1:1" s="287" customFormat="1" ht="12" hidden="1" customHeight="1">
      <c r="A4190" s="286"/>
    </row>
    <row r="4191" spans="1:1" s="287" customFormat="1" ht="12" hidden="1" customHeight="1">
      <c r="A4191" s="286"/>
    </row>
    <row r="4192" spans="1:1" s="287" customFormat="1" ht="12" hidden="1" customHeight="1">
      <c r="A4192" s="286"/>
    </row>
    <row r="4193" spans="1:1" s="287" customFormat="1" ht="12" hidden="1" customHeight="1">
      <c r="A4193" s="286"/>
    </row>
    <row r="4194" spans="1:1" s="287" customFormat="1" ht="12" hidden="1" customHeight="1">
      <c r="A4194" s="286"/>
    </row>
    <row r="4195" spans="1:1" s="287" customFormat="1" ht="12" hidden="1" customHeight="1">
      <c r="A4195" s="286"/>
    </row>
    <row r="4196" spans="1:1" s="287" customFormat="1" ht="12" hidden="1" customHeight="1">
      <c r="A4196" s="286"/>
    </row>
    <row r="4197" spans="1:1" s="287" customFormat="1" ht="12" hidden="1" customHeight="1">
      <c r="A4197" s="286"/>
    </row>
    <row r="4198" spans="1:1" s="287" customFormat="1" ht="12" hidden="1" customHeight="1">
      <c r="A4198" s="286"/>
    </row>
    <row r="4199" spans="1:1" s="287" customFormat="1" ht="12" hidden="1" customHeight="1">
      <c r="A4199" s="286"/>
    </row>
    <row r="4200" spans="1:1" s="287" customFormat="1" ht="12" hidden="1" customHeight="1">
      <c r="A4200" s="286"/>
    </row>
    <row r="4201" spans="1:1" s="287" customFormat="1" ht="12" hidden="1" customHeight="1">
      <c r="A4201" s="286"/>
    </row>
    <row r="4202" spans="1:1" s="287" customFormat="1" ht="12" hidden="1" customHeight="1">
      <c r="A4202" s="286"/>
    </row>
    <row r="4203" spans="1:1" s="287" customFormat="1" ht="12" hidden="1" customHeight="1">
      <c r="A4203" s="286"/>
    </row>
    <row r="4204" spans="1:1" s="287" customFormat="1" ht="12" hidden="1" customHeight="1">
      <c r="A4204" s="286"/>
    </row>
    <row r="4205" spans="1:1" s="287" customFormat="1" ht="12" hidden="1" customHeight="1">
      <c r="A4205" s="286"/>
    </row>
    <row r="4206" spans="1:1" s="287" customFormat="1" ht="12" hidden="1" customHeight="1">
      <c r="A4206" s="286"/>
    </row>
    <row r="4207" spans="1:1" s="287" customFormat="1" ht="12" hidden="1" customHeight="1">
      <c r="A4207" s="286"/>
    </row>
    <row r="4208" spans="1:1" s="287" customFormat="1" ht="12" hidden="1" customHeight="1">
      <c r="A4208" s="286"/>
    </row>
    <row r="4209" spans="1:1" s="287" customFormat="1" ht="12" hidden="1" customHeight="1">
      <c r="A4209" s="286"/>
    </row>
    <row r="4210" spans="1:1" s="287" customFormat="1" ht="12" hidden="1" customHeight="1">
      <c r="A4210" s="286"/>
    </row>
    <row r="4211" spans="1:1" s="287" customFormat="1" ht="12" hidden="1" customHeight="1">
      <c r="A4211" s="286"/>
    </row>
    <row r="4212" spans="1:1" s="287" customFormat="1" ht="12" hidden="1" customHeight="1">
      <c r="A4212" s="286"/>
    </row>
    <row r="4213" spans="1:1" s="287" customFormat="1" ht="12" hidden="1" customHeight="1">
      <c r="A4213" s="286"/>
    </row>
    <row r="4214" spans="1:1" s="287" customFormat="1" ht="12" hidden="1" customHeight="1">
      <c r="A4214" s="286"/>
    </row>
    <row r="4215" spans="1:1" s="287" customFormat="1" ht="12" hidden="1" customHeight="1">
      <c r="A4215" s="286"/>
    </row>
    <row r="4216" spans="1:1" s="287" customFormat="1" ht="12" hidden="1" customHeight="1">
      <c r="A4216" s="286"/>
    </row>
    <row r="4217" spans="1:1" s="287" customFormat="1" ht="12" hidden="1" customHeight="1">
      <c r="A4217" s="286"/>
    </row>
    <row r="4218" spans="1:1" s="287" customFormat="1" ht="12" hidden="1" customHeight="1">
      <c r="A4218" s="286"/>
    </row>
    <row r="4219" spans="1:1" s="287" customFormat="1" ht="12" hidden="1" customHeight="1">
      <c r="A4219" s="286"/>
    </row>
    <row r="4220" spans="1:1" s="287" customFormat="1" ht="12" hidden="1" customHeight="1">
      <c r="A4220" s="286"/>
    </row>
    <row r="4221" spans="1:1" s="287" customFormat="1" ht="12" hidden="1" customHeight="1">
      <c r="A4221" s="286"/>
    </row>
    <row r="4222" spans="1:1" s="287" customFormat="1" ht="12" hidden="1" customHeight="1">
      <c r="A4222" s="286"/>
    </row>
    <row r="4223" spans="1:1" s="287" customFormat="1" ht="12" hidden="1" customHeight="1">
      <c r="A4223" s="286"/>
    </row>
    <row r="4224" spans="1:1" s="287" customFormat="1" ht="12" hidden="1" customHeight="1">
      <c r="A4224" s="286"/>
    </row>
    <row r="4225" spans="1:1" s="287" customFormat="1" ht="12" hidden="1" customHeight="1">
      <c r="A4225" s="286"/>
    </row>
    <row r="4226" spans="1:1" s="287" customFormat="1" ht="12" hidden="1" customHeight="1">
      <c r="A4226" s="286"/>
    </row>
    <row r="4227" spans="1:1" s="287" customFormat="1" ht="12" hidden="1" customHeight="1">
      <c r="A4227" s="286"/>
    </row>
    <row r="4228" spans="1:1" s="287" customFormat="1" ht="12" hidden="1" customHeight="1">
      <c r="A4228" s="286"/>
    </row>
    <row r="4229" spans="1:1" s="287" customFormat="1" ht="12" hidden="1" customHeight="1">
      <c r="A4229" s="286"/>
    </row>
    <row r="4230" spans="1:1" s="287" customFormat="1" ht="12" hidden="1" customHeight="1">
      <c r="A4230" s="286"/>
    </row>
    <row r="4231" spans="1:1" s="287" customFormat="1" ht="12" hidden="1" customHeight="1">
      <c r="A4231" s="286"/>
    </row>
    <row r="4232" spans="1:1" s="287" customFormat="1" ht="12" hidden="1" customHeight="1">
      <c r="A4232" s="286"/>
    </row>
    <row r="4233" spans="1:1" s="287" customFormat="1" ht="12" hidden="1" customHeight="1">
      <c r="A4233" s="286"/>
    </row>
    <row r="4234" spans="1:1" s="287" customFormat="1" ht="12" hidden="1" customHeight="1">
      <c r="A4234" s="286"/>
    </row>
    <row r="4235" spans="1:1" s="287" customFormat="1" ht="12" hidden="1" customHeight="1">
      <c r="A4235" s="286"/>
    </row>
    <row r="4236" spans="1:1" s="287" customFormat="1" ht="12" hidden="1" customHeight="1">
      <c r="A4236" s="286"/>
    </row>
    <row r="4237" spans="1:1" s="287" customFormat="1" ht="12" hidden="1" customHeight="1">
      <c r="A4237" s="286"/>
    </row>
    <row r="4238" spans="1:1" s="287" customFormat="1" ht="12" hidden="1" customHeight="1">
      <c r="A4238" s="286"/>
    </row>
    <row r="4239" spans="1:1" s="287" customFormat="1" ht="12" hidden="1" customHeight="1">
      <c r="A4239" s="286"/>
    </row>
    <row r="4240" spans="1:1" s="287" customFormat="1" ht="12" hidden="1" customHeight="1">
      <c r="A4240" s="286"/>
    </row>
    <row r="4241" spans="1:1" s="287" customFormat="1" ht="12" hidden="1" customHeight="1">
      <c r="A4241" s="286"/>
    </row>
    <row r="4242" spans="1:1" s="287" customFormat="1" ht="12" hidden="1" customHeight="1">
      <c r="A4242" s="286"/>
    </row>
    <row r="4243" spans="1:1" s="287" customFormat="1" ht="12" hidden="1" customHeight="1">
      <c r="A4243" s="286"/>
    </row>
    <row r="4244" spans="1:1" s="287" customFormat="1" ht="12" hidden="1" customHeight="1">
      <c r="A4244" s="286"/>
    </row>
    <row r="4245" spans="1:1" s="287" customFormat="1" ht="12" hidden="1" customHeight="1">
      <c r="A4245" s="286"/>
    </row>
    <row r="4246" spans="1:1" s="287" customFormat="1" ht="12" hidden="1" customHeight="1">
      <c r="A4246" s="286"/>
    </row>
    <row r="4247" spans="1:1" s="287" customFormat="1" ht="12" hidden="1" customHeight="1">
      <c r="A4247" s="286"/>
    </row>
    <row r="4248" spans="1:1" s="287" customFormat="1" ht="12" hidden="1" customHeight="1">
      <c r="A4248" s="286"/>
    </row>
    <row r="4249" spans="1:1" s="287" customFormat="1" ht="12" hidden="1" customHeight="1">
      <c r="A4249" s="286"/>
    </row>
    <row r="4250" spans="1:1" s="287" customFormat="1" ht="12" hidden="1" customHeight="1">
      <c r="A4250" s="286"/>
    </row>
    <row r="4251" spans="1:1" s="287" customFormat="1" ht="12" hidden="1" customHeight="1">
      <c r="A4251" s="286"/>
    </row>
    <row r="4252" spans="1:1" s="287" customFormat="1" ht="12" hidden="1" customHeight="1">
      <c r="A4252" s="286"/>
    </row>
    <row r="4253" spans="1:1" s="287" customFormat="1" ht="12" hidden="1" customHeight="1">
      <c r="A4253" s="286"/>
    </row>
    <row r="4254" spans="1:1" s="287" customFormat="1" ht="12" hidden="1" customHeight="1">
      <c r="A4254" s="286"/>
    </row>
    <row r="4255" spans="1:1" s="287" customFormat="1" ht="12" hidden="1" customHeight="1">
      <c r="A4255" s="286"/>
    </row>
    <row r="4256" spans="1:1" s="287" customFormat="1" ht="12" hidden="1" customHeight="1">
      <c r="A4256" s="286"/>
    </row>
    <row r="4257" spans="1:1" s="287" customFormat="1" ht="12" hidden="1" customHeight="1">
      <c r="A4257" s="286"/>
    </row>
    <row r="4258" spans="1:1" s="287" customFormat="1" ht="12" hidden="1" customHeight="1">
      <c r="A4258" s="286"/>
    </row>
    <row r="4259" spans="1:1" s="287" customFormat="1" ht="12" hidden="1" customHeight="1">
      <c r="A4259" s="286"/>
    </row>
    <row r="4260" spans="1:1" s="287" customFormat="1" ht="12" hidden="1" customHeight="1">
      <c r="A4260" s="286"/>
    </row>
    <row r="4261" spans="1:1" s="287" customFormat="1" ht="12" hidden="1" customHeight="1">
      <c r="A4261" s="286"/>
    </row>
    <row r="4262" spans="1:1" s="287" customFormat="1" ht="12" hidden="1" customHeight="1">
      <c r="A4262" s="286"/>
    </row>
    <row r="4263" spans="1:1" s="287" customFormat="1" ht="12" hidden="1" customHeight="1">
      <c r="A4263" s="286"/>
    </row>
    <row r="4264" spans="1:1" s="287" customFormat="1" ht="12" hidden="1" customHeight="1">
      <c r="A4264" s="286"/>
    </row>
    <row r="4265" spans="1:1" s="287" customFormat="1" ht="12" hidden="1" customHeight="1">
      <c r="A4265" s="286"/>
    </row>
    <row r="4266" spans="1:1" s="287" customFormat="1" ht="12" hidden="1" customHeight="1">
      <c r="A4266" s="286"/>
    </row>
    <row r="4267" spans="1:1" s="287" customFormat="1" ht="12" hidden="1" customHeight="1">
      <c r="A4267" s="286"/>
    </row>
    <row r="4268" spans="1:1" s="287" customFormat="1" ht="12" hidden="1" customHeight="1">
      <c r="A4268" s="286"/>
    </row>
    <row r="4269" spans="1:1" s="287" customFormat="1" ht="12" hidden="1" customHeight="1">
      <c r="A4269" s="286"/>
    </row>
    <row r="4270" spans="1:1" s="287" customFormat="1" ht="12" hidden="1" customHeight="1">
      <c r="A4270" s="286"/>
    </row>
    <row r="4271" spans="1:1" s="287" customFormat="1" ht="12" hidden="1" customHeight="1">
      <c r="A4271" s="286"/>
    </row>
    <row r="4272" spans="1:1" s="287" customFormat="1" ht="12" hidden="1" customHeight="1">
      <c r="A4272" s="286"/>
    </row>
    <row r="4273" spans="1:1" s="287" customFormat="1" ht="12" hidden="1" customHeight="1">
      <c r="A4273" s="286"/>
    </row>
    <row r="4274" spans="1:1" s="287" customFormat="1" ht="12" hidden="1" customHeight="1">
      <c r="A4274" s="286"/>
    </row>
    <row r="4275" spans="1:1" s="287" customFormat="1" ht="12" hidden="1" customHeight="1">
      <c r="A4275" s="286"/>
    </row>
    <row r="4276" spans="1:1" s="287" customFormat="1" ht="12" hidden="1" customHeight="1">
      <c r="A4276" s="286"/>
    </row>
    <row r="4277" spans="1:1" s="287" customFormat="1" ht="12" hidden="1" customHeight="1">
      <c r="A4277" s="286"/>
    </row>
    <row r="4278" spans="1:1" s="287" customFormat="1" ht="12" hidden="1" customHeight="1">
      <c r="A4278" s="286"/>
    </row>
    <row r="4279" spans="1:1" s="287" customFormat="1" ht="12" hidden="1" customHeight="1">
      <c r="A4279" s="286"/>
    </row>
    <row r="4280" spans="1:1" s="287" customFormat="1" ht="12" hidden="1" customHeight="1">
      <c r="A4280" s="286"/>
    </row>
    <row r="4281" spans="1:1" s="287" customFormat="1" ht="12" hidden="1" customHeight="1">
      <c r="A4281" s="286"/>
    </row>
    <row r="4282" spans="1:1" s="287" customFormat="1" ht="12" hidden="1" customHeight="1">
      <c r="A4282" s="286"/>
    </row>
    <row r="4283" spans="1:1" s="287" customFormat="1" ht="12" hidden="1" customHeight="1">
      <c r="A4283" s="286"/>
    </row>
    <row r="4284" spans="1:1" s="287" customFormat="1" ht="12" hidden="1" customHeight="1">
      <c r="A4284" s="286"/>
    </row>
    <row r="4285" spans="1:1" s="287" customFormat="1" ht="12" hidden="1" customHeight="1">
      <c r="A4285" s="286"/>
    </row>
    <row r="4286" spans="1:1" s="287" customFormat="1" ht="12" hidden="1" customHeight="1">
      <c r="A4286" s="286"/>
    </row>
    <row r="4287" spans="1:1" s="287" customFormat="1" ht="12" hidden="1" customHeight="1">
      <c r="A4287" s="286"/>
    </row>
    <row r="4288" spans="1:1" s="287" customFormat="1" ht="12" hidden="1" customHeight="1">
      <c r="A4288" s="286"/>
    </row>
    <row r="4289" spans="1:1" s="287" customFormat="1" ht="12" hidden="1" customHeight="1">
      <c r="A4289" s="286"/>
    </row>
    <row r="4290" spans="1:1" s="287" customFormat="1" ht="12" hidden="1" customHeight="1">
      <c r="A4290" s="286"/>
    </row>
    <row r="4291" spans="1:1" s="287" customFormat="1" ht="12" hidden="1" customHeight="1">
      <c r="A4291" s="286"/>
    </row>
    <row r="4292" spans="1:1" s="287" customFormat="1" ht="12" hidden="1" customHeight="1">
      <c r="A4292" s="286"/>
    </row>
    <row r="4293" spans="1:1" s="287" customFormat="1" ht="12" hidden="1" customHeight="1">
      <c r="A4293" s="286"/>
    </row>
    <row r="4294" spans="1:1" s="287" customFormat="1" ht="12" hidden="1" customHeight="1">
      <c r="A4294" s="286"/>
    </row>
    <row r="4295" spans="1:1" s="287" customFormat="1" ht="12" hidden="1" customHeight="1">
      <c r="A4295" s="286"/>
    </row>
    <row r="4296" spans="1:1" s="287" customFormat="1" ht="12" hidden="1" customHeight="1">
      <c r="A4296" s="286"/>
    </row>
    <row r="4297" spans="1:1" s="287" customFormat="1" ht="12" hidden="1" customHeight="1">
      <c r="A4297" s="286"/>
    </row>
    <row r="4298" spans="1:1" s="287" customFormat="1" ht="12" hidden="1" customHeight="1">
      <c r="A4298" s="286"/>
    </row>
    <row r="4299" spans="1:1" s="287" customFormat="1" ht="12" hidden="1" customHeight="1">
      <c r="A4299" s="286"/>
    </row>
    <row r="4300" spans="1:1" s="287" customFormat="1" ht="12" hidden="1" customHeight="1">
      <c r="A4300" s="286"/>
    </row>
    <row r="4301" spans="1:1" s="287" customFormat="1" ht="12" hidden="1" customHeight="1">
      <c r="A4301" s="286"/>
    </row>
    <row r="4302" spans="1:1" s="287" customFormat="1" ht="12" hidden="1" customHeight="1">
      <c r="A4302" s="286"/>
    </row>
    <row r="4303" spans="1:1" s="287" customFormat="1" ht="12" hidden="1" customHeight="1">
      <c r="A4303" s="286"/>
    </row>
    <row r="4304" spans="1:1" s="287" customFormat="1" ht="12" hidden="1" customHeight="1">
      <c r="A4304" s="286"/>
    </row>
    <row r="4305" spans="1:1" s="287" customFormat="1" ht="12" hidden="1" customHeight="1">
      <c r="A4305" s="286"/>
    </row>
    <row r="4306" spans="1:1" s="287" customFormat="1" ht="12" hidden="1" customHeight="1">
      <c r="A4306" s="286"/>
    </row>
    <row r="4307" spans="1:1" s="287" customFormat="1" ht="12" hidden="1" customHeight="1">
      <c r="A4307" s="286"/>
    </row>
    <row r="4308" spans="1:1" s="287" customFormat="1" ht="12" hidden="1" customHeight="1">
      <c r="A4308" s="286"/>
    </row>
    <row r="4309" spans="1:1" s="287" customFormat="1" ht="12" hidden="1" customHeight="1">
      <c r="A4309" s="286"/>
    </row>
    <row r="4310" spans="1:1" s="287" customFormat="1" ht="12" hidden="1" customHeight="1">
      <c r="A4310" s="286"/>
    </row>
    <row r="4311" spans="1:1" s="287" customFormat="1" ht="12" hidden="1" customHeight="1">
      <c r="A4311" s="286"/>
    </row>
    <row r="4312" spans="1:1" s="287" customFormat="1" ht="12" hidden="1" customHeight="1">
      <c r="A4312" s="286"/>
    </row>
    <row r="4313" spans="1:1" s="287" customFormat="1" ht="12" hidden="1" customHeight="1">
      <c r="A4313" s="286"/>
    </row>
    <row r="4314" spans="1:1" s="287" customFormat="1" ht="12" hidden="1" customHeight="1">
      <c r="A4314" s="286"/>
    </row>
    <row r="4315" spans="1:1" s="287" customFormat="1" ht="12" hidden="1" customHeight="1">
      <c r="A4315" s="286"/>
    </row>
    <row r="4316" spans="1:1" s="287" customFormat="1" ht="12" hidden="1" customHeight="1">
      <c r="A4316" s="286"/>
    </row>
    <row r="4317" spans="1:1" s="287" customFormat="1" ht="12" hidden="1" customHeight="1">
      <c r="A4317" s="286"/>
    </row>
    <row r="4318" spans="1:1" s="287" customFormat="1" ht="12" hidden="1" customHeight="1">
      <c r="A4318" s="286"/>
    </row>
    <row r="4319" spans="1:1" s="287" customFormat="1" ht="12" hidden="1" customHeight="1">
      <c r="A4319" s="286"/>
    </row>
    <row r="4320" spans="1:1" s="287" customFormat="1" ht="12" hidden="1" customHeight="1">
      <c r="A4320" s="286"/>
    </row>
    <row r="4321" spans="1:1" s="287" customFormat="1" ht="12" hidden="1" customHeight="1">
      <c r="A4321" s="286"/>
    </row>
    <row r="4322" spans="1:1" s="287" customFormat="1" ht="12" hidden="1" customHeight="1">
      <c r="A4322" s="286"/>
    </row>
    <row r="4323" spans="1:1" s="287" customFormat="1" ht="12" hidden="1" customHeight="1">
      <c r="A4323" s="286"/>
    </row>
    <row r="4324" spans="1:1" s="287" customFormat="1" ht="12" hidden="1" customHeight="1">
      <c r="A4324" s="286"/>
    </row>
    <row r="4325" spans="1:1" s="287" customFormat="1" ht="12" hidden="1" customHeight="1">
      <c r="A4325" s="286"/>
    </row>
    <row r="4326" spans="1:1" s="287" customFormat="1" ht="12" hidden="1" customHeight="1">
      <c r="A4326" s="286"/>
    </row>
    <row r="4327" spans="1:1" s="287" customFormat="1" ht="12" hidden="1" customHeight="1">
      <c r="A4327" s="286"/>
    </row>
    <row r="4328" spans="1:1" s="287" customFormat="1" ht="12" hidden="1" customHeight="1">
      <c r="A4328" s="286"/>
    </row>
    <row r="4329" spans="1:1" s="287" customFormat="1" ht="12" hidden="1" customHeight="1">
      <c r="A4329" s="286"/>
    </row>
    <row r="4330" spans="1:1" s="287" customFormat="1" ht="12" hidden="1" customHeight="1">
      <c r="A4330" s="286"/>
    </row>
    <row r="4331" spans="1:1" s="287" customFormat="1" ht="12" hidden="1" customHeight="1">
      <c r="A4331" s="286"/>
    </row>
    <row r="4332" spans="1:1" s="287" customFormat="1" ht="12" hidden="1" customHeight="1">
      <c r="A4332" s="286"/>
    </row>
    <row r="4333" spans="1:1" s="287" customFormat="1" ht="12" hidden="1" customHeight="1">
      <c r="A4333" s="286"/>
    </row>
    <row r="4334" spans="1:1" s="287" customFormat="1" ht="12" hidden="1" customHeight="1">
      <c r="A4334" s="286"/>
    </row>
    <row r="4335" spans="1:1" s="287" customFormat="1" ht="12" hidden="1" customHeight="1">
      <c r="A4335" s="286"/>
    </row>
    <row r="4336" spans="1:1" s="287" customFormat="1" ht="12" hidden="1" customHeight="1">
      <c r="A4336" s="286"/>
    </row>
    <row r="4337" spans="1:1" s="287" customFormat="1" ht="12" hidden="1" customHeight="1">
      <c r="A4337" s="286"/>
    </row>
    <row r="4338" spans="1:1" s="287" customFormat="1" ht="12" hidden="1" customHeight="1">
      <c r="A4338" s="286"/>
    </row>
    <row r="4339" spans="1:1" s="287" customFormat="1" ht="12" hidden="1" customHeight="1">
      <c r="A4339" s="286"/>
    </row>
    <row r="4340" spans="1:1" s="287" customFormat="1" ht="12" hidden="1" customHeight="1">
      <c r="A4340" s="286"/>
    </row>
    <row r="4341" spans="1:1" s="287" customFormat="1" ht="12" hidden="1" customHeight="1">
      <c r="A4341" s="286"/>
    </row>
    <row r="4342" spans="1:1" s="287" customFormat="1" ht="12" hidden="1" customHeight="1">
      <c r="A4342" s="286"/>
    </row>
    <row r="4343" spans="1:1" s="287" customFormat="1" ht="12" hidden="1" customHeight="1">
      <c r="A4343" s="286"/>
    </row>
    <row r="4344" spans="1:1" s="287" customFormat="1" ht="12" hidden="1" customHeight="1">
      <c r="A4344" s="286"/>
    </row>
    <row r="4345" spans="1:1" s="287" customFormat="1" ht="12" hidden="1" customHeight="1">
      <c r="A4345" s="286"/>
    </row>
    <row r="4346" spans="1:1" s="287" customFormat="1" ht="12" hidden="1" customHeight="1">
      <c r="A4346" s="286"/>
    </row>
    <row r="4347" spans="1:1" s="287" customFormat="1" ht="12" hidden="1" customHeight="1">
      <c r="A4347" s="286"/>
    </row>
    <row r="4348" spans="1:1" s="287" customFormat="1" ht="12" hidden="1" customHeight="1">
      <c r="A4348" s="286"/>
    </row>
    <row r="4349" spans="1:1" s="287" customFormat="1" ht="12" hidden="1" customHeight="1">
      <c r="A4349" s="286"/>
    </row>
    <row r="4350" spans="1:1" s="287" customFormat="1" ht="12" hidden="1" customHeight="1">
      <c r="A4350" s="286"/>
    </row>
    <row r="4351" spans="1:1" s="287" customFormat="1" ht="12" hidden="1" customHeight="1">
      <c r="A4351" s="286"/>
    </row>
    <row r="4352" spans="1:1" s="287" customFormat="1" ht="12" hidden="1" customHeight="1">
      <c r="A4352" s="286"/>
    </row>
    <row r="4353" spans="1:1" s="287" customFormat="1" ht="12" hidden="1" customHeight="1">
      <c r="A4353" s="286"/>
    </row>
    <row r="4354" spans="1:1" s="287" customFormat="1" ht="12" hidden="1" customHeight="1">
      <c r="A4354" s="286"/>
    </row>
    <row r="4355" spans="1:1" s="287" customFormat="1" ht="12" hidden="1" customHeight="1">
      <c r="A4355" s="286"/>
    </row>
    <row r="4356" spans="1:1" s="287" customFormat="1" ht="12" hidden="1" customHeight="1">
      <c r="A4356" s="286"/>
    </row>
    <row r="4357" spans="1:1" s="287" customFormat="1" ht="12" hidden="1" customHeight="1">
      <c r="A4357" s="286"/>
    </row>
    <row r="4358" spans="1:1" s="287" customFormat="1" ht="12" hidden="1" customHeight="1">
      <c r="A4358" s="286"/>
    </row>
    <row r="4359" spans="1:1" s="287" customFormat="1" ht="12" hidden="1" customHeight="1">
      <c r="A4359" s="286"/>
    </row>
    <row r="4360" spans="1:1" s="287" customFormat="1" ht="12" hidden="1" customHeight="1">
      <c r="A4360" s="286"/>
    </row>
    <row r="4361" spans="1:1" s="287" customFormat="1" ht="12" hidden="1" customHeight="1">
      <c r="A4361" s="286"/>
    </row>
    <row r="4362" spans="1:1" s="287" customFormat="1" ht="12" hidden="1" customHeight="1">
      <c r="A4362" s="286"/>
    </row>
    <row r="4363" spans="1:1" s="287" customFormat="1" ht="12" hidden="1" customHeight="1">
      <c r="A4363" s="286"/>
    </row>
    <row r="4364" spans="1:1" s="287" customFormat="1" ht="12" hidden="1" customHeight="1">
      <c r="A4364" s="286"/>
    </row>
    <row r="4365" spans="1:1" s="287" customFormat="1" ht="12" hidden="1" customHeight="1">
      <c r="A4365" s="286"/>
    </row>
    <row r="4366" spans="1:1" s="287" customFormat="1" ht="12" hidden="1" customHeight="1">
      <c r="A4366" s="286"/>
    </row>
    <row r="4367" spans="1:1" s="287" customFormat="1" ht="12" hidden="1" customHeight="1">
      <c r="A4367" s="286"/>
    </row>
    <row r="4368" spans="1:1" s="287" customFormat="1" ht="12" hidden="1" customHeight="1">
      <c r="A4368" s="286"/>
    </row>
    <row r="4369" spans="1:1" s="287" customFormat="1" ht="12" hidden="1" customHeight="1">
      <c r="A4369" s="286"/>
    </row>
    <row r="4370" spans="1:1" s="287" customFormat="1" ht="12" hidden="1" customHeight="1">
      <c r="A4370" s="286"/>
    </row>
    <row r="4371" spans="1:1" s="287" customFormat="1" ht="12" hidden="1" customHeight="1">
      <c r="A4371" s="286"/>
    </row>
    <row r="4372" spans="1:1" s="287" customFormat="1" ht="12" hidden="1" customHeight="1">
      <c r="A4372" s="286"/>
    </row>
    <row r="4373" spans="1:1" s="287" customFormat="1" ht="12" hidden="1" customHeight="1">
      <c r="A4373" s="286"/>
    </row>
    <row r="4374" spans="1:1" s="287" customFormat="1" ht="12" hidden="1" customHeight="1">
      <c r="A4374" s="286"/>
    </row>
    <row r="4375" spans="1:1" s="287" customFormat="1" ht="12" hidden="1" customHeight="1">
      <c r="A4375" s="286"/>
    </row>
    <row r="4376" spans="1:1" s="287" customFormat="1" ht="12" hidden="1" customHeight="1">
      <c r="A4376" s="286"/>
    </row>
    <row r="4377" spans="1:1" s="287" customFormat="1" ht="12" hidden="1" customHeight="1">
      <c r="A4377" s="286"/>
    </row>
    <row r="4378" spans="1:1" s="287" customFormat="1" ht="12" hidden="1" customHeight="1">
      <c r="A4378" s="286"/>
    </row>
    <row r="4379" spans="1:1" s="287" customFormat="1" ht="12" hidden="1" customHeight="1">
      <c r="A4379" s="286"/>
    </row>
    <row r="4380" spans="1:1" s="287" customFormat="1" ht="12" hidden="1" customHeight="1">
      <c r="A4380" s="286"/>
    </row>
    <row r="4381" spans="1:1" s="287" customFormat="1" ht="12" hidden="1" customHeight="1">
      <c r="A4381" s="286"/>
    </row>
    <row r="4382" spans="1:1" s="287" customFormat="1" ht="12" hidden="1" customHeight="1">
      <c r="A4382" s="286"/>
    </row>
    <row r="4383" spans="1:1" s="287" customFormat="1" ht="12" hidden="1" customHeight="1">
      <c r="A4383" s="286"/>
    </row>
    <row r="4384" spans="1:1" s="287" customFormat="1" ht="12" hidden="1" customHeight="1">
      <c r="A4384" s="286"/>
    </row>
    <row r="4385" spans="1:1" s="287" customFormat="1" ht="12" hidden="1" customHeight="1">
      <c r="A4385" s="286"/>
    </row>
    <row r="4386" spans="1:1" s="287" customFormat="1" ht="12" hidden="1" customHeight="1">
      <c r="A4386" s="286"/>
    </row>
    <row r="4387" spans="1:1" s="287" customFormat="1" ht="12" hidden="1" customHeight="1">
      <c r="A4387" s="286"/>
    </row>
    <row r="4388" spans="1:1" s="287" customFormat="1" ht="12" hidden="1" customHeight="1">
      <c r="A4388" s="286"/>
    </row>
    <row r="4389" spans="1:1" s="287" customFormat="1" ht="12" hidden="1" customHeight="1">
      <c r="A4389" s="286"/>
    </row>
    <row r="4390" spans="1:1" s="287" customFormat="1" ht="12" hidden="1" customHeight="1">
      <c r="A4390" s="286"/>
    </row>
    <row r="4391" spans="1:1" s="287" customFormat="1" ht="12" hidden="1" customHeight="1">
      <c r="A4391" s="286"/>
    </row>
    <row r="4392" spans="1:1" s="287" customFormat="1" ht="12" hidden="1" customHeight="1">
      <c r="A4392" s="286"/>
    </row>
    <row r="4393" spans="1:1" s="287" customFormat="1" ht="12" hidden="1" customHeight="1">
      <c r="A4393" s="286"/>
    </row>
    <row r="4394" spans="1:1" s="287" customFormat="1" ht="12" hidden="1" customHeight="1">
      <c r="A4394" s="286"/>
    </row>
    <row r="4395" spans="1:1" s="287" customFormat="1" ht="12" hidden="1" customHeight="1">
      <c r="A4395" s="286"/>
    </row>
    <row r="4396" spans="1:1" s="287" customFormat="1" ht="12" hidden="1" customHeight="1">
      <c r="A4396" s="286"/>
    </row>
    <row r="4397" spans="1:1" s="287" customFormat="1" ht="12" hidden="1" customHeight="1">
      <c r="A4397" s="286"/>
    </row>
    <row r="4398" spans="1:1" s="287" customFormat="1" ht="12" hidden="1" customHeight="1">
      <c r="A4398" s="286"/>
    </row>
    <row r="4399" spans="1:1" s="287" customFormat="1" ht="12" hidden="1" customHeight="1">
      <c r="A4399" s="286"/>
    </row>
    <row r="4400" spans="1:1" s="287" customFormat="1" ht="12" hidden="1" customHeight="1">
      <c r="A4400" s="286"/>
    </row>
    <row r="4401" spans="1:1" s="287" customFormat="1" ht="12" hidden="1" customHeight="1">
      <c r="A4401" s="286"/>
    </row>
    <row r="4402" spans="1:1" s="287" customFormat="1" ht="12" hidden="1" customHeight="1">
      <c r="A4402" s="286"/>
    </row>
    <row r="4403" spans="1:1" s="287" customFormat="1" ht="12" hidden="1" customHeight="1">
      <c r="A4403" s="286"/>
    </row>
    <row r="4404" spans="1:1" s="287" customFormat="1" ht="12" hidden="1" customHeight="1">
      <c r="A4404" s="286"/>
    </row>
    <row r="4405" spans="1:1" s="287" customFormat="1" ht="12" hidden="1" customHeight="1">
      <c r="A4405" s="286"/>
    </row>
    <row r="4406" spans="1:1" s="287" customFormat="1" ht="12" hidden="1" customHeight="1">
      <c r="A4406" s="286"/>
    </row>
    <row r="4407" spans="1:1" s="287" customFormat="1" ht="12" hidden="1" customHeight="1">
      <c r="A4407" s="286"/>
    </row>
    <row r="4408" spans="1:1" s="287" customFormat="1" ht="12" hidden="1" customHeight="1">
      <c r="A4408" s="286"/>
    </row>
    <row r="4409" spans="1:1" s="287" customFormat="1" ht="12" hidden="1" customHeight="1">
      <c r="A4409" s="286"/>
    </row>
    <row r="4410" spans="1:1" s="287" customFormat="1" ht="12" hidden="1" customHeight="1">
      <c r="A4410" s="286"/>
    </row>
    <row r="4411" spans="1:1" s="287" customFormat="1" ht="12" hidden="1" customHeight="1">
      <c r="A4411" s="286"/>
    </row>
    <row r="4412" spans="1:1" s="287" customFormat="1" ht="12" hidden="1" customHeight="1">
      <c r="A4412" s="286"/>
    </row>
    <row r="4413" spans="1:1" s="287" customFormat="1" ht="12" hidden="1" customHeight="1">
      <c r="A4413" s="286"/>
    </row>
    <row r="4414" spans="1:1" s="287" customFormat="1" ht="12" hidden="1" customHeight="1">
      <c r="A4414" s="286"/>
    </row>
    <row r="4415" spans="1:1" s="287" customFormat="1" ht="12" hidden="1" customHeight="1">
      <c r="A4415" s="286"/>
    </row>
    <row r="4416" spans="1:1" s="287" customFormat="1" ht="12" hidden="1" customHeight="1">
      <c r="A4416" s="286"/>
    </row>
    <row r="4417" spans="1:1" s="287" customFormat="1" ht="12" hidden="1" customHeight="1">
      <c r="A4417" s="286"/>
    </row>
    <row r="4418" spans="1:1" s="287" customFormat="1" ht="12" hidden="1" customHeight="1">
      <c r="A4418" s="286"/>
    </row>
    <row r="4419" spans="1:1" s="287" customFormat="1" ht="12" hidden="1" customHeight="1">
      <c r="A4419" s="286"/>
    </row>
    <row r="4420" spans="1:1" s="287" customFormat="1" ht="12" hidden="1" customHeight="1">
      <c r="A4420" s="286"/>
    </row>
    <row r="4421" spans="1:1" s="287" customFormat="1" ht="12" hidden="1" customHeight="1">
      <c r="A4421" s="286"/>
    </row>
    <row r="4422" spans="1:1" s="287" customFormat="1" ht="12" hidden="1" customHeight="1">
      <c r="A4422" s="286"/>
    </row>
    <row r="4423" spans="1:1" s="287" customFormat="1" ht="12" hidden="1" customHeight="1">
      <c r="A4423" s="286"/>
    </row>
    <row r="4424" spans="1:1" s="287" customFormat="1" ht="12" hidden="1" customHeight="1">
      <c r="A4424" s="286"/>
    </row>
    <row r="4425" spans="1:1" s="287" customFormat="1" ht="12" hidden="1" customHeight="1">
      <c r="A4425" s="286"/>
    </row>
    <row r="4426" spans="1:1" s="287" customFormat="1" ht="12" hidden="1" customHeight="1">
      <c r="A4426" s="286"/>
    </row>
    <row r="4427" spans="1:1" s="287" customFormat="1" ht="12" hidden="1" customHeight="1">
      <c r="A4427" s="286"/>
    </row>
    <row r="4428" spans="1:1" s="287" customFormat="1" ht="12" hidden="1" customHeight="1">
      <c r="A4428" s="286"/>
    </row>
    <row r="4429" spans="1:1" s="287" customFormat="1" ht="12" hidden="1" customHeight="1">
      <c r="A4429" s="286"/>
    </row>
    <row r="4430" spans="1:1" s="287" customFormat="1" ht="12" hidden="1" customHeight="1">
      <c r="A4430" s="286"/>
    </row>
    <row r="4431" spans="1:1" s="287" customFormat="1" ht="12" hidden="1" customHeight="1">
      <c r="A4431" s="286"/>
    </row>
    <row r="4432" spans="1:1" s="287" customFormat="1" ht="12" hidden="1" customHeight="1">
      <c r="A4432" s="286"/>
    </row>
    <row r="4433" spans="1:1" s="287" customFormat="1" ht="12" hidden="1" customHeight="1">
      <c r="A4433" s="286"/>
    </row>
    <row r="4434" spans="1:1" s="287" customFormat="1" ht="12" hidden="1" customHeight="1">
      <c r="A4434" s="286"/>
    </row>
    <row r="4435" spans="1:1" s="287" customFormat="1" ht="12" hidden="1" customHeight="1">
      <c r="A4435" s="286"/>
    </row>
    <row r="4436" spans="1:1" s="287" customFormat="1" ht="12" hidden="1" customHeight="1">
      <c r="A4436" s="286"/>
    </row>
    <row r="4437" spans="1:1" s="287" customFormat="1" ht="12" hidden="1" customHeight="1">
      <c r="A4437" s="286"/>
    </row>
    <row r="4438" spans="1:1" s="287" customFormat="1" ht="12" hidden="1" customHeight="1">
      <c r="A4438" s="286"/>
    </row>
    <row r="4439" spans="1:1" s="287" customFormat="1" ht="12" hidden="1" customHeight="1">
      <c r="A4439" s="286"/>
    </row>
    <row r="4440" spans="1:1" s="287" customFormat="1" ht="12" hidden="1" customHeight="1">
      <c r="A4440" s="286"/>
    </row>
    <row r="4441" spans="1:1" s="287" customFormat="1" ht="12" hidden="1" customHeight="1">
      <c r="A4441" s="286"/>
    </row>
    <row r="4442" spans="1:1" s="287" customFormat="1" ht="12" hidden="1" customHeight="1">
      <c r="A4442" s="286"/>
    </row>
    <row r="4443" spans="1:1" s="287" customFormat="1" ht="12" hidden="1" customHeight="1">
      <c r="A4443" s="286"/>
    </row>
    <row r="4444" spans="1:1" s="287" customFormat="1" ht="12" hidden="1" customHeight="1">
      <c r="A4444" s="286"/>
    </row>
    <row r="4445" spans="1:1" s="287" customFormat="1" ht="12" hidden="1" customHeight="1">
      <c r="A4445" s="286"/>
    </row>
    <row r="4446" spans="1:1" s="287" customFormat="1" ht="12" hidden="1" customHeight="1">
      <c r="A4446" s="286"/>
    </row>
    <row r="4447" spans="1:1" s="287" customFormat="1" ht="12" hidden="1" customHeight="1">
      <c r="A4447" s="286"/>
    </row>
    <row r="4448" spans="1:1" s="287" customFormat="1" ht="12" hidden="1" customHeight="1">
      <c r="A4448" s="286"/>
    </row>
    <row r="4449" spans="1:1" s="287" customFormat="1" ht="12" hidden="1" customHeight="1">
      <c r="A4449" s="286"/>
    </row>
    <row r="4450" spans="1:1" s="287" customFormat="1" ht="12" hidden="1" customHeight="1">
      <c r="A4450" s="286"/>
    </row>
    <row r="4451" spans="1:1" s="287" customFormat="1" ht="12" hidden="1" customHeight="1">
      <c r="A4451" s="286"/>
    </row>
    <row r="4452" spans="1:1" s="287" customFormat="1" ht="12" hidden="1" customHeight="1">
      <c r="A4452" s="286"/>
    </row>
    <row r="4453" spans="1:1" s="287" customFormat="1" ht="12" hidden="1" customHeight="1">
      <c r="A4453" s="286"/>
    </row>
    <row r="4454" spans="1:1" s="287" customFormat="1" ht="12" hidden="1" customHeight="1">
      <c r="A4454" s="286"/>
    </row>
    <row r="4455" spans="1:1" s="287" customFormat="1" ht="12" hidden="1" customHeight="1">
      <c r="A4455" s="286"/>
    </row>
    <row r="4456" spans="1:1" s="287" customFormat="1" ht="12" hidden="1" customHeight="1">
      <c r="A4456" s="286"/>
    </row>
    <row r="4457" spans="1:1" s="287" customFormat="1" ht="12" hidden="1" customHeight="1">
      <c r="A4457" s="286"/>
    </row>
    <row r="4458" spans="1:1" s="287" customFormat="1" ht="12" hidden="1" customHeight="1">
      <c r="A4458" s="286"/>
    </row>
    <row r="4459" spans="1:1" s="287" customFormat="1" ht="12" hidden="1" customHeight="1">
      <c r="A4459" s="286"/>
    </row>
    <row r="4460" spans="1:1" s="287" customFormat="1" ht="12" hidden="1" customHeight="1">
      <c r="A4460" s="286"/>
    </row>
    <row r="4461" spans="1:1" s="287" customFormat="1" ht="12" hidden="1" customHeight="1">
      <c r="A4461" s="286"/>
    </row>
    <row r="4462" spans="1:1" s="287" customFormat="1" ht="12" hidden="1" customHeight="1">
      <c r="A4462" s="286"/>
    </row>
    <row r="4463" spans="1:1" s="287" customFormat="1" ht="12" hidden="1" customHeight="1">
      <c r="A4463" s="286"/>
    </row>
    <row r="4464" spans="1:1" s="287" customFormat="1" ht="12" hidden="1" customHeight="1">
      <c r="A4464" s="286"/>
    </row>
    <row r="4465" spans="1:1" s="287" customFormat="1" ht="12" hidden="1" customHeight="1">
      <c r="A4465" s="286"/>
    </row>
    <row r="4466" spans="1:1" s="287" customFormat="1" ht="12" hidden="1" customHeight="1">
      <c r="A4466" s="286"/>
    </row>
    <row r="4467" spans="1:1" s="287" customFormat="1" ht="12" hidden="1" customHeight="1">
      <c r="A4467" s="286"/>
    </row>
    <row r="4468" spans="1:1" s="287" customFormat="1" ht="12" hidden="1" customHeight="1">
      <c r="A4468" s="286"/>
    </row>
    <row r="4469" spans="1:1" s="287" customFormat="1" ht="12" hidden="1" customHeight="1">
      <c r="A4469" s="286"/>
    </row>
    <row r="4470" spans="1:1" s="287" customFormat="1" ht="12" hidden="1" customHeight="1">
      <c r="A4470" s="286"/>
    </row>
    <row r="4471" spans="1:1" s="287" customFormat="1" ht="12" hidden="1" customHeight="1">
      <c r="A4471" s="286"/>
    </row>
    <row r="4472" spans="1:1" s="287" customFormat="1" ht="12" hidden="1" customHeight="1">
      <c r="A4472" s="286"/>
    </row>
    <row r="4473" spans="1:1" s="287" customFormat="1" ht="12" hidden="1" customHeight="1">
      <c r="A4473" s="286"/>
    </row>
    <row r="4474" spans="1:1" s="287" customFormat="1" ht="12" hidden="1" customHeight="1">
      <c r="A4474" s="286"/>
    </row>
    <row r="4475" spans="1:1" s="287" customFormat="1" ht="12" hidden="1" customHeight="1">
      <c r="A4475" s="286"/>
    </row>
    <row r="4476" spans="1:1" s="287" customFormat="1" ht="12" hidden="1" customHeight="1">
      <c r="A4476" s="286"/>
    </row>
    <row r="4477" spans="1:1" s="287" customFormat="1" ht="12" hidden="1" customHeight="1">
      <c r="A4477" s="286"/>
    </row>
    <row r="4478" spans="1:1" s="287" customFormat="1" ht="12" hidden="1" customHeight="1">
      <c r="A4478" s="286"/>
    </row>
    <row r="4479" spans="1:1" s="287" customFormat="1" ht="12" hidden="1" customHeight="1">
      <c r="A4479" s="286"/>
    </row>
    <row r="4480" spans="1:1" s="287" customFormat="1" ht="12" hidden="1" customHeight="1">
      <c r="A4480" s="286"/>
    </row>
    <row r="4481" spans="1:1" s="287" customFormat="1" ht="12" hidden="1" customHeight="1">
      <c r="A4481" s="286"/>
    </row>
    <row r="4482" spans="1:1" s="287" customFormat="1" ht="12" hidden="1" customHeight="1">
      <c r="A4482" s="286"/>
    </row>
    <row r="4483" spans="1:1" s="287" customFormat="1" ht="12" hidden="1" customHeight="1">
      <c r="A4483" s="286"/>
    </row>
    <row r="4484" spans="1:1" s="287" customFormat="1" ht="12" hidden="1" customHeight="1">
      <c r="A4484" s="286"/>
    </row>
    <row r="4485" spans="1:1" s="287" customFormat="1" ht="12" hidden="1" customHeight="1">
      <c r="A4485" s="286"/>
    </row>
    <row r="4486" spans="1:1" s="287" customFormat="1" ht="12" hidden="1" customHeight="1">
      <c r="A4486" s="286"/>
    </row>
    <row r="4487" spans="1:1" s="287" customFormat="1" ht="12" hidden="1" customHeight="1">
      <c r="A4487" s="286"/>
    </row>
    <row r="4488" spans="1:1" s="287" customFormat="1" ht="12" hidden="1" customHeight="1">
      <c r="A4488" s="286"/>
    </row>
    <row r="4489" spans="1:1" s="287" customFormat="1" ht="12" hidden="1" customHeight="1">
      <c r="A4489" s="286"/>
    </row>
    <row r="4490" spans="1:1" s="287" customFormat="1" ht="12" hidden="1" customHeight="1">
      <c r="A4490" s="286"/>
    </row>
    <row r="4491" spans="1:1" s="287" customFormat="1" ht="12" hidden="1" customHeight="1">
      <c r="A4491" s="286"/>
    </row>
    <row r="4492" spans="1:1" s="287" customFormat="1" ht="12" hidden="1" customHeight="1">
      <c r="A4492" s="286"/>
    </row>
    <row r="4493" spans="1:1" s="287" customFormat="1" ht="12" hidden="1" customHeight="1">
      <c r="A4493" s="286"/>
    </row>
    <row r="4494" spans="1:1" s="287" customFormat="1" ht="12" hidden="1" customHeight="1">
      <c r="A4494" s="286"/>
    </row>
    <row r="4495" spans="1:1" s="287" customFormat="1" ht="12" hidden="1" customHeight="1">
      <c r="A4495" s="286"/>
    </row>
    <row r="4496" spans="1:1" s="287" customFormat="1" ht="12" hidden="1" customHeight="1">
      <c r="A4496" s="286"/>
    </row>
    <row r="4497" spans="1:1" s="287" customFormat="1" ht="12" hidden="1" customHeight="1">
      <c r="A4497" s="286"/>
    </row>
    <row r="4498" spans="1:1" s="287" customFormat="1" ht="12" hidden="1" customHeight="1">
      <c r="A4498" s="286"/>
    </row>
    <row r="4499" spans="1:1" s="287" customFormat="1" ht="12" hidden="1" customHeight="1">
      <c r="A4499" s="286"/>
    </row>
    <row r="4500" spans="1:1" s="287" customFormat="1" ht="12" hidden="1" customHeight="1">
      <c r="A4500" s="286"/>
    </row>
    <row r="4501" spans="1:1" s="287" customFormat="1" ht="12" hidden="1" customHeight="1">
      <c r="A4501" s="286"/>
    </row>
    <row r="4502" spans="1:1" s="287" customFormat="1" ht="12" hidden="1" customHeight="1">
      <c r="A4502" s="286"/>
    </row>
    <row r="4503" spans="1:1" s="287" customFormat="1" ht="12" hidden="1" customHeight="1">
      <c r="A4503" s="286"/>
    </row>
    <row r="4504" spans="1:1" s="287" customFormat="1" ht="12" hidden="1" customHeight="1">
      <c r="A4504" s="286"/>
    </row>
    <row r="4505" spans="1:1" s="287" customFormat="1" ht="12" hidden="1" customHeight="1">
      <c r="A4505" s="286"/>
    </row>
    <row r="4506" spans="1:1" s="287" customFormat="1" ht="12" hidden="1" customHeight="1">
      <c r="A4506" s="286"/>
    </row>
    <row r="4507" spans="1:1" s="287" customFormat="1" ht="12" hidden="1" customHeight="1">
      <c r="A4507" s="286"/>
    </row>
    <row r="4508" spans="1:1" s="287" customFormat="1" ht="12" hidden="1" customHeight="1">
      <c r="A4508" s="286"/>
    </row>
    <row r="4509" spans="1:1" s="287" customFormat="1" ht="12" hidden="1" customHeight="1">
      <c r="A4509" s="286"/>
    </row>
    <row r="4510" spans="1:1" s="287" customFormat="1" ht="12" hidden="1" customHeight="1">
      <c r="A4510" s="286"/>
    </row>
    <row r="4511" spans="1:1" s="287" customFormat="1" ht="12" hidden="1" customHeight="1">
      <c r="A4511" s="286"/>
    </row>
    <row r="4512" spans="1:1" s="287" customFormat="1" ht="12" hidden="1" customHeight="1">
      <c r="A4512" s="286"/>
    </row>
    <row r="4513" spans="1:1" s="287" customFormat="1" ht="12" hidden="1" customHeight="1">
      <c r="A4513" s="286"/>
    </row>
    <row r="4514" spans="1:1" s="287" customFormat="1" ht="12" hidden="1" customHeight="1">
      <c r="A4514" s="286"/>
    </row>
    <row r="4515" spans="1:1" s="287" customFormat="1" ht="12" hidden="1" customHeight="1">
      <c r="A4515" s="286"/>
    </row>
    <row r="4516" spans="1:1" s="287" customFormat="1" ht="12" hidden="1" customHeight="1">
      <c r="A4516" s="286"/>
    </row>
    <row r="4517" spans="1:1" s="287" customFormat="1" ht="12" hidden="1" customHeight="1">
      <c r="A4517" s="286"/>
    </row>
    <row r="4518" spans="1:1" s="287" customFormat="1" ht="12" hidden="1" customHeight="1">
      <c r="A4518" s="286"/>
    </row>
    <row r="4519" spans="1:1" s="287" customFormat="1" ht="12" hidden="1" customHeight="1">
      <c r="A4519" s="286"/>
    </row>
    <row r="4520" spans="1:1" s="287" customFormat="1" ht="12" hidden="1" customHeight="1">
      <c r="A4520" s="286"/>
    </row>
    <row r="4521" spans="1:1" s="287" customFormat="1" ht="12" hidden="1" customHeight="1">
      <c r="A4521" s="286"/>
    </row>
    <row r="4522" spans="1:1" s="287" customFormat="1" ht="12" hidden="1" customHeight="1">
      <c r="A4522" s="286"/>
    </row>
    <row r="4523" spans="1:1" s="287" customFormat="1" ht="12" hidden="1" customHeight="1">
      <c r="A4523" s="286"/>
    </row>
    <row r="4524" spans="1:1" s="287" customFormat="1" ht="12" hidden="1" customHeight="1">
      <c r="A4524" s="286"/>
    </row>
    <row r="4525" spans="1:1" s="287" customFormat="1" ht="12" hidden="1" customHeight="1">
      <c r="A4525" s="286"/>
    </row>
    <row r="4526" spans="1:1" s="287" customFormat="1" ht="12" hidden="1" customHeight="1">
      <c r="A4526" s="286"/>
    </row>
    <row r="4527" spans="1:1" s="287" customFormat="1" ht="12" hidden="1" customHeight="1">
      <c r="A4527" s="286"/>
    </row>
    <row r="4528" spans="1:1" s="287" customFormat="1" ht="12" hidden="1" customHeight="1">
      <c r="A4528" s="286"/>
    </row>
    <row r="4529" spans="1:1" s="287" customFormat="1" ht="12" hidden="1" customHeight="1">
      <c r="A4529" s="286"/>
    </row>
    <row r="4530" spans="1:1" s="287" customFormat="1" ht="12" hidden="1" customHeight="1">
      <c r="A4530" s="286"/>
    </row>
    <row r="4531" spans="1:1" s="287" customFormat="1" ht="12" hidden="1" customHeight="1">
      <c r="A4531" s="286"/>
    </row>
    <row r="4532" spans="1:1" s="287" customFormat="1" ht="12" hidden="1" customHeight="1">
      <c r="A4532" s="286"/>
    </row>
    <row r="4533" spans="1:1" s="287" customFormat="1" ht="12" hidden="1" customHeight="1">
      <c r="A4533" s="286"/>
    </row>
    <row r="4534" spans="1:1" s="287" customFormat="1" ht="12" hidden="1" customHeight="1">
      <c r="A4534" s="286"/>
    </row>
    <row r="4535" spans="1:1" s="287" customFormat="1" ht="12" hidden="1" customHeight="1">
      <c r="A4535" s="286"/>
    </row>
    <row r="4536" spans="1:1" s="287" customFormat="1" ht="12" hidden="1" customHeight="1">
      <c r="A4536" s="286"/>
    </row>
    <row r="4537" spans="1:1" s="287" customFormat="1" ht="12" hidden="1" customHeight="1">
      <c r="A4537" s="286"/>
    </row>
    <row r="4538" spans="1:1" s="287" customFormat="1" ht="12" hidden="1" customHeight="1">
      <c r="A4538" s="286"/>
    </row>
    <row r="4539" spans="1:1" s="287" customFormat="1" ht="12" hidden="1" customHeight="1">
      <c r="A4539" s="286"/>
    </row>
    <row r="4540" spans="1:1" s="287" customFormat="1" ht="12" hidden="1" customHeight="1">
      <c r="A4540" s="286"/>
    </row>
    <row r="4541" spans="1:1" s="287" customFormat="1" ht="12" hidden="1" customHeight="1">
      <c r="A4541" s="286"/>
    </row>
    <row r="4542" spans="1:1" s="287" customFormat="1" ht="12" hidden="1" customHeight="1">
      <c r="A4542" s="286"/>
    </row>
    <row r="4543" spans="1:1" s="287" customFormat="1" ht="12" hidden="1" customHeight="1">
      <c r="A4543" s="286"/>
    </row>
    <row r="4544" spans="1:1" s="287" customFormat="1" ht="12" hidden="1" customHeight="1">
      <c r="A4544" s="286"/>
    </row>
    <row r="4545" spans="1:1" s="287" customFormat="1" ht="12" hidden="1" customHeight="1">
      <c r="A4545" s="286"/>
    </row>
    <row r="4546" spans="1:1" s="287" customFormat="1" ht="12" hidden="1" customHeight="1">
      <c r="A4546" s="286"/>
    </row>
    <row r="4547" spans="1:1" s="287" customFormat="1" ht="12" hidden="1" customHeight="1">
      <c r="A4547" s="286"/>
    </row>
    <row r="4548" spans="1:1" s="287" customFormat="1" ht="12" hidden="1" customHeight="1">
      <c r="A4548" s="286"/>
    </row>
    <row r="4549" spans="1:1" s="287" customFormat="1" ht="12" hidden="1" customHeight="1">
      <c r="A4549" s="286"/>
    </row>
    <row r="4550" spans="1:1" s="287" customFormat="1" ht="12" hidden="1" customHeight="1">
      <c r="A4550" s="286"/>
    </row>
    <row r="4551" spans="1:1" s="287" customFormat="1" ht="12" hidden="1" customHeight="1">
      <c r="A4551" s="286"/>
    </row>
    <row r="4552" spans="1:1" s="287" customFormat="1" ht="12" hidden="1" customHeight="1">
      <c r="A4552" s="286"/>
    </row>
    <row r="4553" spans="1:1" s="287" customFormat="1" ht="12" hidden="1" customHeight="1">
      <c r="A4553" s="286"/>
    </row>
    <row r="4554" spans="1:1" s="287" customFormat="1" ht="12" hidden="1" customHeight="1">
      <c r="A4554" s="286"/>
    </row>
    <row r="4555" spans="1:1" s="287" customFormat="1" ht="12" hidden="1" customHeight="1">
      <c r="A4555" s="286"/>
    </row>
    <row r="4556" spans="1:1" s="287" customFormat="1" ht="12" hidden="1" customHeight="1">
      <c r="A4556" s="286"/>
    </row>
    <row r="4557" spans="1:1" s="287" customFormat="1" ht="12" hidden="1" customHeight="1">
      <c r="A4557" s="286"/>
    </row>
    <row r="4558" spans="1:1" s="287" customFormat="1" ht="12" hidden="1" customHeight="1">
      <c r="A4558" s="286"/>
    </row>
    <row r="4559" spans="1:1" s="287" customFormat="1" ht="12" hidden="1" customHeight="1">
      <c r="A4559" s="286"/>
    </row>
    <row r="4560" spans="1:1" s="287" customFormat="1" ht="12" hidden="1" customHeight="1">
      <c r="A4560" s="286"/>
    </row>
    <row r="4561" spans="1:1" s="287" customFormat="1" ht="12" hidden="1" customHeight="1">
      <c r="A4561" s="286"/>
    </row>
    <row r="4562" spans="1:1" s="287" customFormat="1" ht="12" hidden="1" customHeight="1">
      <c r="A4562" s="286"/>
    </row>
    <row r="4563" spans="1:1" s="287" customFormat="1" ht="12" hidden="1" customHeight="1">
      <c r="A4563" s="286"/>
    </row>
    <row r="4564" spans="1:1" s="287" customFormat="1" ht="12" hidden="1" customHeight="1">
      <c r="A4564" s="286"/>
    </row>
    <row r="4565" spans="1:1" s="287" customFormat="1" ht="12" hidden="1" customHeight="1">
      <c r="A4565" s="286"/>
    </row>
    <row r="4566" spans="1:1" s="287" customFormat="1" ht="12" hidden="1" customHeight="1">
      <c r="A4566" s="286"/>
    </row>
    <row r="4567" spans="1:1" s="287" customFormat="1" ht="12" hidden="1" customHeight="1">
      <c r="A4567" s="286"/>
    </row>
    <row r="4568" spans="1:1" s="287" customFormat="1" ht="12" hidden="1" customHeight="1">
      <c r="A4568" s="286"/>
    </row>
    <row r="4569" spans="1:1" s="287" customFormat="1" ht="12" hidden="1" customHeight="1">
      <c r="A4569" s="286"/>
    </row>
    <row r="4570" spans="1:1" s="287" customFormat="1" ht="12" hidden="1" customHeight="1">
      <c r="A4570" s="286"/>
    </row>
    <row r="4571" spans="1:1" s="287" customFormat="1" ht="12" hidden="1" customHeight="1">
      <c r="A4571" s="286"/>
    </row>
    <row r="4572" spans="1:1" s="287" customFormat="1" ht="12" hidden="1" customHeight="1">
      <c r="A4572" s="286"/>
    </row>
    <row r="4573" spans="1:1" s="287" customFormat="1" ht="12" hidden="1" customHeight="1">
      <c r="A4573" s="286"/>
    </row>
    <row r="4574" spans="1:1" s="287" customFormat="1" ht="12" hidden="1" customHeight="1">
      <c r="A4574" s="286"/>
    </row>
    <row r="4575" spans="1:1" s="287" customFormat="1" ht="12" hidden="1" customHeight="1">
      <c r="A4575" s="286"/>
    </row>
    <row r="4576" spans="1:1" s="287" customFormat="1" ht="12" hidden="1" customHeight="1">
      <c r="A4576" s="286"/>
    </row>
    <row r="4577" spans="1:1" s="287" customFormat="1" ht="12" hidden="1" customHeight="1">
      <c r="A4577" s="286"/>
    </row>
    <row r="4578" spans="1:1" s="287" customFormat="1" ht="12" hidden="1" customHeight="1">
      <c r="A4578" s="286"/>
    </row>
    <row r="4579" spans="1:1" s="287" customFormat="1" ht="12" hidden="1" customHeight="1">
      <c r="A4579" s="286"/>
    </row>
    <row r="4580" spans="1:1" s="287" customFormat="1" ht="12" hidden="1" customHeight="1">
      <c r="A4580" s="286"/>
    </row>
    <row r="4581" spans="1:1" s="287" customFormat="1" ht="12" hidden="1" customHeight="1">
      <c r="A4581" s="286"/>
    </row>
    <row r="4582" spans="1:1" s="287" customFormat="1" ht="12" hidden="1" customHeight="1">
      <c r="A4582" s="286"/>
    </row>
    <row r="4583" spans="1:1" s="287" customFormat="1" ht="12" hidden="1" customHeight="1">
      <c r="A4583" s="286"/>
    </row>
    <row r="4584" spans="1:1" s="287" customFormat="1" ht="12" hidden="1" customHeight="1">
      <c r="A4584" s="286"/>
    </row>
    <row r="4585" spans="1:1" s="287" customFormat="1" ht="12" hidden="1" customHeight="1">
      <c r="A4585" s="286"/>
    </row>
    <row r="4586" spans="1:1" s="287" customFormat="1" ht="12" hidden="1" customHeight="1">
      <c r="A4586" s="286"/>
    </row>
    <row r="4587" spans="1:1" s="287" customFormat="1" ht="12" hidden="1" customHeight="1">
      <c r="A4587" s="286"/>
    </row>
    <row r="4588" spans="1:1" s="287" customFormat="1" ht="12" hidden="1" customHeight="1">
      <c r="A4588" s="286"/>
    </row>
    <row r="4589" spans="1:1" s="287" customFormat="1" ht="12" hidden="1" customHeight="1">
      <c r="A4589" s="286"/>
    </row>
    <row r="4590" spans="1:1" s="287" customFormat="1" ht="12" hidden="1" customHeight="1">
      <c r="A4590" s="286"/>
    </row>
    <row r="4591" spans="1:1" s="287" customFormat="1" ht="12" hidden="1" customHeight="1">
      <c r="A4591" s="286"/>
    </row>
    <row r="4592" spans="1:1" s="287" customFormat="1" ht="12" hidden="1" customHeight="1">
      <c r="A4592" s="286"/>
    </row>
    <row r="4593" spans="1:1" s="287" customFormat="1" ht="12" hidden="1" customHeight="1">
      <c r="A4593" s="286"/>
    </row>
    <row r="4594" spans="1:1" s="287" customFormat="1" ht="12" hidden="1" customHeight="1">
      <c r="A4594" s="286"/>
    </row>
    <row r="4595" spans="1:1" s="287" customFormat="1" ht="12" hidden="1" customHeight="1">
      <c r="A4595" s="286"/>
    </row>
    <row r="4596" spans="1:1" s="287" customFormat="1" ht="12" hidden="1" customHeight="1">
      <c r="A4596" s="286"/>
    </row>
    <row r="4597" spans="1:1" s="287" customFormat="1" ht="12" hidden="1" customHeight="1">
      <c r="A4597" s="286"/>
    </row>
    <row r="4598" spans="1:1" s="287" customFormat="1" ht="12" hidden="1" customHeight="1">
      <c r="A4598" s="286"/>
    </row>
    <row r="4599" spans="1:1" s="287" customFormat="1" ht="12" hidden="1" customHeight="1">
      <c r="A4599" s="286"/>
    </row>
    <row r="4600" spans="1:1" s="287" customFormat="1" ht="12" hidden="1" customHeight="1">
      <c r="A4600" s="286"/>
    </row>
    <row r="4601" spans="1:1" s="287" customFormat="1" ht="12" hidden="1" customHeight="1">
      <c r="A4601" s="286"/>
    </row>
    <row r="4602" spans="1:1" s="287" customFormat="1" ht="12" hidden="1" customHeight="1">
      <c r="A4602" s="286"/>
    </row>
    <row r="4603" spans="1:1" s="287" customFormat="1" ht="12" hidden="1" customHeight="1">
      <c r="A4603" s="286"/>
    </row>
    <row r="4604" spans="1:1" s="287" customFormat="1" ht="12" hidden="1" customHeight="1">
      <c r="A4604" s="286"/>
    </row>
    <row r="4605" spans="1:1" s="287" customFormat="1" ht="12" hidden="1" customHeight="1">
      <c r="A4605" s="286"/>
    </row>
    <row r="4606" spans="1:1" s="287" customFormat="1" ht="12" hidden="1" customHeight="1">
      <c r="A4606" s="286"/>
    </row>
    <row r="4607" spans="1:1" s="287" customFormat="1" ht="12" hidden="1" customHeight="1">
      <c r="A4607" s="286"/>
    </row>
    <row r="4608" spans="1:1" s="287" customFormat="1" ht="12" hidden="1" customHeight="1">
      <c r="A4608" s="286"/>
    </row>
    <row r="4609" spans="1:1" s="287" customFormat="1" ht="12" hidden="1" customHeight="1">
      <c r="A4609" s="286"/>
    </row>
    <row r="4610" spans="1:1" s="287" customFormat="1" ht="12" hidden="1" customHeight="1">
      <c r="A4610" s="286"/>
    </row>
    <row r="4611" spans="1:1" s="287" customFormat="1" ht="12" hidden="1" customHeight="1">
      <c r="A4611" s="286"/>
    </row>
    <row r="4612" spans="1:1" s="287" customFormat="1" ht="12" hidden="1" customHeight="1">
      <c r="A4612" s="286"/>
    </row>
    <row r="4613" spans="1:1" s="287" customFormat="1" ht="12" hidden="1" customHeight="1">
      <c r="A4613" s="286"/>
    </row>
    <row r="4614" spans="1:1" s="287" customFormat="1" ht="12" hidden="1" customHeight="1">
      <c r="A4614" s="286"/>
    </row>
    <row r="4615" spans="1:1" s="287" customFormat="1" ht="12" hidden="1" customHeight="1">
      <c r="A4615" s="286"/>
    </row>
    <row r="4616" spans="1:1" s="287" customFormat="1" ht="12" hidden="1" customHeight="1">
      <c r="A4616" s="286"/>
    </row>
    <row r="4617" spans="1:1" s="287" customFormat="1" ht="12" hidden="1" customHeight="1">
      <c r="A4617" s="286"/>
    </row>
    <row r="4618" spans="1:1" s="287" customFormat="1" ht="12" hidden="1" customHeight="1">
      <c r="A4618" s="286"/>
    </row>
    <row r="4619" spans="1:1" s="287" customFormat="1" ht="12" hidden="1" customHeight="1">
      <c r="A4619" s="286"/>
    </row>
    <row r="4620" spans="1:1" s="287" customFormat="1" ht="12" hidden="1" customHeight="1">
      <c r="A4620" s="286"/>
    </row>
    <row r="4621" spans="1:1" s="287" customFormat="1" ht="12" hidden="1" customHeight="1">
      <c r="A4621" s="286"/>
    </row>
    <row r="4622" spans="1:1" s="287" customFormat="1" ht="12" hidden="1" customHeight="1">
      <c r="A4622" s="286"/>
    </row>
    <row r="4623" spans="1:1" s="287" customFormat="1" ht="12" hidden="1" customHeight="1">
      <c r="A4623" s="286"/>
    </row>
    <row r="4624" spans="1:1" s="287" customFormat="1" ht="12" hidden="1" customHeight="1">
      <c r="A4624" s="286"/>
    </row>
    <row r="4625" spans="1:1" s="287" customFormat="1" ht="12" hidden="1" customHeight="1">
      <c r="A4625" s="286"/>
    </row>
    <row r="4626" spans="1:1" s="287" customFormat="1" ht="12" hidden="1" customHeight="1">
      <c r="A4626" s="286"/>
    </row>
    <row r="4627" spans="1:1" s="287" customFormat="1" ht="12" hidden="1" customHeight="1">
      <c r="A4627" s="286"/>
    </row>
    <row r="4628" spans="1:1" s="287" customFormat="1" ht="12" hidden="1" customHeight="1">
      <c r="A4628" s="286"/>
    </row>
    <row r="4629" spans="1:1" s="287" customFormat="1" ht="12" hidden="1" customHeight="1">
      <c r="A4629" s="286"/>
    </row>
    <row r="4630" spans="1:1" s="287" customFormat="1" ht="12" hidden="1" customHeight="1">
      <c r="A4630" s="286"/>
    </row>
    <row r="4631" spans="1:1" s="287" customFormat="1" ht="12" hidden="1" customHeight="1">
      <c r="A4631" s="286"/>
    </row>
    <row r="4632" spans="1:1" s="287" customFormat="1" ht="12" hidden="1" customHeight="1">
      <c r="A4632" s="286"/>
    </row>
    <row r="4633" spans="1:1" s="287" customFormat="1" ht="12" hidden="1" customHeight="1">
      <c r="A4633" s="286"/>
    </row>
    <row r="4634" spans="1:1" s="287" customFormat="1" ht="12" hidden="1" customHeight="1">
      <c r="A4634" s="286"/>
    </row>
    <row r="4635" spans="1:1" s="287" customFormat="1" ht="12" hidden="1" customHeight="1">
      <c r="A4635" s="286"/>
    </row>
    <row r="4636" spans="1:1" s="287" customFormat="1" ht="12" hidden="1" customHeight="1">
      <c r="A4636" s="286"/>
    </row>
    <row r="4637" spans="1:1" s="287" customFormat="1" ht="12" hidden="1" customHeight="1">
      <c r="A4637" s="286"/>
    </row>
    <row r="4638" spans="1:1" s="287" customFormat="1" ht="12" hidden="1" customHeight="1">
      <c r="A4638" s="286"/>
    </row>
    <row r="4639" spans="1:1" s="287" customFormat="1" ht="12" hidden="1" customHeight="1">
      <c r="A4639" s="286"/>
    </row>
    <row r="4640" spans="1:1" s="287" customFormat="1" ht="12" hidden="1" customHeight="1">
      <c r="A4640" s="286"/>
    </row>
    <row r="4641" spans="1:1" s="287" customFormat="1" ht="12" hidden="1" customHeight="1">
      <c r="A4641" s="286"/>
    </row>
    <row r="4642" spans="1:1" s="287" customFormat="1" ht="12" hidden="1" customHeight="1">
      <c r="A4642" s="286"/>
    </row>
    <row r="4643" spans="1:1" s="287" customFormat="1" ht="12" hidden="1" customHeight="1">
      <c r="A4643" s="286"/>
    </row>
    <row r="4644" spans="1:1" s="287" customFormat="1" ht="12" hidden="1" customHeight="1">
      <c r="A4644" s="286"/>
    </row>
    <row r="4645" spans="1:1" s="287" customFormat="1" ht="12" hidden="1" customHeight="1">
      <c r="A4645" s="286"/>
    </row>
    <row r="4646" spans="1:1" s="287" customFormat="1" ht="12" hidden="1" customHeight="1">
      <c r="A4646" s="286"/>
    </row>
    <row r="4647" spans="1:1" s="287" customFormat="1" ht="12" hidden="1" customHeight="1">
      <c r="A4647" s="286"/>
    </row>
    <row r="4648" spans="1:1" s="287" customFormat="1" ht="12" hidden="1" customHeight="1">
      <c r="A4648" s="286"/>
    </row>
    <row r="4649" spans="1:1" s="287" customFormat="1" ht="12" hidden="1" customHeight="1">
      <c r="A4649" s="286"/>
    </row>
    <row r="4650" spans="1:1" s="287" customFormat="1" ht="12" hidden="1" customHeight="1">
      <c r="A4650" s="286"/>
    </row>
    <row r="4651" spans="1:1" s="287" customFormat="1" ht="12" hidden="1" customHeight="1">
      <c r="A4651" s="286"/>
    </row>
    <row r="4652" spans="1:1" s="287" customFormat="1" ht="12" hidden="1" customHeight="1">
      <c r="A4652" s="286"/>
    </row>
    <row r="4653" spans="1:1" s="287" customFormat="1" ht="12" hidden="1" customHeight="1">
      <c r="A4653" s="286"/>
    </row>
    <row r="4654" spans="1:1" s="287" customFormat="1" ht="12" hidden="1" customHeight="1">
      <c r="A4654" s="286"/>
    </row>
    <row r="4655" spans="1:1" s="287" customFormat="1" ht="12" hidden="1" customHeight="1">
      <c r="A4655" s="286"/>
    </row>
    <row r="4656" spans="1:1" s="287" customFormat="1" ht="12" hidden="1" customHeight="1">
      <c r="A4656" s="286"/>
    </row>
    <row r="4657" spans="1:1" s="287" customFormat="1" ht="12" hidden="1" customHeight="1">
      <c r="A4657" s="286"/>
    </row>
    <row r="4658" spans="1:1" s="287" customFormat="1" ht="12" hidden="1" customHeight="1">
      <c r="A4658" s="286"/>
    </row>
    <row r="4659" spans="1:1" s="287" customFormat="1" ht="12" hidden="1" customHeight="1">
      <c r="A4659" s="286"/>
    </row>
    <row r="4660" spans="1:1" s="287" customFormat="1" ht="12" hidden="1" customHeight="1">
      <c r="A4660" s="286"/>
    </row>
    <row r="4661" spans="1:1" s="287" customFormat="1" ht="12" hidden="1" customHeight="1">
      <c r="A4661" s="286"/>
    </row>
    <row r="4662" spans="1:1" s="287" customFormat="1" ht="12" hidden="1" customHeight="1">
      <c r="A4662" s="286"/>
    </row>
    <row r="4663" spans="1:1" s="287" customFormat="1" ht="12" hidden="1" customHeight="1">
      <c r="A4663" s="286"/>
    </row>
    <row r="4664" spans="1:1" s="287" customFormat="1" ht="12" hidden="1" customHeight="1">
      <c r="A4664" s="286"/>
    </row>
    <row r="4665" spans="1:1" s="287" customFormat="1" ht="12" hidden="1" customHeight="1">
      <c r="A4665" s="286"/>
    </row>
    <row r="4666" spans="1:1" s="287" customFormat="1" ht="12" hidden="1" customHeight="1">
      <c r="A4666" s="286"/>
    </row>
    <row r="4667" spans="1:1" s="287" customFormat="1" ht="12" hidden="1" customHeight="1">
      <c r="A4667" s="286"/>
    </row>
    <row r="4668" spans="1:1" s="287" customFormat="1" ht="12" hidden="1" customHeight="1">
      <c r="A4668" s="286"/>
    </row>
    <row r="4669" spans="1:1" s="287" customFormat="1" ht="12" hidden="1" customHeight="1">
      <c r="A4669" s="286"/>
    </row>
    <row r="4670" spans="1:1" s="287" customFormat="1" ht="12" hidden="1" customHeight="1">
      <c r="A4670" s="286"/>
    </row>
    <row r="4671" spans="1:1" s="287" customFormat="1" ht="12" hidden="1" customHeight="1">
      <c r="A4671" s="286"/>
    </row>
    <row r="4672" spans="1:1" s="287" customFormat="1" ht="12" hidden="1" customHeight="1">
      <c r="A4672" s="286"/>
    </row>
    <row r="4673" spans="1:1" s="287" customFormat="1" ht="12" hidden="1" customHeight="1">
      <c r="A4673" s="286"/>
    </row>
    <row r="4674" spans="1:1" s="287" customFormat="1" ht="12" hidden="1" customHeight="1">
      <c r="A4674" s="286"/>
    </row>
    <row r="4675" spans="1:1" s="287" customFormat="1" ht="12" hidden="1" customHeight="1">
      <c r="A4675" s="286"/>
    </row>
    <row r="4676" spans="1:1" s="287" customFormat="1" ht="12" hidden="1" customHeight="1">
      <c r="A4676" s="286"/>
    </row>
    <row r="4677" spans="1:1" s="287" customFormat="1" ht="12" hidden="1" customHeight="1">
      <c r="A4677" s="286"/>
    </row>
    <row r="4678" spans="1:1" s="287" customFormat="1" ht="12" hidden="1" customHeight="1">
      <c r="A4678" s="286"/>
    </row>
    <row r="4679" spans="1:1" s="287" customFormat="1" ht="12" hidden="1" customHeight="1">
      <c r="A4679" s="286"/>
    </row>
    <row r="4680" spans="1:1" s="287" customFormat="1" ht="12" hidden="1" customHeight="1">
      <c r="A4680" s="286"/>
    </row>
    <row r="4681" spans="1:1" s="287" customFormat="1" ht="12" hidden="1" customHeight="1">
      <c r="A4681" s="286"/>
    </row>
    <row r="4682" spans="1:1" s="287" customFormat="1" ht="12" hidden="1" customHeight="1">
      <c r="A4682" s="286"/>
    </row>
    <row r="4683" spans="1:1" s="287" customFormat="1" ht="12" hidden="1" customHeight="1">
      <c r="A4683" s="286"/>
    </row>
    <row r="4684" spans="1:1" s="287" customFormat="1" ht="12" hidden="1" customHeight="1">
      <c r="A4684" s="286"/>
    </row>
    <row r="4685" spans="1:1" s="287" customFormat="1" ht="12" hidden="1" customHeight="1">
      <c r="A4685" s="286"/>
    </row>
    <row r="4686" spans="1:1" s="287" customFormat="1" ht="12" hidden="1" customHeight="1">
      <c r="A4686" s="286"/>
    </row>
    <row r="4687" spans="1:1" s="287" customFormat="1" ht="12" hidden="1" customHeight="1">
      <c r="A4687" s="286"/>
    </row>
    <row r="4688" spans="1:1" s="287" customFormat="1" ht="12" hidden="1" customHeight="1">
      <c r="A4688" s="286"/>
    </row>
    <row r="4689" spans="1:1" s="287" customFormat="1" ht="12" hidden="1" customHeight="1">
      <c r="A4689" s="286"/>
    </row>
    <row r="4690" spans="1:1" s="287" customFormat="1" ht="12" hidden="1" customHeight="1">
      <c r="A4690" s="286"/>
    </row>
    <row r="4691" spans="1:1" s="287" customFormat="1" ht="12" hidden="1" customHeight="1">
      <c r="A4691" s="286"/>
    </row>
    <row r="4692" spans="1:1" s="287" customFormat="1" ht="12" hidden="1" customHeight="1">
      <c r="A4692" s="286"/>
    </row>
    <row r="4693" spans="1:1" s="287" customFormat="1" ht="12" hidden="1" customHeight="1">
      <c r="A4693" s="286"/>
    </row>
    <row r="4694" spans="1:1" s="287" customFormat="1" ht="12" hidden="1" customHeight="1">
      <c r="A4694" s="286"/>
    </row>
    <row r="4695" spans="1:1" s="287" customFormat="1" ht="12" hidden="1" customHeight="1">
      <c r="A4695" s="286"/>
    </row>
    <row r="4696" spans="1:1" s="287" customFormat="1" ht="12" hidden="1" customHeight="1">
      <c r="A4696" s="286"/>
    </row>
    <row r="4697" spans="1:1" s="287" customFormat="1" ht="12" hidden="1" customHeight="1">
      <c r="A4697" s="286"/>
    </row>
    <row r="4698" spans="1:1" s="287" customFormat="1" ht="12" hidden="1" customHeight="1">
      <c r="A4698" s="286"/>
    </row>
    <row r="4699" spans="1:1" s="287" customFormat="1" ht="12" hidden="1" customHeight="1">
      <c r="A4699" s="286"/>
    </row>
    <row r="4700" spans="1:1" s="287" customFormat="1" ht="12" hidden="1" customHeight="1">
      <c r="A4700" s="286"/>
    </row>
    <row r="4701" spans="1:1" s="287" customFormat="1" ht="12" hidden="1" customHeight="1">
      <c r="A4701" s="286"/>
    </row>
    <row r="4702" spans="1:1" s="287" customFormat="1" ht="12" hidden="1" customHeight="1">
      <c r="A4702" s="286"/>
    </row>
    <row r="4703" spans="1:1" s="287" customFormat="1" ht="12" hidden="1" customHeight="1">
      <c r="A4703" s="286"/>
    </row>
    <row r="4704" spans="1:1" s="287" customFormat="1" ht="12" hidden="1" customHeight="1">
      <c r="A4704" s="286"/>
    </row>
    <row r="4705" spans="1:1" s="287" customFormat="1" ht="12" hidden="1" customHeight="1">
      <c r="A4705" s="286"/>
    </row>
    <row r="4706" spans="1:1" s="287" customFormat="1" ht="12" hidden="1" customHeight="1">
      <c r="A4706" s="286"/>
    </row>
    <row r="4707" spans="1:1" s="287" customFormat="1" ht="12" hidden="1" customHeight="1">
      <c r="A4707" s="286"/>
    </row>
    <row r="4708" spans="1:1" s="287" customFormat="1" ht="12" hidden="1" customHeight="1">
      <c r="A4708" s="286"/>
    </row>
    <row r="4709" spans="1:1" s="287" customFormat="1" ht="12" hidden="1" customHeight="1">
      <c r="A4709" s="286"/>
    </row>
    <row r="4710" spans="1:1" s="287" customFormat="1" ht="12" hidden="1" customHeight="1">
      <c r="A4710" s="286"/>
    </row>
    <row r="4711" spans="1:1" s="287" customFormat="1" ht="12" hidden="1" customHeight="1">
      <c r="A4711" s="286"/>
    </row>
    <row r="4712" spans="1:1" s="287" customFormat="1" ht="12" hidden="1" customHeight="1">
      <c r="A4712" s="286"/>
    </row>
    <row r="4713" spans="1:1" s="287" customFormat="1" ht="12" hidden="1" customHeight="1">
      <c r="A4713" s="286"/>
    </row>
    <row r="4714" spans="1:1" s="287" customFormat="1" ht="12" hidden="1" customHeight="1">
      <c r="A4714" s="286"/>
    </row>
    <row r="4715" spans="1:1" s="287" customFormat="1" ht="12" hidden="1" customHeight="1">
      <c r="A4715" s="286"/>
    </row>
    <row r="4716" spans="1:1" s="287" customFormat="1" ht="12" hidden="1" customHeight="1">
      <c r="A4716" s="286"/>
    </row>
    <row r="4717" spans="1:1" s="287" customFormat="1" ht="12" hidden="1" customHeight="1">
      <c r="A4717" s="286"/>
    </row>
    <row r="4718" spans="1:1" s="287" customFormat="1" ht="12" hidden="1" customHeight="1">
      <c r="A4718" s="286"/>
    </row>
    <row r="4719" spans="1:1" s="287" customFormat="1" ht="12" hidden="1" customHeight="1">
      <c r="A4719" s="286"/>
    </row>
    <row r="4720" spans="1:1" s="287" customFormat="1" ht="12" hidden="1" customHeight="1">
      <c r="A4720" s="286"/>
    </row>
    <row r="4721" spans="1:1" s="287" customFormat="1" ht="12" hidden="1" customHeight="1">
      <c r="A4721" s="286"/>
    </row>
    <row r="4722" spans="1:1" s="287" customFormat="1" ht="12" hidden="1" customHeight="1">
      <c r="A4722" s="286"/>
    </row>
    <row r="4723" spans="1:1" s="287" customFormat="1" ht="12" hidden="1" customHeight="1">
      <c r="A4723" s="286"/>
    </row>
    <row r="4724" spans="1:1" s="287" customFormat="1" ht="12" hidden="1" customHeight="1">
      <c r="A4724" s="286"/>
    </row>
    <row r="4725" spans="1:1" s="287" customFormat="1" ht="12" hidden="1" customHeight="1">
      <c r="A4725" s="286"/>
    </row>
    <row r="4726" spans="1:1" s="287" customFormat="1" ht="12" hidden="1" customHeight="1">
      <c r="A4726" s="286"/>
    </row>
    <row r="4727" spans="1:1" s="287" customFormat="1" ht="12" hidden="1" customHeight="1">
      <c r="A4727" s="286"/>
    </row>
    <row r="4728" spans="1:1" s="287" customFormat="1" ht="12" hidden="1" customHeight="1">
      <c r="A4728" s="286"/>
    </row>
    <row r="4729" spans="1:1" s="287" customFormat="1" ht="12" hidden="1" customHeight="1">
      <c r="A4729" s="286"/>
    </row>
    <row r="4730" spans="1:1" s="287" customFormat="1" ht="12" hidden="1" customHeight="1">
      <c r="A4730" s="286"/>
    </row>
    <row r="4731" spans="1:1" s="287" customFormat="1" ht="12" hidden="1" customHeight="1">
      <c r="A4731" s="286"/>
    </row>
    <row r="4732" spans="1:1" s="287" customFormat="1" ht="12" hidden="1" customHeight="1">
      <c r="A4732" s="286"/>
    </row>
    <row r="4733" spans="1:1" s="287" customFormat="1" ht="12" hidden="1" customHeight="1">
      <c r="A4733" s="286"/>
    </row>
    <row r="4734" spans="1:1" s="287" customFormat="1" ht="12" hidden="1" customHeight="1">
      <c r="A4734" s="286"/>
    </row>
    <row r="4735" spans="1:1" s="287" customFormat="1" ht="12" hidden="1" customHeight="1">
      <c r="A4735" s="286"/>
    </row>
    <row r="4736" spans="1:1" s="287" customFormat="1" ht="12" hidden="1" customHeight="1">
      <c r="A4736" s="286"/>
    </row>
    <row r="4737" spans="1:1" s="287" customFormat="1" ht="12" hidden="1" customHeight="1">
      <c r="A4737" s="286"/>
    </row>
    <row r="4738" spans="1:1" s="287" customFormat="1" ht="12" hidden="1" customHeight="1">
      <c r="A4738" s="286"/>
    </row>
    <row r="4739" spans="1:1" s="287" customFormat="1" ht="12" hidden="1" customHeight="1">
      <c r="A4739" s="286"/>
    </row>
    <row r="4740" spans="1:1" s="287" customFormat="1" ht="12" hidden="1" customHeight="1">
      <c r="A4740" s="286"/>
    </row>
    <row r="4741" spans="1:1" s="287" customFormat="1" ht="12" hidden="1" customHeight="1">
      <c r="A4741" s="286"/>
    </row>
    <row r="4742" spans="1:1" s="287" customFormat="1" ht="12" hidden="1" customHeight="1">
      <c r="A4742" s="286"/>
    </row>
    <row r="4743" spans="1:1" s="287" customFormat="1" ht="12" hidden="1" customHeight="1">
      <c r="A4743" s="286"/>
    </row>
    <row r="4744" spans="1:1" s="287" customFormat="1" ht="12" hidden="1" customHeight="1">
      <c r="A4744" s="286"/>
    </row>
    <row r="4745" spans="1:1" s="287" customFormat="1" ht="12" hidden="1" customHeight="1">
      <c r="A4745" s="286"/>
    </row>
    <row r="4746" spans="1:1" s="287" customFormat="1" ht="12" hidden="1" customHeight="1">
      <c r="A4746" s="286"/>
    </row>
    <row r="4747" spans="1:1" s="287" customFormat="1" ht="12" hidden="1" customHeight="1">
      <c r="A4747" s="286"/>
    </row>
    <row r="4748" spans="1:1" s="287" customFormat="1" ht="12" hidden="1" customHeight="1">
      <c r="A4748" s="286"/>
    </row>
    <row r="4749" spans="1:1" s="287" customFormat="1" ht="12" hidden="1" customHeight="1">
      <c r="A4749" s="286"/>
    </row>
    <row r="4750" spans="1:1" s="287" customFormat="1" ht="12" hidden="1" customHeight="1">
      <c r="A4750" s="286"/>
    </row>
    <row r="4751" spans="1:1" s="287" customFormat="1" ht="12" hidden="1" customHeight="1">
      <c r="A4751" s="286"/>
    </row>
    <row r="4752" spans="1:1" s="287" customFormat="1" ht="12" hidden="1" customHeight="1">
      <c r="A4752" s="286"/>
    </row>
    <row r="4753" spans="1:1" s="287" customFormat="1" ht="12" hidden="1" customHeight="1">
      <c r="A4753" s="286"/>
    </row>
    <row r="4754" spans="1:1" s="287" customFormat="1" ht="12" hidden="1" customHeight="1">
      <c r="A4754" s="286"/>
    </row>
    <row r="4755" spans="1:1" s="287" customFormat="1" ht="12" hidden="1" customHeight="1">
      <c r="A4755" s="286"/>
    </row>
    <row r="4756" spans="1:1" s="287" customFormat="1" ht="12" hidden="1" customHeight="1">
      <c r="A4756" s="286"/>
    </row>
    <row r="4757" spans="1:1" s="287" customFormat="1" ht="12" hidden="1" customHeight="1">
      <c r="A4757" s="286"/>
    </row>
    <row r="4758" spans="1:1" s="287" customFormat="1" ht="12" hidden="1" customHeight="1">
      <c r="A4758" s="286"/>
    </row>
    <row r="4759" spans="1:1" s="287" customFormat="1" ht="12" hidden="1" customHeight="1">
      <c r="A4759" s="286"/>
    </row>
    <row r="4760" spans="1:1" s="287" customFormat="1" ht="12" hidden="1" customHeight="1">
      <c r="A4760" s="286"/>
    </row>
    <row r="4761" spans="1:1" s="287" customFormat="1" ht="12" hidden="1" customHeight="1">
      <c r="A4761" s="286"/>
    </row>
    <row r="4762" spans="1:1" s="287" customFormat="1" ht="12" hidden="1" customHeight="1">
      <c r="A4762" s="286"/>
    </row>
    <row r="4763" spans="1:1" s="287" customFormat="1" ht="12" hidden="1" customHeight="1">
      <c r="A4763" s="286"/>
    </row>
    <row r="4764" spans="1:1" s="287" customFormat="1" ht="12" hidden="1" customHeight="1">
      <c r="A4764" s="286"/>
    </row>
    <row r="4765" spans="1:1" s="287" customFormat="1" ht="12" hidden="1" customHeight="1">
      <c r="A4765" s="286"/>
    </row>
    <row r="4766" spans="1:1" s="287" customFormat="1" ht="12" hidden="1" customHeight="1">
      <c r="A4766" s="286"/>
    </row>
    <row r="4767" spans="1:1" s="287" customFormat="1" ht="12" hidden="1" customHeight="1">
      <c r="A4767" s="286"/>
    </row>
    <row r="4768" spans="1:1" s="287" customFormat="1" ht="12" hidden="1" customHeight="1">
      <c r="A4768" s="286"/>
    </row>
    <row r="4769" spans="1:1" s="287" customFormat="1" ht="12" hidden="1" customHeight="1">
      <c r="A4769" s="286"/>
    </row>
    <row r="4770" spans="1:1" s="287" customFormat="1" ht="12" hidden="1" customHeight="1">
      <c r="A4770" s="286"/>
    </row>
    <row r="4771" spans="1:1" s="287" customFormat="1" ht="12" hidden="1" customHeight="1">
      <c r="A4771" s="286"/>
    </row>
    <row r="4772" spans="1:1" s="287" customFormat="1" ht="12" hidden="1" customHeight="1">
      <c r="A4772" s="286"/>
    </row>
    <row r="4773" spans="1:1" s="287" customFormat="1" ht="12" hidden="1" customHeight="1">
      <c r="A4773" s="286"/>
    </row>
    <row r="4774" spans="1:1" s="287" customFormat="1" ht="12" hidden="1" customHeight="1">
      <c r="A4774" s="286"/>
    </row>
    <row r="4775" spans="1:1" s="287" customFormat="1" ht="12" hidden="1" customHeight="1">
      <c r="A4775" s="286"/>
    </row>
    <row r="4776" spans="1:1" s="287" customFormat="1" ht="12" hidden="1" customHeight="1">
      <c r="A4776" s="286"/>
    </row>
    <row r="4777" spans="1:1" s="287" customFormat="1" ht="12" hidden="1" customHeight="1">
      <c r="A4777" s="286"/>
    </row>
    <row r="4778" spans="1:1" s="287" customFormat="1" ht="12" hidden="1" customHeight="1">
      <c r="A4778" s="286"/>
    </row>
    <row r="4779" spans="1:1" s="287" customFormat="1" ht="12" hidden="1" customHeight="1">
      <c r="A4779" s="286"/>
    </row>
    <row r="4780" spans="1:1" s="287" customFormat="1" ht="12" hidden="1" customHeight="1">
      <c r="A4780" s="286"/>
    </row>
    <row r="4781" spans="1:1" s="287" customFormat="1" ht="12" hidden="1" customHeight="1">
      <c r="A4781" s="286"/>
    </row>
    <row r="4782" spans="1:1" s="287" customFormat="1" ht="12" hidden="1" customHeight="1">
      <c r="A4782" s="286"/>
    </row>
    <row r="4783" spans="1:1" s="287" customFormat="1" ht="12" hidden="1" customHeight="1">
      <c r="A4783" s="286"/>
    </row>
    <row r="4784" spans="1:1" s="287" customFormat="1" ht="12" hidden="1" customHeight="1">
      <c r="A4784" s="286"/>
    </row>
    <row r="4785" spans="1:1" s="287" customFormat="1" ht="12" hidden="1" customHeight="1">
      <c r="A4785" s="286"/>
    </row>
    <row r="4786" spans="1:1" s="287" customFormat="1" ht="12" hidden="1" customHeight="1">
      <c r="A4786" s="286"/>
    </row>
    <row r="4787" spans="1:1" s="287" customFormat="1" ht="12" hidden="1" customHeight="1">
      <c r="A4787" s="286"/>
    </row>
    <row r="4788" spans="1:1" s="287" customFormat="1" ht="12" hidden="1" customHeight="1">
      <c r="A4788" s="286"/>
    </row>
    <row r="4789" spans="1:1" s="287" customFormat="1" ht="12" hidden="1" customHeight="1">
      <c r="A4789" s="286"/>
    </row>
    <row r="4790" spans="1:1" s="287" customFormat="1" ht="12" hidden="1" customHeight="1">
      <c r="A4790" s="286"/>
    </row>
    <row r="4791" spans="1:1" s="287" customFormat="1" ht="12" hidden="1" customHeight="1">
      <c r="A4791" s="286"/>
    </row>
    <row r="4792" spans="1:1" s="287" customFormat="1" ht="12" hidden="1" customHeight="1">
      <c r="A4792" s="286"/>
    </row>
    <row r="4793" spans="1:1" s="287" customFormat="1" ht="12" hidden="1" customHeight="1">
      <c r="A4793" s="286"/>
    </row>
    <row r="4794" spans="1:1" s="287" customFormat="1" ht="12" hidden="1" customHeight="1">
      <c r="A4794" s="286"/>
    </row>
    <row r="4795" spans="1:1" s="287" customFormat="1" ht="12" hidden="1" customHeight="1">
      <c r="A4795" s="286"/>
    </row>
    <row r="4796" spans="1:1" s="287" customFormat="1" ht="12" hidden="1" customHeight="1">
      <c r="A4796" s="286"/>
    </row>
    <row r="4797" spans="1:1" s="287" customFormat="1" ht="12" hidden="1" customHeight="1">
      <c r="A4797" s="286"/>
    </row>
    <row r="4798" spans="1:1" s="287" customFormat="1" ht="12" hidden="1" customHeight="1">
      <c r="A4798" s="286"/>
    </row>
    <row r="4799" spans="1:1" s="287" customFormat="1" ht="12" hidden="1" customHeight="1">
      <c r="A4799" s="286"/>
    </row>
    <row r="4800" spans="1:1" s="287" customFormat="1" ht="12" hidden="1" customHeight="1">
      <c r="A4800" s="286"/>
    </row>
    <row r="4801" spans="1:1" s="287" customFormat="1" ht="12" hidden="1" customHeight="1">
      <c r="A4801" s="286"/>
    </row>
    <row r="4802" spans="1:1" s="287" customFormat="1" ht="12" hidden="1" customHeight="1">
      <c r="A4802" s="286"/>
    </row>
    <row r="4803" spans="1:1" s="287" customFormat="1" ht="12" hidden="1" customHeight="1">
      <c r="A4803" s="286"/>
    </row>
    <row r="4804" spans="1:1" s="287" customFormat="1" ht="12" hidden="1" customHeight="1">
      <c r="A4804" s="286"/>
    </row>
    <row r="4805" spans="1:1" s="287" customFormat="1" ht="12" hidden="1" customHeight="1">
      <c r="A4805" s="286"/>
    </row>
    <row r="4806" spans="1:1" s="287" customFormat="1" ht="12" hidden="1" customHeight="1">
      <c r="A4806" s="286"/>
    </row>
    <row r="4807" spans="1:1" s="287" customFormat="1" ht="12" hidden="1" customHeight="1">
      <c r="A4807" s="286"/>
    </row>
    <row r="4808" spans="1:1" s="287" customFormat="1" ht="12" hidden="1" customHeight="1">
      <c r="A4808" s="286"/>
    </row>
    <row r="4809" spans="1:1" s="287" customFormat="1" ht="12" hidden="1" customHeight="1">
      <c r="A4809" s="286"/>
    </row>
    <row r="4810" spans="1:1" s="287" customFormat="1" ht="12" hidden="1" customHeight="1">
      <c r="A4810" s="286"/>
    </row>
    <row r="4811" spans="1:1" s="287" customFormat="1" ht="12" hidden="1" customHeight="1">
      <c r="A4811" s="286"/>
    </row>
    <row r="4812" spans="1:1" s="287" customFormat="1" ht="12" hidden="1" customHeight="1">
      <c r="A4812" s="286"/>
    </row>
    <row r="4813" spans="1:1" s="287" customFormat="1" ht="12" hidden="1" customHeight="1">
      <c r="A4813" s="286"/>
    </row>
    <row r="4814" spans="1:1" s="287" customFormat="1" ht="12" hidden="1" customHeight="1">
      <c r="A4814" s="286"/>
    </row>
    <row r="4815" spans="1:1" s="287" customFormat="1" ht="12" hidden="1" customHeight="1">
      <c r="A4815" s="286"/>
    </row>
    <row r="4816" spans="1:1" s="287" customFormat="1" ht="12" hidden="1" customHeight="1">
      <c r="A4816" s="286"/>
    </row>
    <row r="4817" spans="1:1" s="287" customFormat="1" ht="12" hidden="1" customHeight="1">
      <c r="A4817" s="286"/>
    </row>
    <row r="4818" spans="1:1" s="287" customFormat="1" ht="12" hidden="1" customHeight="1">
      <c r="A4818" s="286"/>
    </row>
    <row r="4819" spans="1:1" s="287" customFormat="1" ht="12" hidden="1" customHeight="1">
      <c r="A4819" s="286"/>
    </row>
    <row r="4820" spans="1:1" s="287" customFormat="1" ht="12" hidden="1" customHeight="1">
      <c r="A4820" s="286"/>
    </row>
    <row r="4821" spans="1:1" s="287" customFormat="1" ht="12" hidden="1" customHeight="1">
      <c r="A4821" s="286"/>
    </row>
    <row r="4822" spans="1:1" s="287" customFormat="1" ht="12" hidden="1" customHeight="1">
      <c r="A4822" s="286"/>
    </row>
    <row r="4823" spans="1:1" s="287" customFormat="1" ht="12" hidden="1" customHeight="1">
      <c r="A4823" s="286"/>
    </row>
    <row r="4824" spans="1:1" s="287" customFormat="1" ht="12" hidden="1" customHeight="1">
      <c r="A4824" s="286"/>
    </row>
    <row r="4825" spans="1:1" s="287" customFormat="1" ht="12" hidden="1" customHeight="1">
      <c r="A4825" s="286"/>
    </row>
    <row r="4826" spans="1:1" s="287" customFormat="1" ht="12" hidden="1" customHeight="1">
      <c r="A4826" s="286"/>
    </row>
    <row r="4827" spans="1:1" s="287" customFormat="1" ht="12" hidden="1" customHeight="1">
      <c r="A4827" s="286"/>
    </row>
    <row r="4828" spans="1:1" s="287" customFormat="1" ht="12" hidden="1" customHeight="1">
      <c r="A4828" s="286"/>
    </row>
    <row r="4829" spans="1:1" s="287" customFormat="1" ht="12" hidden="1" customHeight="1">
      <c r="A4829" s="286"/>
    </row>
    <row r="4830" spans="1:1" s="287" customFormat="1" ht="12" hidden="1" customHeight="1">
      <c r="A4830" s="286"/>
    </row>
    <row r="4831" spans="1:1" s="287" customFormat="1" ht="12" hidden="1" customHeight="1">
      <c r="A4831" s="286"/>
    </row>
    <row r="4832" spans="1:1" s="287" customFormat="1" ht="12" hidden="1" customHeight="1">
      <c r="A4832" s="286"/>
    </row>
    <row r="4833" spans="1:1" s="287" customFormat="1" ht="12" hidden="1" customHeight="1">
      <c r="A4833" s="286"/>
    </row>
    <row r="4834" spans="1:1" s="287" customFormat="1" ht="12" hidden="1" customHeight="1">
      <c r="A4834" s="286"/>
    </row>
    <row r="4835" spans="1:1" s="287" customFormat="1" ht="12" hidden="1" customHeight="1">
      <c r="A4835" s="286"/>
    </row>
    <row r="4836" spans="1:1" s="287" customFormat="1" ht="12" hidden="1" customHeight="1">
      <c r="A4836" s="286"/>
    </row>
    <row r="4837" spans="1:1" s="287" customFormat="1" ht="12" hidden="1" customHeight="1">
      <c r="A4837" s="286"/>
    </row>
    <row r="4838" spans="1:1" s="287" customFormat="1" ht="12" hidden="1" customHeight="1">
      <c r="A4838" s="286"/>
    </row>
    <row r="4839" spans="1:1" s="287" customFormat="1" ht="12" hidden="1" customHeight="1">
      <c r="A4839" s="286"/>
    </row>
    <row r="4840" spans="1:1" s="287" customFormat="1" ht="12" hidden="1" customHeight="1">
      <c r="A4840" s="286"/>
    </row>
    <row r="4841" spans="1:1" s="287" customFormat="1" ht="12" hidden="1" customHeight="1">
      <c r="A4841" s="286"/>
    </row>
    <row r="4842" spans="1:1" s="287" customFormat="1" ht="12" hidden="1" customHeight="1">
      <c r="A4842" s="286"/>
    </row>
    <row r="4843" spans="1:1" s="287" customFormat="1" ht="12" hidden="1" customHeight="1">
      <c r="A4843" s="286"/>
    </row>
    <row r="4844" spans="1:1" s="287" customFormat="1" ht="12" hidden="1" customHeight="1">
      <c r="A4844" s="286"/>
    </row>
    <row r="4845" spans="1:1" s="287" customFormat="1" ht="12" hidden="1" customHeight="1">
      <c r="A4845" s="286"/>
    </row>
    <row r="4846" spans="1:1" s="287" customFormat="1" ht="12" hidden="1" customHeight="1">
      <c r="A4846" s="286"/>
    </row>
    <row r="4847" spans="1:1" s="287" customFormat="1" ht="12" hidden="1" customHeight="1">
      <c r="A4847" s="286"/>
    </row>
    <row r="4848" spans="1:1" s="287" customFormat="1" ht="12" hidden="1" customHeight="1">
      <c r="A4848" s="286"/>
    </row>
    <row r="4849" spans="1:1" s="287" customFormat="1" ht="12" hidden="1" customHeight="1">
      <c r="A4849" s="286"/>
    </row>
    <row r="4850" spans="1:1" s="287" customFormat="1" ht="12" hidden="1" customHeight="1">
      <c r="A4850" s="286"/>
    </row>
    <row r="4851" spans="1:1" s="287" customFormat="1" ht="12" hidden="1" customHeight="1">
      <c r="A4851" s="286"/>
    </row>
    <row r="4852" spans="1:1" s="287" customFormat="1" ht="12" hidden="1" customHeight="1">
      <c r="A4852" s="286"/>
    </row>
    <row r="4853" spans="1:1" s="287" customFormat="1" ht="12" hidden="1" customHeight="1">
      <c r="A4853" s="286"/>
    </row>
    <row r="4854" spans="1:1" s="287" customFormat="1" ht="12" hidden="1" customHeight="1">
      <c r="A4854" s="286"/>
    </row>
    <row r="4855" spans="1:1" s="287" customFormat="1" ht="12" hidden="1" customHeight="1">
      <c r="A4855" s="286"/>
    </row>
    <row r="4856" spans="1:1" s="287" customFormat="1" ht="12" hidden="1" customHeight="1">
      <c r="A4856" s="286"/>
    </row>
    <row r="4857" spans="1:1" s="287" customFormat="1" ht="12" hidden="1" customHeight="1">
      <c r="A4857" s="286"/>
    </row>
    <row r="4858" spans="1:1" s="287" customFormat="1" ht="12" hidden="1" customHeight="1">
      <c r="A4858" s="286"/>
    </row>
    <row r="4859" spans="1:1" s="287" customFormat="1" ht="12" hidden="1" customHeight="1">
      <c r="A4859" s="286"/>
    </row>
    <row r="4860" spans="1:1" s="287" customFormat="1" ht="12" hidden="1" customHeight="1">
      <c r="A4860" s="286"/>
    </row>
    <row r="4861" spans="1:1" s="287" customFormat="1" ht="12" hidden="1" customHeight="1">
      <c r="A4861" s="286"/>
    </row>
    <row r="4862" spans="1:1" s="287" customFormat="1" ht="12" hidden="1" customHeight="1">
      <c r="A4862" s="286"/>
    </row>
    <row r="4863" spans="1:1" s="287" customFormat="1" ht="12" hidden="1" customHeight="1">
      <c r="A4863" s="286"/>
    </row>
    <row r="4864" spans="1:1" s="287" customFormat="1" ht="12" hidden="1" customHeight="1">
      <c r="A4864" s="286"/>
    </row>
    <row r="4865" spans="1:1" s="287" customFormat="1" ht="12" hidden="1" customHeight="1">
      <c r="A4865" s="286"/>
    </row>
    <row r="4866" spans="1:1" s="287" customFormat="1" ht="12" hidden="1" customHeight="1">
      <c r="A4866" s="286"/>
    </row>
    <row r="4867" spans="1:1" s="287" customFormat="1" ht="12" hidden="1" customHeight="1">
      <c r="A4867" s="286"/>
    </row>
    <row r="4868" spans="1:1" s="287" customFormat="1" ht="12" hidden="1" customHeight="1">
      <c r="A4868" s="286"/>
    </row>
    <row r="4869" spans="1:1" s="287" customFormat="1" ht="12" hidden="1" customHeight="1">
      <c r="A4869" s="286"/>
    </row>
    <row r="4870" spans="1:1" s="287" customFormat="1" ht="12" hidden="1" customHeight="1">
      <c r="A4870" s="286"/>
    </row>
    <row r="4871" spans="1:1" s="287" customFormat="1" ht="12" hidden="1" customHeight="1">
      <c r="A4871" s="286"/>
    </row>
    <row r="4872" spans="1:1" s="287" customFormat="1" ht="12" hidden="1" customHeight="1">
      <c r="A4872" s="286"/>
    </row>
    <row r="4873" spans="1:1" s="287" customFormat="1" ht="12" hidden="1" customHeight="1">
      <c r="A4873" s="286"/>
    </row>
    <row r="4874" spans="1:1" s="287" customFormat="1" ht="12" hidden="1" customHeight="1">
      <c r="A4874" s="286"/>
    </row>
    <row r="4875" spans="1:1" s="287" customFormat="1" ht="12" hidden="1" customHeight="1">
      <c r="A4875" s="286"/>
    </row>
    <row r="4876" spans="1:1" s="287" customFormat="1" ht="12" hidden="1" customHeight="1">
      <c r="A4876" s="286"/>
    </row>
    <row r="4877" spans="1:1" s="287" customFormat="1" ht="12" hidden="1" customHeight="1">
      <c r="A4877" s="286"/>
    </row>
    <row r="4878" spans="1:1" s="287" customFormat="1" ht="12" hidden="1" customHeight="1">
      <c r="A4878" s="286"/>
    </row>
    <row r="4879" spans="1:1" s="287" customFormat="1" ht="12" hidden="1" customHeight="1">
      <c r="A4879" s="286"/>
    </row>
    <row r="4880" spans="1:1" s="287" customFormat="1" ht="12" hidden="1" customHeight="1">
      <c r="A4880" s="286"/>
    </row>
    <row r="4881" spans="1:1" s="287" customFormat="1" ht="12" hidden="1" customHeight="1">
      <c r="A4881" s="286"/>
    </row>
    <row r="4882" spans="1:1" s="287" customFormat="1" ht="12" hidden="1" customHeight="1">
      <c r="A4882" s="286"/>
    </row>
    <row r="4883" spans="1:1" s="287" customFormat="1" ht="12" hidden="1" customHeight="1">
      <c r="A4883" s="286"/>
    </row>
    <row r="4884" spans="1:1" s="287" customFormat="1" ht="12" hidden="1" customHeight="1">
      <c r="A4884" s="286"/>
    </row>
    <row r="4885" spans="1:1" s="287" customFormat="1" ht="12" hidden="1" customHeight="1">
      <c r="A4885" s="286"/>
    </row>
    <row r="4886" spans="1:1" s="287" customFormat="1" ht="12" hidden="1" customHeight="1">
      <c r="A4886" s="286"/>
    </row>
    <row r="4887" spans="1:1" s="287" customFormat="1" ht="12" hidden="1" customHeight="1">
      <c r="A4887" s="286"/>
    </row>
    <row r="4888" spans="1:1" s="287" customFormat="1" ht="12" hidden="1" customHeight="1">
      <c r="A4888" s="286"/>
    </row>
    <row r="4889" spans="1:1" s="287" customFormat="1" ht="12" hidden="1" customHeight="1">
      <c r="A4889" s="286"/>
    </row>
    <row r="4890" spans="1:1" s="287" customFormat="1" ht="12" hidden="1" customHeight="1">
      <c r="A4890" s="286"/>
    </row>
    <row r="4891" spans="1:1" s="287" customFormat="1" ht="12" hidden="1" customHeight="1">
      <c r="A4891" s="286"/>
    </row>
    <row r="4892" spans="1:1" s="287" customFormat="1" ht="12" hidden="1" customHeight="1">
      <c r="A4892" s="286"/>
    </row>
    <row r="4893" spans="1:1" s="287" customFormat="1" ht="12" hidden="1" customHeight="1">
      <c r="A4893" s="286"/>
    </row>
    <row r="4894" spans="1:1" s="287" customFormat="1" ht="12" hidden="1" customHeight="1">
      <c r="A4894" s="286"/>
    </row>
    <row r="4895" spans="1:1" s="287" customFormat="1" ht="12" hidden="1" customHeight="1">
      <c r="A4895" s="286"/>
    </row>
    <row r="4896" spans="1:1" s="287" customFormat="1" ht="12" hidden="1" customHeight="1">
      <c r="A4896" s="286"/>
    </row>
    <row r="4897" spans="1:1" s="287" customFormat="1" ht="12" hidden="1" customHeight="1">
      <c r="A4897" s="286"/>
    </row>
    <row r="4898" spans="1:1" s="287" customFormat="1" ht="12" hidden="1" customHeight="1">
      <c r="A4898" s="286"/>
    </row>
    <row r="4899" spans="1:1" s="287" customFormat="1" ht="12" hidden="1" customHeight="1">
      <c r="A4899" s="286"/>
    </row>
    <row r="4900" spans="1:1" s="287" customFormat="1" ht="12" hidden="1" customHeight="1">
      <c r="A4900" s="286"/>
    </row>
    <row r="4901" spans="1:1" s="287" customFormat="1" ht="12" hidden="1" customHeight="1">
      <c r="A4901" s="286"/>
    </row>
    <row r="4902" spans="1:1" s="287" customFormat="1" ht="12" hidden="1" customHeight="1">
      <c r="A4902" s="286"/>
    </row>
    <row r="4903" spans="1:1" s="287" customFormat="1" ht="12" hidden="1" customHeight="1">
      <c r="A4903" s="286"/>
    </row>
    <row r="4904" spans="1:1" s="287" customFormat="1" ht="12" hidden="1" customHeight="1">
      <c r="A4904" s="286"/>
    </row>
    <row r="4905" spans="1:1" s="287" customFormat="1" ht="12" hidden="1" customHeight="1">
      <c r="A4905" s="286"/>
    </row>
    <row r="4906" spans="1:1" s="287" customFormat="1" ht="12" hidden="1" customHeight="1">
      <c r="A4906" s="286"/>
    </row>
    <row r="4907" spans="1:1" s="287" customFormat="1" ht="12" hidden="1" customHeight="1">
      <c r="A4907" s="286"/>
    </row>
    <row r="4908" spans="1:1" s="287" customFormat="1" ht="12" hidden="1" customHeight="1">
      <c r="A4908" s="286"/>
    </row>
    <row r="4909" spans="1:1" s="287" customFormat="1" ht="12" hidden="1" customHeight="1">
      <c r="A4909" s="286"/>
    </row>
    <row r="4910" spans="1:1" s="287" customFormat="1" ht="12" hidden="1" customHeight="1">
      <c r="A4910" s="286"/>
    </row>
    <row r="4911" spans="1:1" s="287" customFormat="1" ht="12" hidden="1" customHeight="1">
      <c r="A4911" s="286"/>
    </row>
    <row r="4912" spans="1:1" s="287" customFormat="1" ht="12" hidden="1" customHeight="1">
      <c r="A4912" s="286"/>
    </row>
    <row r="4913" spans="1:1" s="287" customFormat="1" ht="12" hidden="1" customHeight="1">
      <c r="A4913" s="286"/>
    </row>
    <row r="4914" spans="1:1" s="287" customFormat="1" ht="12" hidden="1" customHeight="1">
      <c r="A4914" s="286"/>
    </row>
    <row r="4915" spans="1:1" s="287" customFormat="1" ht="12" hidden="1" customHeight="1">
      <c r="A4915" s="286"/>
    </row>
    <row r="4916" spans="1:1" s="287" customFormat="1" ht="12" hidden="1" customHeight="1">
      <c r="A4916" s="286"/>
    </row>
    <row r="4917" spans="1:1" s="287" customFormat="1" ht="12" hidden="1" customHeight="1">
      <c r="A4917" s="286"/>
    </row>
    <row r="4918" spans="1:1" s="287" customFormat="1" ht="12" hidden="1" customHeight="1">
      <c r="A4918" s="286"/>
    </row>
    <row r="4919" spans="1:1" s="287" customFormat="1" ht="12" hidden="1" customHeight="1">
      <c r="A4919" s="286"/>
    </row>
    <row r="4920" spans="1:1" s="287" customFormat="1" ht="12" hidden="1" customHeight="1">
      <c r="A4920" s="286"/>
    </row>
    <row r="4921" spans="1:1" s="287" customFormat="1" ht="12" hidden="1" customHeight="1">
      <c r="A4921" s="286"/>
    </row>
    <row r="4922" spans="1:1" s="287" customFormat="1" ht="12" hidden="1" customHeight="1">
      <c r="A4922" s="286"/>
    </row>
    <row r="4923" spans="1:1" s="287" customFormat="1" ht="12" hidden="1" customHeight="1">
      <c r="A4923" s="286"/>
    </row>
    <row r="4924" spans="1:1" s="287" customFormat="1" ht="12" hidden="1" customHeight="1">
      <c r="A4924" s="286"/>
    </row>
    <row r="4925" spans="1:1" s="287" customFormat="1" ht="12" hidden="1" customHeight="1">
      <c r="A4925" s="286"/>
    </row>
    <row r="4926" spans="1:1" s="287" customFormat="1" ht="12" hidden="1" customHeight="1">
      <c r="A4926" s="286"/>
    </row>
    <row r="4927" spans="1:1" s="287" customFormat="1" ht="12" hidden="1" customHeight="1">
      <c r="A4927" s="286"/>
    </row>
    <row r="4928" spans="1:1" s="287" customFormat="1" ht="12" hidden="1" customHeight="1">
      <c r="A4928" s="286"/>
    </row>
    <row r="4929" spans="1:1" s="287" customFormat="1" ht="12" hidden="1" customHeight="1">
      <c r="A4929" s="286"/>
    </row>
    <row r="4930" spans="1:1" s="287" customFormat="1" ht="12" hidden="1" customHeight="1">
      <c r="A4930" s="286"/>
    </row>
    <row r="4931" spans="1:1" s="287" customFormat="1" ht="12" hidden="1" customHeight="1">
      <c r="A4931" s="286"/>
    </row>
    <row r="4932" spans="1:1" s="287" customFormat="1" ht="12" hidden="1" customHeight="1">
      <c r="A4932" s="286"/>
    </row>
    <row r="4933" spans="1:1" s="287" customFormat="1" ht="12" hidden="1" customHeight="1">
      <c r="A4933" s="286"/>
    </row>
    <row r="4934" spans="1:1" s="287" customFormat="1" ht="12" hidden="1" customHeight="1">
      <c r="A4934" s="286"/>
    </row>
    <row r="4935" spans="1:1" s="287" customFormat="1" ht="12" hidden="1" customHeight="1">
      <c r="A4935" s="286"/>
    </row>
    <row r="4936" spans="1:1" s="287" customFormat="1" ht="12" hidden="1" customHeight="1">
      <c r="A4936" s="286"/>
    </row>
    <row r="4937" spans="1:1" s="287" customFormat="1" ht="12" hidden="1" customHeight="1">
      <c r="A4937" s="286"/>
    </row>
    <row r="4938" spans="1:1" s="287" customFormat="1" ht="12" hidden="1" customHeight="1">
      <c r="A4938" s="286"/>
    </row>
    <row r="4939" spans="1:1" s="287" customFormat="1" ht="12" hidden="1" customHeight="1">
      <c r="A4939" s="286"/>
    </row>
    <row r="4940" spans="1:1" s="287" customFormat="1" ht="12" hidden="1" customHeight="1">
      <c r="A4940" s="286"/>
    </row>
    <row r="4941" spans="1:1" s="287" customFormat="1" ht="12" hidden="1" customHeight="1">
      <c r="A4941" s="286"/>
    </row>
    <row r="4942" spans="1:1" s="287" customFormat="1" ht="12" hidden="1" customHeight="1">
      <c r="A4942" s="286"/>
    </row>
    <row r="4943" spans="1:1" s="287" customFormat="1" ht="12" hidden="1" customHeight="1">
      <c r="A4943" s="286"/>
    </row>
    <row r="4944" spans="1:1" s="287" customFormat="1" ht="12" hidden="1" customHeight="1">
      <c r="A4944" s="286"/>
    </row>
    <row r="4945" spans="1:1" s="287" customFormat="1" ht="12" hidden="1" customHeight="1">
      <c r="A4945" s="286"/>
    </row>
    <row r="4946" spans="1:1" s="287" customFormat="1" ht="12" hidden="1" customHeight="1">
      <c r="A4946" s="286"/>
    </row>
    <row r="4947" spans="1:1" s="287" customFormat="1" ht="12" hidden="1" customHeight="1">
      <c r="A4947" s="286"/>
    </row>
    <row r="4948" spans="1:1" s="287" customFormat="1" ht="12" hidden="1" customHeight="1">
      <c r="A4948" s="286"/>
    </row>
    <row r="4949" spans="1:1" s="287" customFormat="1" ht="12" hidden="1" customHeight="1">
      <c r="A4949" s="286"/>
    </row>
    <row r="4950" spans="1:1" s="287" customFormat="1" ht="12" hidden="1" customHeight="1">
      <c r="A4950" s="286"/>
    </row>
    <row r="4951" spans="1:1" s="287" customFormat="1" ht="12" hidden="1" customHeight="1">
      <c r="A4951" s="286"/>
    </row>
    <row r="4952" spans="1:1" s="287" customFormat="1" ht="12" hidden="1" customHeight="1">
      <c r="A4952" s="286"/>
    </row>
    <row r="4953" spans="1:1" s="287" customFormat="1" ht="12" hidden="1" customHeight="1">
      <c r="A4953" s="286"/>
    </row>
    <row r="4954" spans="1:1" s="287" customFormat="1" ht="12" hidden="1" customHeight="1">
      <c r="A4954" s="286"/>
    </row>
    <row r="4955" spans="1:1" s="287" customFormat="1" ht="12" hidden="1" customHeight="1">
      <c r="A4955" s="286"/>
    </row>
    <row r="4956" spans="1:1" s="287" customFormat="1" ht="12" hidden="1" customHeight="1">
      <c r="A4956" s="286"/>
    </row>
    <row r="4957" spans="1:1" s="287" customFormat="1" ht="12" hidden="1" customHeight="1">
      <c r="A4957" s="286"/>
    </row>
    <row r="4958" spans="1:1" s="287" customFormat="1" ht="12" hidden="1" customHeight="1">
      <c r="A4958" s="286"/>
    </row>
    <row r="4959" spans="1:1" s="287" customFormat="1" ht="12" hidden="1" customHeight="1">
      <c r="A4959" s="286"/>
    </row>
    <row r="4960" spans="1:1" s="287" customFormat="1" ht="12" hidden="1" customHeight="1">
      <c r="A4960" s="286"/>
    </row>
    <row r="4961" spans="1:1" s="287" customFormat="1" ht="12" hidden="1" customHeight="1">
      <c r="A4961" s="286"/>
    </row>
    <row r="4962" spans="1:1" s="287" customFormat="1" ht="12" hidden="1" customHeight="1">
      <c r="A4962" s="286"/>
    </row>
    <row r="4963" spans="1:1" s="287" customFormat="1" ht="12" hidden="1" customHeight="1">
      <c r="A4963" s="286"/>
    </row>
    <row r="4964" spans="1:1" s="287" customFormat="1" ht="12" hidden="1" customHeight="1">
      <c r="A4964" s="286"/>
    </row>
    <row r="4965" spans="1:1" s="287" customFormat="1" ht="12" hidden="1" customHeight="1">
      <c r="A4965" s="286"/>
    </row>
    <row r="4966" spans="1:1" s="287" customFormat="1" ht="12" hidden="1" customHeight="1">
      <c r="A4966" s="286"/>
    </row>
    <row r="4967" spans="1:1" s="287" customFormat="1" ht="12" hidden="1" customHeight="1">
      <c r="A4967" s="286"/>
    </row>
    <row r="4968" spans="1:1" s="287" customFormat="1" ht="12" hidden="1" customHeight="1">
      <c r="A4968" s="286"/>
    </row>
    <row r="4969" spans="1:1" s="287" customFormat="1" ht="12" hidden="1" customHeight="1">
      <c r="A4969" s="286"/>
    </row>
    <row r="4970" spans="1:1" s="287" customFormat="1" ht="12" hidden="1" customHeight="1">
      <c r="A4970" s="286"/>
    </row>
    <row r="4971" spans="1:1" s="287" customFormat="1" ht="12" hidden="1" customHeight="1">
      <c r="A4971" s="286"/>
    </row>
    <row r="4972" spans="1:1" s="287" customFormat="1" ht="12" hidden="1" customHeight="1">
      <c r="A4972" s="286"/>
    </row>
    <row r="4973" spans="1:1" s="287" customFormat="1" ht="12" hidden="1" customHeight="1">
      <c r="A4973" s="286"/>
    </row>
    <row r="4974" spans="1:1" s="287" customFormat="1" ht="12" hidden="1" customHeight="1">
      <c r="A4974" s="286"/>
    </row>
    <row r="4975" spans="1:1" s="287" customFormat="1" ht="12" hidden="1" customHeight="1">
      <c r="A4975" s="286"/>
    </row>
    <row r="4976" spans="1:1" s="287" customFormat="1" ht="12" hidden="1" customHeight="1">
      <c r="A4976" s="286"/>
    </row>
    <row r="4977" spans="1:1" s="287" customFormat="1" ht="12" hidden="1" customHeight="1">
      <c r="A4977" s="286"/>
    </row>
    <row r="4978" spans="1:1" s="287" customFormat="1" ht="12" hidden="1" customHeight="1">
      <c r="A4978" s="286"/>
    </row>
    <row r="4979" spans="1:1" s="287" customFormat="1" ht="12" hidden="1" customHeight="1">
      <c r="A4979" s="286"/>
    </row>
    <row r="4980" spans="1:1" s="287" customFormat="1" ht="12" hidden="1" customHeight="1">
      <c r="A4980" s="286"/>
    </row>
    <row r="4981" spans="1:1" s="287" customFormat="1" ht="12" hidden="1" customHeight="1">
      <c r="A4981" s="286"/>
    </row>
    <row r="4982" spans="1:1" s="287" customFormat="1" ht="12" hidden="1" customHeight="1">
      <c r="A4982" s="286"/>
    </row>
    <row r="4983" spans="1:1" s="287" customFormat="1" ht="12" hidden="1" customHeight="1">
      <c r="A4983" s="286"/>
    </row>
    <row r="4984" spans="1:1" s="287" customFormat="1" ht="12" hidden="1" customHeight="1">
      <c r="A4984" s="286"/>
    </row>
    <row r="4985" spans="1:1" s="287" customFormat="1" ht="12" hidden="1" customHeight="1">
      <c r="A4985" s="286"/>
    </row>
    <row r="4986" spans="1:1" s="287" customFormat="1" ht="12" hidden="1" customHeight="1">
      <c r="A4986" s="286"/>
    </row>
    <row r="4987" spans="1:1" s="287" customFormat="1" ht="12" hidden="1" customHeight="1">
      <c r="A4987" s="286"/>
    </row>
    <row r="4988" spans="1:1" s="287" customFormat="1" ht="12" hidden="1" customHeight="1">
      <c r="A4988" s="286"/>
    </row>
    <row r="4989" spans="1:1" s="287" customFormat="1" ht="12" hidden="1" customHeight="1">
      <c r="A4989" s="286"/>
    </row>
    <row r="4990" spans="1:1" s="287" customFormat="1" ht="12" hidden="1" customHeight="1">
      <c r="A4990" s="286"/>
    </row>
    <row r="4991" spans="1:1" s="287" customFormat="1" ht="12" hidden="1" customHeight="1">
      <c r="A4991" s="286"/>
    </row>
    <row r="4992" spans="1:1" s="287" customFormat="1" ht="12" hidden="1" customHeight="1">
      <c r="A4992" s="286"/>
    </row>
    <row r="4993" spans="1:1" s="287" customFormat="1" ht="12" hidden="1" customHeight="1">
      <c r="A4993" s="286"/>
    </row>
    <row r="4994" spans="1:1" s="287" customFormat="1" ht="12" hidden="1" customHeight="1">
      <c r="A4994" s="286"/>
    </row>
    <row r="4995" spans="1:1" s="287" customFormat="1" ht="12" hidden="1" customHeight="1">
      <c r="A4995" s="286"/>
    </row>
    <row r="4996" spans="1:1" s="287" customFormat="1" ht="12" hidden="1" customHeight="1">
      <c r="A4996" s="286"/>
    </row>
    <row r="4997" spans="1:1" s="287" customFormat="1" ht="12" hidden="1" customHeight="1">
      <c r="A4997" s="286"/>
    </row>
    <row r="4998" spans="1:1" s="287" customFormat="1" ht="12" hidden="1" customHeight="1">
      <c r="A4998" s="286"/>
    </row>
    <row r="4999" spans="1:1" s="287" customFormat="1" ht="12" hidden="1" customHeight="1">
      <c r="A4999" s="286"/>
    </row>
    <row r="5000" spans="1:1" s="287" customFormat="1" ht="12" hidden="1" customHeight="1">
      <c r="A5000" s="286"/>
    </row>
    <row r="5001" spans="1:1" s="287" customFormat="1" ht="12" hidden="1" customHeight="1">
      <c r="A5001" s="286"/>
    </row>
    <row r="5002" spans="1:1" s="287" customFormat="1" ht="12" hidden="1" customHeight="1">
      <c r="A5002" s="286"/>
    </row>
    <row r="5003" spans="1:1" s="287" customFormat="1" ht="12" hidden="1" customHeight="1">
      <c r="A5003" s="286"/>
    </row>
    <row r="5004" spans="1:1" s="287" customFormat="1" ht="12" hidden="1" customHeight="1">
      <c r="A5004" s="286"/>
    </row>
    <row r="5005" spans="1:1" s="287" customFormat="1" ht="12" hidden="1" customHeight="1">
      <c r="A5005" s="286"/>
    </row>
    <row r="5006" spans="1:1" s="287" customFormat="1" ht="12" hidden="1" customHeight="1">
      <c r="A5006" s="286"/>
    </row>
    <row r="5007" spans="1:1" s="287" customFormat="1" ht="12" hidden="1" customHeight="1">
      <c r="A5007" s="286"/>
    </row>
    <row r="5008" spans="1:1" s="287" customFormat="1" ht="12" hidden="1" customHeight="1">
      <c r="A5008" s="286"/>
    </row>
    <row r="5009" spans="1:1" s="287" customFormat="1" ht="12" hidden="1" customHeight="1">
      <c r="A5009" s="286"/>
    </row>
    <row r="5010" spans="1:1" s="287" customFormat="1" ht="12" hidden="1" customHeight="1">
      <c r="A5010" s="286"/>
    </row>
    <row r="5011" spans="1:1" s="287" customFormat="1" ht="12" hidden="1" customHeight="1">
      <c r="A5011" s="286"/>
    </row>
    <row r="5012" spans="1:1" s="287" customFormat="1" ht="12" hidden="1" customHeight="1">
      <c r="A5012" s="286"/>
    </row>
    <row r="5013" spans="1:1" s="287" customFormat="1" ht="12" hidden="1" customHeight="1">
      <c r="A5013" s="286"/>
    </row>
    <row r="5014" spans="1:1" s="287" customFormat="1" ht="12" hidden="1" customHeight="1">
      <c r="A5014" s="286"/>
    </row>
    <row r="5015" spans="1:1" s="287" customFormat="1" ht="12" hidden="1" customHeight="1">
      <c r="A5015" s="286"/>
    </row>
    <row r="5016" spans="1:1" s="287" customFormat="1" ht="12" hidden="1" customHeight="1">
      <c r="A5016" s="286"/>
    </row>
    <row r="5017" spans="1:1" s="287" customFormat="1" ht="12" hidden="1" customHeight="1">
      <c r="A5017" s="286"/>
    </row>
    <row r="5018" spans="1:1" s="287" customFormat="1" ht="12" hidden="1" customHeight="1">
      <c r="A5018" s="286"/>
    </row>
    <row r="5019" spans="1:1" s="287" customFormat="1" ht="12" hidden="1" customHeight="1">
      <c r="A5019" s="286"/>
    </row>
    <row r="5020" spans="1:1" s="287" customFormat="1" ht="12" hidden="1" customHeight="1">
      <c r="A5020" s="286"/>
    </row>
    <row r="5021" spans="1:1" s="287" customFormat="1" ht="12" hidden="1" customHeight="1">
      <c r="A5021" s="286"/>
    </row>
    <row r="5022" spans="1:1" s="287" customFormat="1" ht="12" hidden="1" customHeight="1">
      <c r="A5022" s="286"/>
    </row>
    <row r="5023" spans="1:1" s="287" customFormat="1" ht="12" hidden="1" customHeight="1">
      <c r="A5023" s="286"/>
    </row>
    <row r="5024" spans="1:1" s="287" customFormat="1" ht="12" hidden="1" customHeight="1">
      <c r="A5024" s="286"/>
    </row>
    <row r="5025" spans="1:1" s="287" customFormat="1" ht="12" hidden="1" customHeight="1">
      <c r="A5025" s="286"/>
    </row>
    <row r="5026" spans="1:1" s="287" customFormat="1" ht="12" hidden="1" customHeight="1">
      <c r="A5026" s="286"/>
    </row>
    <row r="5027" spans="1:1" s="287" customFormat="1" ht="12" hidden="1" customHeight="1">
      <c r="A5027" s="286"/>
    </row>
    <row r="5028" spans="1:1" s="287" customFormat="1" ht="12" hidden="1" customHeight="1">
      <c r="A5028" s="286"/>
    </row>
    <row r="5029" spans="1:1" s="287" customFormat="1" ht="12" hidden="1" customHeight="1">
      <c r="A5029" s="286"/>
    </row>
    <row r="5030" spans="1:1" s="287" customFormat="1" ht="12" hidden="1" customHeight="1">
      <c r="A5030" s="286"/>
    </row>
    <row r="5031" spans="1:1" s="287" customFormat="1" ht="12" hidden="1" customHeight="1">
      <c r="A5031" s="286"/>
    </row>
    <row r="5032" spans="1:1" s="287" customFormat="1" ht="12" hidden="1" customHeight="1">
      <c r="A5032" s="286"/>
    </row>
    <row r="5033" spans="1:1" s="287" customFormat="1" ht="12" hidden="1" customHeight="1">
      <c r="A5033" s="286"/>
    </row>
    <row r="5034" spans="1:1" s="287" customFormat="1" ht="12" hidden="1" customHeight="1">
      <c r="A5034" s="286"/>
    </row>
    <row r="5035" spans="1:1" s="287" customFormat="1" ht="12" hidden="1" customHeight="1">
      <c r="A5035" s="286"/>
    </row>
    <row r="5036" spans="1:1" s="287" customFormat="1" ht="12" hidden="1" customHeight="1">
      <c r="A5036" s="286"/>
    </row>
    <row r="5037" spans="1:1" s="287" customFormat="1" ht="12" hidden="1" customHeight="1">
      <c r="A5037" s="286"/>
    </row>
    <row r="5038" spans="1:1" s="287" customFormat="1" ht="12" hidden="1" customHeight="1">
      <c r="A5038" s="286"/>
    </row>
    <row r="5039" spans="1:1" s="287" customFormat="1" ht="12" hidden="1" customHeight="1">
      <c r="A5039" s="286"/>
    </row>
    <row r="5040" spans="1:1" s="287" customFormat="1" ht="12" hidden="1" customHeight="1">
      <c r="A5040" s="286"/>
    </row>
    <row r="5041" spans="1:1" s="287" customFormat="1" ht="12" hidden="1" customHeight="1">
      <c r="A5041" s="286"/>
    </row>
    <row r="5042" spans="1:1" s="287" customFormat="1" ht="12" hidden="1" customHeight="1">
      <c r="A5042" s="286"/>
    </row>
    <row r="5043" spans="1:1" s="287" customFormat="1" ht="12" hidden="1" customHeight="1">
      <c r="A5043" s="286"/>
    </row>
    <row r="5044" spans="1:1" s="287" customFormat="1" ht="12" hidden="1" customHeight="1">
      <c r="A5044" s="286"/>
    </row>
    <row r="5045" spans="1:1" s="287" customFormat="1" ht="12" hidden="1" customHeight="1">
      <c r="A5045" s="286"/>
    </row>
    <row r="5046" spans="1:1" s="287" customFormat="1" ht="12" hidden="1" customHeight="1">
      <c r="A5046" s="286"/>
    </row>
    <row r="5047" spans="1:1" s="287" customFormat="1" ht="12" hidden="1" customHeight="1">
      <c r="A5047" s="286"/>
    </row>
    <row r="5048" spans="1:1" s="287" customFormat="1" ht="12" hidden="1" customHeight="1">
      <c r="A5048" s="286"/>
    </row>
    <row r="5049" spans="1:1" s="287" customFormat="1" ht="12" hidden="1" customHeight="1">
      <c r="A5049" s="286"/>
    </row>
    <row r="5050" spans="1:1" s="287" customFormat="1" ht="12" hidden="1" customHeight="1">
      <c r="A5050" s="286"/>
    </row>
    <row r="5051" spans="1:1" s="287" customFormat="1" ht="12" hidden="1" customHeight="1">
      <c r="A5051" s="286"/>
    </row>
    <row r="5052" spans="1:1" s="287" customFormat="1" ht="12" hidden="1" customHeight="1">
      <c r="A5052" s="286"/>
    </row>
    <row r="5053" spans="1:1" s="287" customFormat="1" ht="12" hidden="1" customHeight="1">
      <c r="A5053" s="286"/>
    </row>
    <row r="5054" spans="1:1" s="287" customFormat="1" ht="12" hidden="1" customHeight="1">
      <c r="A5054" s="286"/>
    </row>
    <row r="5055" spans="1:1" s="287" customFormat="1" ht="12" hidden="1" customHeight="1">
      <c r="A5055" s="286"/>
    </row>
    <row r="5056" spans="1:1" s="287" customFormat="1" ht="12" hidden="1" customHeight="1">
      <c r="A5056" s="286"/>
    </row>
    <row r="5057" spans="1:1" s="287" customFormat="1" ht="12" hidden="1" customHeight="1">
      <c r="A5057" s="286"/>
    </row>
    <row r="5058" spans="1:1" s="287" customFormat="1" ht="12" hidden="1" customHeight="1">
      <c r="A5058" s="286"/>
    </row>
    <row r="5059" spans="1:1" s="287" customFormat="1" ht="12" hidden="1" customHeight="1">
      <c r="A5059" s="286"/>
    </row>
    <row r="5060" spans="1:1" s="287" customFormat="1" ht="12" hidden="1" customHeight="1">
      <c r="A5060" s="286"/>
    </row>
    <row r="5061" spans="1:1" s="287" customFormat="1" ht="12" hidden="1" customHeight="1">
      <c r="A5061" s="286"/>
    </row>
    <row r="5062" spans="1:1" s="287" customFormat="1" ht="12" hidden="1" customHeight="1">
      <c r="A5062" s="286"/>
    </row>
    <row r="5063" spans="1:1" s="287" customFormat="1" ht="12" hidden="1" customHeight="1">
      <c r="A5063" s="286"/>
    </row>
    <row r="5064" spans="1:1" s="287" customFormat="1" ht="12" hidden="1" customHeight="1">
      <c r="A5064" s="286"/>
    </row>
    <row r="5065" spans="1:1" s="287" customFormat="1" ht="12" hidden="1" customHeight="1">
      <c r="A5065" s="286"/>
    </row>
    <row r="5066" spans="1:1" s="287" customFormat="1" ht="12" hidden="1" customHeight="1">
      <c r="A5066" s="286"/>
    </row>
    <row r="5067" spans="1:1" s="287" customFormat="1" ht="12" hidden="1" customHeight="1">
      <c r="A5067" s="286"/>
    </row>
    <row r="5068" spans="1:1" s="287" customFormat="1" ht="12" hidden="1" customHeight="1">
      <c r="A5068" s="286"/>
    </row>
    <row r="5069" spans="1:1" s="287" customFormat="1" ht="12" hidden="1" customHeight="1">
      <c r="A5069" s="286"/>
    </row>
    <row r="5070" spans="1:1" s="287" customFormat="1" ht="12" hidden="1" customHeight="1">
      <c r="A5070" s="286"/>
    </row>
    <row r="5071" spans="1:1" s="287" customFormat="1" ht="12" hidden="1" customHeight="1">
      <c r="A5071" s="286"/>
    </row>
    <row r="5072" spans="1:1" s="287" customFormat="1" ht="12" hidden="1" customHeight="1">
      <c r="A5072" s="286"/>
    </row>
    <row r="5073" spans="1:1" s="287" customFormat="1" ht="12" hidden="1" customHeight="1">
      <c r="A5073" s="286"/>
    </row>
    <row r="5074" spans="1:1" s="287" customFormat="1" ht="12" hidden="1" customHeight="1">
      <c r="A5074" s="286"/>
    </row>
    <row r="5075" spans="1:1" s="287" customFormat="1" ht="12" hidden="1" customHeight="1">
      <c r="A5075" s="286"/>
    </row>
    <row r="5076" spans="1:1" s="287" customFormat="1" ht="12" hidden="1" customHeight="1">
      <c r="A5076" s="286"/>
    </row>
    <row r="5077" spans="1:1" s="287" customFormat="1" ht="12" hidden="1" customHeight="1">
      <c r="A5077" s="286"/>
    </row>
    <row r="5078" spans="1:1" s="287" customFormat="1" ht="12" hidden="1" customHeight="1">
      <c r="A5078" s="286"/>
    </row>
    <row r="5079" spans="1:1" s="287" customFormat="1" ht="12" hidden="1" customHeight="1">
      <c r="A5079" s="286"/>
    </row>
    <row r="5080" spans="1:1" s="287" customFormat="1" ht="12" hidden="1" customHeight="1">
      <c r="A5080" s="286"/>
    </row>
    <row r="5081" spans="1:1" s="287" customFormat="1" ht="12" hidden="1" customHeight="1">
      <c r="A5081" s="286"/>
    </row>
    <row r="5082" spans="1:1" s="287" customFormat="1" ht="12" hidden="1" customHeight="1">
      <c r="A5082" s="286"/>
    </row>
    <row r="5083" spans="1:1" s="287" customFormat="1" ht="12" hidden="1" customHeight="1">
      <c r="A5083" s="286"/>
    </row>
    <row r="5084" spans="1:1" s="287" customFormat="1" ht="12" hidden="1" customHeight="1">
      <c r="A5084" s="286"/>
    </row>
    <row r="5085" spans="1:1" s="287" customFormat="1" ht="12" hidden="1" customHeight="1">
      <c r="A5085" s="286"/>
    </row>
    <row r="5086" spans="1:1" s="287" customFormat="1" ht="12" hidden="1" customHeight="1">
      <c r="A5086" s="286"/>
    </row>
    <row r="5087" spans="1:1" s="287" customFormat="1" ht="12" hidden="1" customHeight="1">
      <c r="A5087" s="286"/>
    </row>
    <row r="5088" spans="1:1" s="287" customFormat="1" ht="12" hidden="1" customHeight="1">
      <c r="A5088" s="286"/>
    </row>
    <row r="5089" spans="1:1" s="287" customFormat="1" ht="12" hidden="1" customHeight="1">
      <c r="A5089" s="286"/>
    </row>
    <row r="5090" spans="1:1" s="287" customFormat="1" ht="12" hidden="1" customHeight="1">
      <c r="A5090" s="286"/>
    </row>
    <row r="5091" spans="1:1" s="287" customFormat="1" ht="12" hidden="1" customHeight="1">
      <c r="A5091" s="286"/>
    </row>
    <row r="5092" spans="1:1" s="287" customFormat="1" ht="12" hidden="1" customHeight="1">
      <c r="A5092" s="286"/>
    </row>
    <row r="5093" spans="1:1" s="287" customFormat="1" ht="12" hidden="1" customHeight="1">
      <c r="A5093" s="286"/>
    </row>
    <row r="5094" spans="1:1" s="287" customFormat="1" ht="12" hidden="1" customHeight="1">
      <c r="A5094" s="286"/>
    </row>
    <row r="5095" spans="1:1" s="287" customFormat="1" ht="12" hidden="1" customHeight="1">
      <c r="A5095" s="286"/>
    </row>
    <row r="5096" spans="1:1" s="287" customFormat="1" ht="12" hidden="1" customHeight="1">
      <c r="A5096" s="286"/>
    </row>
    <row r="5097" spans="1:1" s="287" customFormat="1" ht="12" hidden="1" customHeight="1">
      <c r="A5097" s="286"/>
    </row>
    <row r="5098" spans="1:1" s="287" customFormat="1" ht="12" hidden="1" customHeight="1">
      <c r="A5098" s="286"/>
    </row>
    <row r="5099" spans="1:1" s="287" customFormat="1" ht="12" hidden="1" customHeight="1">
      <c r="A5099" s="286"/>
    </row>
    <row r="5100" spans="1:1" s="287" customFormat="1" ht="12" hidden="1" customHeight="1">
      <c r="A5100" s="286"/>
    </row>
    <row r="5101" spans="1:1" s="287" customFormat="1" ht="12" hidden="1" customHeight="1">
      <c r="A5101" s="286"/>
    </row>
    <row r="5102" spans="1:1" s="287" customFormat="1" ht="12" hidden="1" customHeight="1">
      <c r="A5102" s="286"/>
    </row>
    <row r="5103" spans="1:1" s="287" customFormat="1" ht="12" hidden="1" customHeight="1">
      <c r="A5103" s="286"/>
    </row>
    <row r="5104" spans="1:1" s="287" customFormat="1" ht="12" hidden="1" customHeight="1">
      <c r="A5104" s="286"/>
    </row>
    <row r="5105" spans="1:1" s="287" customFormat="1" ht="12" hidden="1" customHeight="1">
      <c r="A5105" s="286"/>
    </row>
    <row r="5106" spans="1:1" s="287" customFormat="1" ht="12" hidden="1" customHeight="1">
      <c r="A5106" s="286"/>
    </row>
    <row r="5107" spans="1:1" s="287" customFormat="1" ht="12" hidden="1" customHeight="1">
      <c r="A5107" s="286"/>
    </row>
    <row r="5108" spans="1:1" s="287" customFormat="1" ht="12" hidden="1" customHeight="1">
      <c r="A5108" s="286"/>
    </row>
    <row r="5109" spans="1:1" s="287" customFormat="1" ht="12" hidden="1" customHeight="1">
      <c r="A5109" s="286"/>
    </row>
    <row r="5110" spans="1:1" s="287" customFormat="1" ht="12" hidden="1" customHeight="1">
      <c r="A5110" s="286"/>
    </row>
    <row r="5111" spans="1:1" s="287" customFormat="1" ht="12" hidden="1" customHeight="1">
      <c r="A5111" s="286"/>
    </row>
    <row r="5112" spans="1:1" s="287" customFormat="1" ht="12" hidden="1" customHeight="1">
      <c r="A5112" s="286"/>
    </row>
    <row r="5113" spans="1:1" s="287" customFormat="1" ht="12" hidden="1" customHeight="1">
      <c r="A5113" s="286"/>
    </row>
    <row r="5114" spans="1:1" s="287" customFormat="1" ht="12" hidden="1" customHeight="1">
      <c r="A5114" s="286"/>
    </row>
    <row r="5115" spans="1:1" s="287" customFormat="1" ht="12" hidden="1" customHeight="1">
      <c r="A5115" s="286"/>
    </row>
    <row r="5116" spans="1:1" s="287" customFormat="1" ht="12" hidden="1" customHeight="1">
      <c r="A5116" s="286"/>
    </row>
    <row r="5117" spans="1:1" s="287" customFormat="1" ht="12" hidden="1" customHeight="1">
      <c r="A5117" s="286"/>
    </row>
    <row r="5118" spans="1:1" s="287" customFormat="1" ht="12" hidden="1" customHeight="1">
      <c r="A5118" s="286"/>
    </row>
    <row r="5119" spans="1:1" s="287" customFormat="1" ht="12" hidden="1" customHeight="1">
      <c r="A5119" s="286"/>
    </row>
    <row r="5120" spans="1:1" s="287" customFormat="1" ht="12" hidden="1" customHeight="1">
      <c r="A5120" s="286"/>
    </row>
    <row r="5121" spans="1:1" s="287" customFormat="1" ht="12" hidden="1" customHeight="1">
      <c r="A5121" s="286"/>
    </row>
    <row r="5122" spans="1:1" s="287" customFormat="1" ht="12" hidden="1" customHeight="1">
      <c r="A5122" s="286"/>
    </row>
    <row r="5123" spans="1:1" s="287" customFormat="1" ht="12" hidden="1" customHeight="1">
      <c r="A5123" s="286"/>
    </row>
    <row r="5124" spans="1:1" s="287" customFormat="1" ht="12" hidden="1" customHeight="1">
      <c r="A5124" s="286"/>
    </row>
    <row r="5125" spans="1:1" s="287" customFormat="1" ht="12" hidden="1" customHeight="1">
      <c r="A5125" s="286"/>
    </row>
    <row r="5126" spans="1:1" s="287" customFormat="1" ht="12" hidden="1" customHeight="1">
      <c r="A5126" s="286"/>
    </row>
    <row r="5127" spans="1:1" s="287" customFormat="1" ht="12" hidden="1" customHeight="1">
      <c r="A5127" s="286"/>
    </row>
    <row r="5128" spans="1:1" s="287" customFormat="1" ht="12" hidden="1" customHeight="1">
      <c r="A5128" s="286"/>
    </row>
    <row r="5129" spans="1:1" s="287" customFormat="1" ht="12" hidden="1" customHeight="1">
      <c r="A5129" s="286"/>
    </row>
    <row r="5130" spans="1:1" s="287" customFormat="1" ht="12" hidden="1" customHeight="1">
      <c r="A5130" s="286"/>
    </row>
    <row r="5131" spans="1:1" s="287" customFormat="1" ht="12" hidden="1" customHeight="1">
      <c r="A5131" s="286"/>
    </row>
    <row r="5132" spans="1:1" s="287" customFormat="1" ht="12" hidden="1" customHeight="1">
      <c r="A5132" s="286"/>
    </row>
    <row r="5133" spans="1:1" s="287" customFormat="1" ht="12" hidden="1" customHeight="1">
      <c r="A5133" s="286"/>
    </row>
    <row r="5134" spans="1:1" s="287" customFormat="1" ht="12" hidden="1" customHeight="1">
      <c r="A5134" s="286"/>
    </row>
    <row r="5135" spans="1:1" s="287" customFormat="1" ht="12" hidden="1" customHeight="1">
      <c r="A5135" s="286"/>
    </row>
    <row r="5136" spans="1:1" s="287" customFormat="1" ht="12" hidden="1" customHeight="1">
      <c r="A5136" s="286"/>
    </row>
    <row r="5137" spans="1:1" s="287" customFormat="1" ht="12" hidden="1" customHeight="1">
      <c r="A5137" s="286"/>
    </row>
    <row r="5138" spans="1:1" s="287" customFormat="1" ht="12" hidden="1" customHeight="1">
      <c r="A5138" s="286"/>
    </row>
    <row r="5139" spans="1:1" s="287" customFormat="1" ht="12" hidden="1" customHeight="1">
      <c r="A5139" s="286"/>
    </row>
    <row r="5140" spans="1:1" s="287" customFormat="1" ht="12" hidden="1" customHeight="1">
      <c r="A5140" s="286"/>
    </row>
    <row r="5141" spans="1:1" s="287" customFormat="1" ht="12" hidden="1" customHeight="1">
      <c r="A5141" s="286"/>
    </row>
    <row r="5142" spans="1:1" s="287" customFormat="1" ht="12" hidden="1" customHeight="1">
      <c r="A5142" s="286"/>
    </row>
    <row r="5143" spans="1:1" s="287" customFormat="1" ht="12" hidden="1" customHeight="1">
      <c r="A5143" s="286"/>
    </row>
    <row r="5144" spans="1:1" s="287" customFormat="1" ht="12" hidden="1" customHeight="1">
      <c r="A5144" s="286"/>
    </row>
    <row r="5145" spans="1:1" s="287" customFormat="1" ht="12" hidden="1" customHeight="1">
      <c r="A5145" s="286"/>
    </row>
    <row r="5146" spans="1:1" s="287" customFormat="1" ht="12" hidden="1" customHeight="1">
      <c r="A5146" s="286"/>
    </row>
    <row r="5147" spans="1:1" s="287" customFormat="1" ht="12" hidden="1" customHeight="1">
      <c r="A5147" s="286"/>
    </row>
    <row r="5148" spans="1:1" s="287" customFormat="1" ht="12" hidden="1" customHeight="1">
      <c r="A5148" s="286"/>
    </row>
    <row r="5149" spans="1:1" s="287" customFormat="1" ht="12" hidden="1" customHeight="1">
      <c r="A5149" s="286"/>
    </row>
    <row r="5150" spans="1:1" s="287" customFormat="1" ht="12" hidden="1" customHeight="1">
      <c r="A5150" s="286"/>
    </row>
    <row r="5151" spans="1:1" s="287" customFormat="1" ht="12" hidden="1" customHeight="1">
      <c r="A5151" s="286"/>
    </row>
    <row r="5152" spans="1:1" s="287" customFormat="1" ht="12" hidden="1" customHeight="1">
      <c r="A5152" s="286"/>
    </row>
    <row r="5153" spans="1:1" s="287" customFormat="1" ht="12" hidden="1" customHeight="1">
      <c r="A5153" s="286"/>
    </row>
    <row r="5154" spans="1:1" s="287" customFormat="1" ht="12" hidden="1" customHeight="1">
      <c r="A5154" s="286"/>
    </row>
    <row r="5155" spans="1:1" s="287" customFormat="1" ht="12" hidden="1" customHeight="1">
      <c r="A5155" s="286"/>
    </row>
    <row r="5156" spans="1:1" s="287" customFormat="1" ht="12" hidden="1" customHeight="1">
      <c r="A5156" s="286"/>
    </row>
    <row r="5157" spans="1:1" s="287" customFormat="1" ht="12" hidden="1" customHeight="1">
      <c r="A5157" s="286"/>
    </row>
    <row r="5158" spans="1:1" s="287" customFormat="1" ht="12" hidden="1" customHeight="1">
      <c r="A5158" s="286"/>
    </row>
    <row r="5159" spans="1:1" s="287" customFormat="1" ht="12" hidden="1" customHeight="1">
      <c r="A5159" s="286"/>
    </row>
    <row r="5160" spans="1:1" s="287" customFormat="1" ht="12" hidden="1" customHeight="1">
      <c r="A5160" s="286"/>
    </row>
    <row r="5161" spans="1:1" s="287" customFormat="1" ht="12" hidden="1" customHeight="1">
      <c r="A5161" s="286"/>
    </row>
    <row r="5162" spans="1:1" s="287" customFormat="1" ht="12" hidden="1" customHeight="1">
      <c r="A5162" s="286"/>
    </row>
    <row r="5163" spans="1:1" s="287" customFormat="1" ht="12" hidden="1" customHeight="1">
      <c r="A5163" s="286"/>
    </row>
    <row r="5164" spans="1:1" s="287" customFormat="1" ht="12" hidden="1" customHeight="1">
      <c r="A5164" s="286"/>
    </row>
    <row r="5165" spans="1:1" s="287" customFormat="1" ht="12" hidden="1" customHeight="1">
      <c r="A5165" s="286"/>
    </row>
    <row r="5166" spans="1:1" s="287" customFormat="1" ht="12" hidden="1" customHeight="1">
      <c r="A5166" s="286"/>
    </row>
    <row r="5167" spans="1:1" s="287" customFormat="1" ht="12" hidden="1" customHeight="1">
      <c r="A5167" s="286"/>
    </row>
    <row r="5168" spans="1:1" s="287" customFormat="1" ht="12" hidden="1" customHeight="1">
      <c r="A5168" s="286"/>
    </row>
    <row r="5169" spans="1:1" s="287" customFormat="1" ht="12" hidden="1" customHeight="1">
      <c r="A5169" s="286"/>
    </row>
    <row r="5170" spans="1:1" s="287" customFormat="1" ht="12" hidden="1" customHeight="1">
      <c r="A5170" s="286"/>
    </row>
    <row r="5171" spans="1:1" s="287" customFormat="1" ht="12" hidden="1" customHeight="1">
      <c r="A5171" s="286"/>
    </row>
    <row r="5172" spans="1:1" s="287" customFormat="1" ht="12" hidden="1" customHeight="1">
      <c r="A5172" s="286"/>
    </row>
    <row r="5173" spans="1:1" s="287" customFormat="1" ht="12" hidden="1" customHeight="1">
      <c r="A5173" s="286"/>
    </row>
    <row r="5174" spans="1:1" s="287" customFormat="1" ht="12" hidden="1" customHeight="1">
      <c r="A5174" s="286"/>
    </row>
    <row r="5175" spans="1:1" s="287" customFormat="1" ht="12" hidden="1" customHeight="1">
      <c r="A5175" s="286"/>
    </row>
    <row r="5176" spans="1:1" s="287" customFormat="1" ht="12" hidden="1" customHeight="1">
      <c r="A5176" s="286"/>
    </row>
    <row r="5177" spans="1:1" s="287" customFormat="1" ht="12" hidden="1" customHeight="1">
      <c r="A5177" s="286"/>
    </row>
    <row r="5178" spans="1:1" s="287" customFormat="1" ht="12" hidden="1" customHeight="1">
      <c r="A5178" s="286"/>
    </row>
    <row r="5179" spans="1:1" s="287" customFormat="1" ht="12" hidden="1" customHeight="1">
      <c r="A5179" s="286"/>
    </row>
    <row r="5180" spans="1:1" s="287" customFormat="1" ht="12" hidden="1" customHeight="1">
      <c r="A5180" s="286"/>
    </row>
    <row r="5181" spans="1:1" s="287" customFormat="1" ht="12" hidden="1" customHeight="1">
      <c r="A5181" s="286"/>
    </row>
    <row r="5182" spans="1:1" s="287" customFormat="1" ht="12" hidden="1" customHeight="1">
      <c r="A5182" s="286"/>
    </row>
    <row r="5183" spans="1:1" s="287" customFormat="1" ht="12" hidden="1" customHeight="1">
      <c r="A5183" s="286"/>
    </row>
    <row r="5184" spans="1:1" s="287" customFormat="1" ht="12" hidden="1" customHeight="1">
      <c r="A5184" s="286"/>
    </row>
    <row r="5185" spans="1:1" s="287" customFormat="1" ht="12" hidden="1" customHeight="1">
      <c r="A5185" s="286"/>
    </row>
    <row r="5186" spans="1:1" s="287" customFormat="1" ht="12" hidden="1" customHeight="1">
      <c r="A5186" s="286"/>
    </row>
    <row r="5187" spans="1:1" s="287" customFormat="1" ht="12" hidden="1" customHeight="1">
      <c r="A5187" s="286"/>
    </row>
    <row r="5188" spans="1:1" s="287" customFormat="1" ht="12" hidden="1" customHeight="1">
      <c r="A5188" s="286"/>
    </row>
    <row r="5189" spans="1:1" s="287" customFormat="1" ht="12" hidden="1" customHeight="1">
      <c r="A5189" s="286"/>
    </row>
    <row r="5190" spans="1:1" s="287" customFormat="1" ht="12" hidden="1" customHeight="1">
      <c r="A5190" s="286"/>
    </row>
    <row r="5191" spans="1:1" s="287" customFormat="1" ht="12" hidden="1" customHeight="1">
      <c r="A5191" s="286"/>
    </row>
    <row r="5192" spans="1:1" s="287" customFormat="1" ht="12" hidden="1" customHeight="1">
      <c r="A5192" s="286"/>
    </row>
    <row r="5193" spans="1:1" s="287" customFormat="1" ht="12" hidden="1" customHeight="1">
      <c r="A5193" s="286"/>
    </row>
    <row r="5194" spans="1:1" s="287" customFormat="1" ht="12" hidden="1" customHeight="1">
      <c r="A5194" s="286"/>
    </row>
    <row r="5195" spans="1:1" s="287" customFormat="1" ht="12" hidden="1" customHeight="1">
      <c r="A5195" s="286"/>
    </row>
    <row r="5196" spans="1:1" s="287" customFormat="1" ht="12" hidden="1" customHeight="1">
      <c r="A5196" s="286"/>
    </row>
    <row r="5197" spans="1:1" s="287" customFormat="1" ht="12" hidden="1" customHeight="1">
      <c r="A5197" s="286"/>
    </row>
    <row r="5198" spans="1:1" s="287" customFormat="1" ht="12" hidden="1" customHeight="1">
      <c r="A5198" s="286"/>
    </row>
    <row r="5199" spans="1:1" s="287" customFormat="1" ht="12" hidden="1" customHeight="1">
      <c r="A5199" s="286"/>
    </row>
    <row r="5200" spans="1:1" s="287" customFormat="1" ht="12" hidden="1" customHeight="1">
      <c r="A5200" s="286"/>
    </row>
    <row r="5201" spans="1:1" s="287" customFormat="1" ht="12" hidden="1" customHeight="1">
      <c r="A5201" s="286"/>
    </row>
    <row r="5202" spans="1:1" s="287" customFormat="1" ht="12" hidden="1" customHeight="1">
      <c r="A5202" s="286"/>
    </row>
    <row r="5203" spans="1:1" s="287" customFormat="1" ht="12" hidden="1" customHeight="1">
      <c r="A5203" s="286"/>
    </row>
    <row r="5204" spans="1:1" s="287" customFormat="1" ht="12" hidden="1" customHeight="1">
      <c r="A5204" s="286"/>
    </row>
    <row r="5205" spans="1:1" s="287" customFormat="1" ht="12" hidden="1" customHeight="1">
      <c r="A5205" s="286"/>
    </row>
    <row r="5206" spans="1:1" s="287" customFormat="1" ht="12" hidden="1" customHeight="1">
      <c r="A5206" s="286"/>
    </row>
    <row r="5207" spans="1:1" s="287" customFormat="1" ht="12" hidden="1" customHeight="1">
      <c r="A5207" s="286"/>
    </row>
    <row r="5208" spans="1:1" s="287" customFormat="1" ht="12" hidden="1" customHeight="1">
      <c r="A5208" s="286"/>
    </row>
    <row r="5209" spans="1:1" s="287" customFormat="1" ht="12" hidden="1" customHeight="1">
      <c r="A5209" s="286"/>
    </row>
    <row r="5210" spans="1:1" s="287" customFormat="1" ht="12" hidden="1" customHeight="1">
      <c r="A5210" s="286"/>
    </row>
    <row r="5211" spans="1:1" s="287" customFormat="1" ht="12" hidden="1" customHeight="1">
      <c r="A5211" s="286"/>
    </row>
    <row r="5212" spans="1:1" s="287" customFormat="1" ht="12" hidden="1" customHeight="1">
      <c r="A5212" s="286"/>
    </row>
    <row r="5213" spans="1:1" s="287" customFormat="1" ht="12" hidden="1" customHeight="1">
      <c r="A5213" s="286"/>
    </row>
    <row r="5214" spans="1:1" s="287" customFormat="1" ht="12" hidden="1" customHeight="1">
      <c r="A5214" s="286"/>
    </row>
    <row r="5215" spans="1:1" s="287" customFormat="1" ht="12" hidden="1" customHeight="1">
      <c r="A5215" s="286"/>
    </row>
    <row r="5216" spans="1:1" s="287" customFormat="1" ht="12" hidden="1" customHeight="1">
      <c r="A5216" s="286"/>
    </row>
    <row r="5217" spans="1:1" s="287" customFormat="1" ht="12" hidden="1" customHeight="1">
      <c r="A5217" s="286"/>
    </row>
    <row r="5218" spans="1:1" s="287" customFormat="1" ht="12" hidden="1" customHeight="1">
      <c r="A5218" s="286"/>
    </row>
    <row r="5219" spans="1:1" s="287" customFormat="1" ht="12" hidden="1" customHeight="1">
      <c r="A5219" s="286"/>
    </row>
    <row r="5220" spans="1:1" s="287" customFormat="1" ht="12" hidden="1" customHeight="1">
      <c r="A5220" s="286"/>
    </row>
    <row r="5221" spans="1:1" s="287" customFormat="1" ht="12" hidden="1" customHeight="1">
      <c r="A5221" s="286"/>
    </row>
    <row r="5222" spans="1:1" s="287" customFormat="1" ht="12" hidden="1" customHeight="1">
      <c r="A5222" s="286"/>
    </row>
    <row r="5223" spans="1:1" s="287" customFormat="1" ht="12" hidden="1" customHeight="1">
      <c r="A5223" s="286"/>
    </row>
    <row r="5224" spans="1:1" s="287" customFormat="1" ht="12" hidden="1" customHeight="1">
      <c r="A5224" s="286"/>
    </row>
    <row r="5225" spans="1:1" s="287" customFormat="1" ht="12" hidden="1" customHeight="1">
      <c r="A5225" s="286"/>
    </row>
    <row r="5226" spans="1:1" s="287" customFormat="1" ht="12" hidden="1" customHeight="1">
      <c r="A5226" s="286"/>
    </row>
    <row r="5227" spans="1:1" s="287" customFormat="1" ht="12" hidden="1" customHeight="1">
      <c r="A5227" s="286"/>
    </row>
    <row r="5228" spans="1:1" s="287" customFormat="1" ht="12" hidden="1" customHeight="1">
      <c r="A5228" s="286"/>
    </row>
    <row r="5229" spans="1:1" s="287" customFormat="1" ht="12" hidden="1" customHeight="1">
      <c r="A5229" s="286"/>
    </row>
    <row r="5230" spans="1:1" s="287" customFormat="1" ht="12" hidden="1" customHeight="1">
      <c r="A5230" s="286"/>
    </row>
    <row r="5231" spans="1:1" s="287" customFormat="1" ht="12" hidden="1" customHeight="1">
      <c r="A5231" s="286"/>
    </row>
    <row r="5232" spans="1:1" s="287" customFormat="1" ht="12" hidden="1" customHeight="1">
      <c r="A5232" s="286"/>
    </row>
    <row r="5233" spans="1:1" s="287" customFormat="1" ht="12" hidden="1" customHeight="1">
      <c r="A5233" s="286"/>
    </row>
    <row r="5234" spans="1:1" s="287" customFormat="1" ht="12" hidden="1" customHeight="1">
      <c r="A5234" s="286"/>
    </row>
    <row r="5235" spans="1:1" s="287" customFormat="1" ht="12" hidden="1" customHeight="1">
      <c r="A5235" s="286"/>
    </row>
    <row r="5236" spans="1:1" s="287" customFormat="1" ht="12" hidden="1" customHeight="1">
      <c r="A5236" s="286"/>
    </row>
    <row r="5237" spans="1:1" s="287" customFormat="1" ht="12" hidden="1" customHeight="1">
      <c r="A5237" s="286"/>
    </row>
    <row r="5238" spans="1:1" s="287" customFormat="1" ht="12" hidden="1" customHeight="1">
      <c r="A5238" s="286"/>
    </row>
    <row r="5239" spans="1:1" s="287" customFormat="1" ht="12" hidden="1" customHeight="1">
      <c r="A5239" s="286"/>
    </row>
    <row r="5240" spans="1:1" s="287" customFormat="1" ht="12" hidden="1" customHeight="1">
      <c r="A5240" s="286"/>
    </row>
    <row r="5241" spans="1:1" s="287" customFormat="1" ht="12" hidden="1" customHeight="1">
      <c r="A5241" s="286"/>
    </row>
    <row r="5242" spans="1:1" s="287" customFormat="1" ht="12" hidden="1" customHeight="1">
      <c r="A5242" s="286"/>
    </row>
    <row r="5243" spans="1:1" s="287" customFormat="1" ht="12" hidden="1" customHeight="1">
      <c r="A5243" s="286"/>
    </row>
    <row r="5244" spans="1:1" s="287" customFormat="1" ht="12" hidden="1" customHeight="1">
      <c r="A5244" s="286"/>
    </row>
    <row r="5245" spans="1:1" s="287" customFormat="1" ht="12" hidden="1" customHeight="1">
      <c r="A5245" s="286"/>
    </row>
    <row r="5246" spans="1:1" s="287" customFormat="1" ht="12" hidden="1" customHeight="1">
      <c r="A5246" s="286"/>
    </row>
    <row r="5247" spans="1:1" s="287" customFormat="1" ht="12" hidden="1" customHeight="1">
      <c r="A5247" s="286"/>
    </row>
    <row r="5248" spans="1:1" s="287" customFormat="1" ht="12" hidden="1" customHeight="1">
      <c r="A5248" s="286"/>
    </row>
    <row r="5249" spans="1:1" s="287" customFormat="1" ht="12" hidden="1" customHeight="1">
      <c r="A5249" s="286"/>
    </row>
    <row r="5250" spans="1:1" s="287" customFormat="1" ht="12" hidden="1" customHeight="1">
      <c r="A5250" s="286"/>
    </row>
    <row r="5251" spans="1:1" s="287" customFormat="1" ht="12" hidden="1" customHeight="1">
      <c r="A5251" s="286"/>
    </row>
    <row r="5252" spans="1:1" s="287" customFormat="1" ht="12" hidden="1" customHeight="1">
      <c r="A5252" s="286"/>
    </row>
    <row r="5253" spans="1:1" s="287" customFormat="1" ht="12" hidden="1" customHeight="1">
      <c r="A5253" s="286"/>
    </row>
    <row r="5254" spans="1:1" s="287" customFormat="1" ht="12" hidden="1" customHeight="1">
      <c r="A5254" s="286"/>
    </row>
    <row r="5255" spans="1:1" s="287" customFormat="1" ht="12" hidden="1" customHeight="1">
      <c r="A5255" s="286"/>
    </row>
    <row r="5256" spans="1:1" s="287" customFormat="1" ht="12" hidden="1" customHeight="1">
      <c r="A5256" s="286"/>
    </row>
    <row r="5257" spans="1:1" s="287" customFormat="1" ht="12" hidden="1" customHeight="1">
      <c r="A5257" s="286"/>
    </row>
    <row r="5258" spans="1:1" s="287" customFormat="1" ht="12" hidden="1" customHeight="1">
      <c r="A5258" s="286"/>
    </row>
    <row r="5259" spans="1:1" s="287" customFormat="1" ht="12" hidden="1" customHeight="1">
      <c r="A5259" s="286"/>
    </row>
    <row r="5260" spans="1:1" s="287" customFormat="1" ht="12" hidden="1" customHeight="1">
      <c r="A5260" s="286"/>
    </row>
    <row r="5261" spans="1:1" s="287" customFormat="1" ht="12" hidden="1" customHeight="1">
      <c r="A5261" s="286"/>
    </row>
    <row r="5262" spans="1:1" s="287" customFormat="1" ht="12" hidden="1" customHeight="1">
      <c r="A5262" s="286"/>
    </row>
    <row r="5263" spans="1:1" s="287" customFormat="1" ht="12" hidden="1" customHeight="1">
      <c r="A5263" s="286"/>
    </row>
    <row r="5264" spans="1:1" s="287" customFormat="1" ht="12" hidden="1" customHeight="1">
      <c r="A5264" s="286"/>
    </row>
    <row r="5265" spans="1:1" s="287" customFormat="1" ht="12" hidden="1" customHeight="1">
      <c r="A5265" s="286"/>
    </row>
    <row r="5266" spans="1:1" s="287" customFormat="1" ht="12" hidden="1" customHeight="1">
      <c r="A5266" s="286"/>
    </row>
    <row r="5267" spans="1:1" s="287" customFormat="1" ht="12" hidden="1" customHeight="1">
      <c r="A5267" s="286"/>
    </row>
    <row r="5268" spans="1:1" s="287" customFormat="1" ht="12" hidden="1" customHeight="1">
      <c r="A5268" s="286"/>
    </row>
    <row r="5269" spans="1:1" s="287" customFormat="1" ht="12" hidden="1" customHeight="1">
      <c r="A5269" s="286"/>
    </row>
    <row r="5270" spans="1:1" s="287" customFormat="1" ht="12" hidden="1" customHeight="1">
      <c r="A5270" s="286"/>
    </row>
    <row r="5271" spans="1:1" s="287" customFormat="1" ht="12" hidden="1" customHeight="1">
      <c r="A5271" s="286"/>
    </row>
    <row r="5272" spans="1:1" s="287" customFormat="1" ht="12" hidden="1" customHeight="1">
      <c r="A5272" s="286"/>
    </row>
    <row r="5273" spans="1:1" s="287" customFormat="1" ht="12" hidden="1" customHeight="1">
      <c r="A5273" s="286"/>
    </row>
    <row r="5274" spans="1:1" s="287" customFormat="1" ht="12" hidden="1" customHeight="1">
      <c r="A5274" s="286"/>
    </row>
    <row r="5275" spans="1:1" s="287" customFormat="1" ht="12" hidden="1" customHeight="1">
      <c r="A5275" s="286"/>
    </row>
    <row r="5276" spans="1:1" s="287" customFormat="1" ht="12" hidden="1" customHeight="1">
      <c r="A5276" s="286"/>
    </row>
    <row r="5277" spans="1:1" s="287" customFormat="1" ht="12" hidden="1" customHeight="1">
      <c r="A5277" s="286"/>
    </row>
    <row r="5278" spans="1:1" s="287" customFormat="1" ht="12" hidden="1" customHeight="1">
      <c r="A5278" s="286"/>
    </row>
    <row r="5279" spans="1:1" s="287" customFormat="1" ht="12" hidden="1" customHeight="1">
      <c r="A5279" s="286"/>
    </row>
    <row r="5280" spans="1:1" s="287" customFormat="1" ht="12" hidden="1" customHeight="1">
      <c r="A5280" s="286"/>
    </row>
    <row r="5281" spans="1:1" s="287" customFormat="1" ht="12" hidden="1" customHeight="1">
      <c r="A5281" s="286"/>
    </row>
    <row r="5282" spans="1:1" s="287" customFormat="1" ht="12" hidden="1" customHeight="1">
      <c r="A5282" s="286"/>
    </row>
    <row r="5283" spans="1:1" s="287" customFormat="1" ht="12" hidden="1" customHeight="1">
      <c r="A5283" s="286"/>
    </row>
    <row r="5284" spans="1:1" s="287" customFormat="1" ht="12" hidden="1" customHeight="1">
      <c r="A5284" s="286"/>
    </row>
    <row r="5285" spans="1:1" s="287" customFormat="1" ht="12" hidden="1" customHeight="1">
      <c r="A5285" s="286"/>
    </row>
    <row r="5286" spans="1:1" s="287" customFormat="1" ht="12" hidden="1" customHeight="1">
      <c r="A5286" s="286"/>
    </row>
    <row r="5287" spans="1:1" s="287" customFormat="1" ht="12" hidden="1" customHeight="1">
      <c r="A5287" s="286"/>
    </row>
    <row r="5288" spans="1:1" s="287" customFormat="1" ht="12" hidden="1" customHeight="1">
      <c r="A5288" s="286"/>
    </row>
    <row r="5289" spans="1:1" s="287" customFormat="1" ht="12" hidden="1" customHeight="1">
      <c r="A5289" s="286"/>
    </row>
    <row r="5290" spans="1:1" s="287" customFormat="1" ht="12" hidden="1" customHeight="1">
      <c r="A5290" s="286"/>
    </row>
    <row r="5291" spans="1:1" s="287" customFormat="1" ht="12" hidden="1" customHeight="1">
      <c r="A5291" s="286"/>
    </row>
    <row r="5292" spans="1:1" s="287" customFormat="1" ht="12" hidden="1" customHeight="1">
      <c r="A5292" s="286"/>
    </row>
    <row r="5293" spans="1:1" s="287" customFormat="1" ht="12" hidden="1" customHeight="1">
      <c r="A5293" s="286"/>
    </row>
    <row r="5294" spans="1:1" s="287" customFormat="1" ht="12" hidden="1" customHeight="1">
      <c r="A5294" s="286"/>
    </row>
    <row r="5295" spans="1:1" s="287" customFormat="1" ht="12" hidden="1" customHeight="1">
      <c r="A5295" s="286"/>
    </row>
    <row r="5296" spans="1:1" s="287" customFormat="1" ht="12" hidden="1" customHeight="1">
      <c r="A5296" s="286"/>
    </row>
    <row r="5297" spans="1:1" s="287" customFormat="1" ht="12" hidden="1" customHeight="1">
      <c r="A5297" s="286"/>
    </row>
    <row r="5298" spans="1:1" s="287" customFormat="1" ht="12" hidden="1" customHeight="1">
      <c r="A5298" s="286"/>
    </row>
    <row r="5299" spans="1:1" s="287" customFormat="1" ht="12" hidden="1" customHeight="1">
      <c r="A5299" s="286"/>
    </row>
    <row r="5300" spans="1:1" s="287" customFormat="1" ht="12" hidden="1" customHeight="1">
      <c r="A5300" s="286"/>
    </row>
    <row r="5301" spans="1:1" s="287" customFormat="1" ht="12" hidden="1" customHeight="1">
      <c r="A5301" s="286"/>
    </row>
    <row r="5302" spans="1:1" s="287" customFormat="1" ht="12" hidden="1" customHeight="1">
      <c r="A5302" s="286"/>
    </row>
    <row r="5303" spans="1:1" s="287" customFormat="1" ht="12" hidden="1" customHeight="1">
      <c r="A5303" s="286"/>
    </row>
    <row r="5304" spans="1:1" s="287" customFormat="1" ht="12" hidden="1" customHeight="1">
      <c r="A5304" s="286"/>
    </row>
    <row r="5305" spans="1:1" s="287" customFormat="1" ht="12" hidden="1" customHeight="1">
      <c r="A5305" s="286"/>
    </row>
    <row r="5306" spans="1:1" s="287" customFormat="1" ht="12" hidden="1" customHeight="1">
      <c r="A5306" s="286"/>
    </row>
    <row r="5307" spans="1:1" s="287" customFormat="1" ht="12" hidden="1" customHeight="1">
      <c r="A5307" s="286"/>
    </row>
    <row r="5308" spans="1:1" s="287" customFormat="1" ht="12" hidden="1" customHeight="1">
      <c r="A5308" s="286"/>
    </row>
    <row r="5309" spans="1:1" s="287" customFormat="1" ht="12" hidden="1" customHeight="1">
      <c r="A5309" s="286"/>
    </row>
    <row r="5310" spans="1:1" s="287" customFormat="1" ht="12" hidden="1" customHeight="1">
      <c r="A5310" s="286"/>
    </row>
    <row r="5311" spans="1:1" s="287" customFormat="1" ht="12" hidden="1" customHeight="1">
      <c r="A5311" s="286"/>
    </row>
    <row r="5312" spans="1:1" s="287" customFormat="1" ht="12" hidden="1" customHeight="1">
      <c r="A5312" s="286"/>
    </row>
    <row r="5313" spans="1:1" s="287" customFormat="1" ht="12" hidden="1" customHeight="1">
      <c r="A5313" s="286"/>
    </row>
    <row r="5314" spans="1:1" s="287" customFormat="1" ht="12" hidden="1" customHeight="1">
      <c r="A5314" s="286"/>
    </row>
    <row r="5315" spans="1:1" s="287" customFormat="1" ht="12" hidden="1" customHeight="1">
      <c r="A5315" s="286"/>
    </row>
    <row r="5316" spans="1:1" s="287" customFormat="1" ht="12" hidden="1" customHeight="1">
      <c r="A5316" s="286"/>
    </row>
    <row r="5317" spans="1:1" s="287" customFormat="1" ht="12" hidden="1" customHeight="1">
      <c r="A5317" s="286"/>
    </row>
    <row r="5318" spans="1:1" s="287" customFormat="1" ht="12" hidden="1" customHeight="1">
      <c r="A5318" s="286"/>
    </row>
    <row r="5319" spans="1:1" s="287" customFormat="1" ht="12" hidden="1" customHeight="1">
      <c r="A5319" s="286"/>
    </row>
    <row r="5320" spans="1:1" s="287" customFormat="1" ht="12" hidden="1" customHeight="1">
      <c r="A5320" s="286"/>
    </row>
    <row r="5321" spans="1:1" s="287" customFormat="1" ht="12" hidden="1" customHeight="1">
      <c r="A5321" s="286"/>
    </row>
    <row r="5322" spans="1:1" s="287" customFormat="1" ht="12" hidden="1" customHeight="1">
      <c r="A5322" s="286"/>
    </row>
    <row r="5323" spans="1:1" s="287" customFormat="1" ht="12" hidden="1" customHeight="1">
      <c r="A5323" s="286"/>
    </row>
    <row r="5324" spans="1:1" s="287" customFormat="1" ht="12" hidden="1" customHeight="1">
      <c r="A5324" s="286"/>
    </row>
    <row r="5325" spans="1:1" s="287" customFormat="1" ht="12" hidden="1" customHeight="1">
      <c r="A5325" s="286"/>
    </row>
    <row r="5326" spans="1:1" s="287" customFormat="1" ht="12" hidden="1" customHeight="1">
      <c r="A5326" s="286"/>
    </row>
    <row r="5327" spans="1:1" s="287" customFormat="1" ht="12" hidden="1" customHeight="1">
      <c r="A5327" s="286"/>
    </row>
    <row r="5328" spans="1:1" s="287" customFormat="1" ht="12" hidden="1" customHeight="1">
      <c r="A5328" s="286"/>
    </row>
    <row r="5329" spans="1:1" s="287" customFormat="1" ht="12" hidden="1" customHeight="1">
      <c r="A5329" s="286"/>
    </row>
    <row r="5330" spans="1:1" s="287" customFormat="1" ht="12" hidden="1" customHeight="1">
      <c r="A5330" s="286"/>
    </row>
    <row r="5331" spans="1:1" s="287" customFormat="1" ht="12" hidden="1" customHeight="1">
      <c r="A5331" s="286"/>
    </row>
    <row r="5332" spans="1:1" s="287" customFormat="1" ht="12" hidden="1" customHeight="1">
      <c r="A5332" s="286"/>
    </row>
    <row r="5333" spans="1:1" s="287" customFormat="1" ht="12" hidden="1" customHeight="1">
      <c r="A5333" s="286"/>
    </row>
    <row r="5334" spans="1:1" s="287" customFormat="1" ht="12" hidden="1" customHeight="1">
      <c r="A5334" s="286"/>
    </row>
    <row r="5335" spans="1:1" s="287" customFormat="1" ht="12" hidden="1" customHeight="1">
      <c r="A5335" s="286"/>
    </row>
    <row r="5336" spans="1:1" s="287" customFormat="1" ht="12" hidden="1" customHeight="1">
      <c r="A5336" s="286"/>
    </row>
    <row r="5337" spans="1:1" s="287" customFormat="1" ht="12" hidden="1" customHeight="1">
      <c r="A5337" s="286"/>
    </row>
    <row r="5338" spans="1:1" s="287" customFormat="1" ht="12" hidden="1" customHeight="1">
      <c r="A5338" s="286"/>
    </row>
    <row r="5339" spans="1:1" s="287" customFormat="1" ht="12" hidden="1" customHeight="1">
      <c r="A5339" s="286"/>
    </row>
    <row r="5340" spans="1:1" s="287" customFormat="1" ht="12" hidden="1" customHeight="1">
      <c r="A5340" s="286"/>
    </row>
    <row r="5341" spans="1:1" s="287" customFormat="1" ht="12" hidden="1" customHeight="1">
      <c r="A5341" s="286"/>
    </row>
    <row r="5342" spans="1:1" s="287" customFormat="1" ht="12" hidden="1" customHeight="1">
      <c r="A5342" s="286"/>
    </row>
    <row r="5343" spans="1:1" s="287" customFormat="1" ht="12" hidden="1" customHeight="1">
      <c r="A5343" s="286"/>
    </row>
    <row r="5344" spans="1:1" s="287" customFormat="1" ht="12" hidden="1" customHeight="1">
      <c r="A5344" s="286"/>
    </row>
    <row r="5345" spans="1:1" s="287" customFormat="1" ht="12" hidden="1" customHeight="1">
      <c r="A5345" s="286"/>
    </row>
    <row r="5346" spans="1:1" s="287" customFormat="1" ht="12" hidden="1" customHeight="1">
      <c r="A5346" s="286"/>
    </row>
    <row r="5347" spans="1:1" s="287" customFormat="1" ht="12" hidden="1" customHeight="1">
      <c r="A5347" s="286"/>
    </row>
    <row r="5348" spans="1:1" s="287" customFormat="1" ht="12" hidden="1" customHeight="1">
      <c r="A5348" s="286"/>
    </row>
    <row r="5349" spans="1:1" s="287" customFormat="1" ht="12" hidden="1" customHeight="1">
      <c r="A5349" s="286"/>
    </row>
    <row r="5350" spans="1:1" s="287" customFormat="1" ht="12" hidden="1" customHeight="1">
      <c r="A5350" s="286"/>
    </row>
    <row r="5351" spans="1:1" s="287" customFormat="1" ht="12" hidden="1" customHeight="1">
      <c r="A5351" s="286"/>
    </row>
    <row r="5352" spans="1:1" s="287" customFormat="1" ht="12" hidden="1" customHeight="1">
      <c r="A5352" s="286"/>
    </row>
    <row r="5353" spans="1:1" s="287" customFormat="1" ht="12" hidden="1" customHeight="1">
      <c r="A5353" s="286"/>
    </row>
    <row r="5354" spans="1:1" s="287" customFormat="1" ht="12" hidden="1" customHeight="1">
      <c r="A5354" s="286"/>
    </row>
    <row r="5355" spans="1:1" s="287" customFormat="1" ht="12" hidden="1" customHeight="1">
      <c r="A5355" s="286"/>
    </row>
    <row r="5356" spans="1:1" s="287" customFormat="1" ht="12" hidden="1" customHeight="1">
      <c r="A5356" s="286"/>
    </row>
    <row r="5357" spans="1:1" s="287" customFormat="1" ht="12" hidden="1" customHeight="1">
      <c r="A5357" s="286"/>
    </row>
    <row r="5358" spans="1:1" s="287" customFormat="1" ht="12" hidden="1" customHeight="1">
      <c r="A5358" s="286"/>
    </row>
    <row r="5359" spans="1:1" s="287" customFormat="1" ht="12" hidden="1" customHeight="1">
      <c r="A5359" s="286"/>
    </row>
    <row r="5360" spans="1:1" s="287" customFormat="1" ht="12" hidden="1" customHeight="1">
      <c r="A5360" s="286"/>
    </row>
    <row r="5361" spans="1:1" s="287" customFormat="1" ht="12" hidden="1" customHeight="1">
      <c r="A5361" s="286"/>
    </row>
    <row r="5362" spans="1:1" s="287" customFormat="1" ht="12" hidden="1" customHeight="1">
      <c r="A5362" s="286"/>
    </row>
    <row r="5363" spans="1:1" s="287" customFormat="1" ht="12" hidden="1" customHeight="1">
      <c r="A5363" s="286"/>
    </row>
    <row r="5364" spans="1:1" s="287" customFormat="1" ht="12" hidden="1" customHeight="1">
      <c r="A5364" s="286"/>
    </row>
    <row r="5365" spans="1:1" s="287" customFormat="1" ht="12" hidden="1" customHeight="1">
      <c r="A5365" s="286"/>
    </row>
    <row r="5366" spans="1:1" s="287" customFormat="1" ht="12" hidden="1" customHeight="1">
      <c r="A5366" s="286"/>
    </row>
    <row r="5367" spans="1:1" s="287" customFormat="1" ht="12" hidden="1" customHeight="1">
      <c r="A5367" s="286"/>
    </row>
    <row r="5368" spans="1:1" s="287" customFormat="1" ht="12" hidden="1" customHeight="1">
      <c r="A5368" s="286"/>
    </row>
    <row r="5369" spans="1:1" s="287" customFormat="1" ht="12" hidden="1" customHeight="1">
      <c r="A5369" s="286"/>
    </row>
    <row r="5370" spans="1:1" s="287" customFormat="1" ht="12" hidden="1" customHeight="1">
      <c r="A5370" s="286"/>
    </row>
    <row r="5371" spans="1:1" s="287" customFormat="1" ht="12" hidden="1" customHeight="1">
      <c r="A5371" s="286"/>
    </row>
    <row r="5372" spans="1:1" s="287" customFormat="1" ht="12" hidden="1" customHeight="1">
      <c r="A5372" s="286"/>
    </row>
    <row r="5373" spans="1:1" s="287" customFormat="1" ht="12" hidden="1" customHeight="1">
      <c r="A5373" s="286"/>
    </row>
    <row r="5374" spans="1:1" s="287" customFormat="1" ht="12" hidden="1" customHeight="1">
      <c r="A5374" s="286"/>
    </row>
    <row r="5375" spans="1:1" s="287" customFormat="1" ht="12" hidden="1" customHeight="1">
      <c r="A5375" s="286"/>
    </row>
    <row r="5376" spans="1:1" s="287" customFormat="1" ht="12" hidden="1" customHeight="1">
      <c r="A5376" s="286"/>
    </row>
    <row r="5377" spans="1:1" s="287" customFormat="1" ht="12" hidden="1" customHeight="1">
      <c r="A5377" s="286"/>
    </row>
    <row r="5378" spans="1:1" s="287" customFormat="1" ht="12" hidden="1" customHeight="1">
      <c r="A5378" s="286"/>
    </row>
    <row r="5379" spans="1:1" s="287" customFormat="1" ht="12" hidden="1" customHeight="1">
      <c r="A5379" s="286"/>
    </row>
    <row r="5380" spans="1:1" s="287" customFormat="1" ht="12" hidden="1" customHeight="1">
      <c r="A5380" s="286"/>
    </row>
    <row r="5381" spans="1:1" s="287" customFormat="1" ht="12" hidden="1" customHeight="1">
      <c r="A5381" s="286"/>
    </row>
    <row r="5382" spans="1:1" s="287" customFormat="1" ht="12" hidden="1" customHeight="1">
      <c r="A5382" s="286"/>
    </row>
    <row r="5383" spans="1:1" s="287" customFormat="1" ht="12" hidden="1" customHeight="1">
      <c r="A5383" s="286"/>
    </row>
    <row r="5384" spans="1:1" s="287" customFormat="1" ht="12" hidden="1" customHeight="1">
      <c r="A5384" s="286"/>
    </row>
    <row r="5385" spans="1:1" s="287" customFormat="1" ht="12" hidden="1" customHeight="1">
      <c r="A5385" s="286"/>
    </row>
    <row r="5386" spans="1:1" s="287" customFormat="1" ht="12" hidden="1" customHeight="1">
      <c r="A5386" s="286"/>
    </row>
    <row r="5387" spans="1:1" s="287" customFormat="1" ht="12" hidden="1" customHeight="1">
      <c r="A5387" s="286"/>
    </row>
    <row r="5388" spans="1:1" s="287" customFormat="1" ht="12" hidden="1" customHeight="1">
      <c r="A5388" s="286"/>
    </row>
    <row r="5389" spans="1:1" s="287" customFormat="1" ht="12" hidden="1" customHeight="1">
      <c r="A5389" s="286"/>
    </row>
    <row r="5390" spans="1:1" s="287" customFormat="1" ht="12" hidden="1" customHeight="1">
      <c r="A5390" s="286"/>
    </row>
    <row r="5391" spans="1:1" s="287" customFormat="1" ht="12" hidden="1" customHeight="1">
      <c r="A5391" s="286"/>
    </row>
    <row r="5392" spans="1:1" s="287" customFormat="1" ht="12" hidden="1" customHeight="1">
      <c r="A5392" s="286"/>
    </row>
    <row r="5393" spans="1:1" s="287" customFormat="1" ht="12" hidden="1" customHeight="1">
      <c r="A5393" s="286"/>
    </row>
    <row r="5394" spans="1:1" s="287" customFormat="1" ht="12" hidden="1" customHeight="1">
      <c r="A5394" s="286"/>
    </row>
    <row r="5395" spans="1:1" s="287" customFormat="1" ht="12" hidden="1" customHeight="1">
      <c r="A5395" s="286"/>
    </row>
    <row r="5396" spans="1:1" s="287" customFormat="1" ht="12" hidden="1" customHeight="1">
      <c r="A5396" s="286"/>
    </row>
    <row r="5397" spans="1:1" s="287" customFormat="1" ht="12" hidden="1" customHeight="1">
      <c r="A5397" s="286"/>
    </row>
    <row r="5398" spans="1:1" s="287" customFormat="1" ht="12" hidden="1" customHeight="1">
      <c r="A5398" s="286"/>
    </row>
    <row r="5399" spans="1:1" s="287" customFormat="1" ht="12" hidden="1" customHeight="1">
      <c r="A5399" s="286"/>
    </row>
    <row r="5400" spans="1:1" s="287" customFormat="1" ht="12" hidden="1" customHeight="1">
      <c r="A5400" s="286"/>
    </row>
    <row r="5401" spans="1:1" s="287" customFormat="1" ht="12" hidden="1" customHeight="1">
      <c r="A5401" s="286"/>
    </row>
    <row r="5402" spans="1:1" s="287" customFormat="1" ht="12" hidden="1" customHeight="1">
      <c r="A5402" s="286"/>
    </row>
    <row r="5403" spans="1:1" s="287" customFormat="1" ht="12" hidden="1" customHeight="1">
      <c r="A5403" s="286"/>
    </row>
    <row r="5404" spans="1:1" s="287" customFormat="1" ht="12" hidden="1" customHeight="1">
      <c r="A5404" s="286"/>
    </row>
    <row r="5405" spans="1:1" s="287" customFormat="1" ht="12" hidden="1" customHeight="1">
      <c r="A5405" s="286"/>
    </row>
    <row r="5406" spans="1:1" s="287" customFormat="1" ht="12" hidden="1" customHeight="1">
      <c r="A5406" s="286"/>
    </row>
    <row r="5407" spans="1:1" s="287" customFormat="1" ht="12" hidden="1" customHeight="1">
      <c r="A5407" s="286"/>
    </row>
    <row r="5408" spans="1:1" s="287" customFormat="1" ht="12" hidden="1" customHeight="1">
      <c r="A5408" s="286"/>
    </row>
    <row r="5409" spans="1:1" s="287" customFormat="1" ht="12" hidden="1" customHeight="1">
      <c r="A5409" s="286"/>
    </row>
    <row r="5410" spans="1:1" s="287" customFormat="1" ht="12" hidden="1" customHeight="1">
      <c r="A5410" s="286"/>
    </row>
    <row r="5411" spans="1:1" s="287" customFormat="1" ht="12" hidden="1" customHeight="1">
      <c r="A5411" s="286"/>
    </row>
    <row r="5412" spans="1:1" s="287" customFormat="1" ht="12" hidden="1" customHeight="1">
      <c r="A5412" s="286"/>
    </row>
    <row r="5413" spans="1:1" s="287" customFormat="1" ht="12" hidden="1" customHeight="1">
      <c r="A5413" s="286"/>
    </row>
    <row r="5414" spans="1:1" s="287" customFormat="1" ht="12" hidden="1" customHeight="1">
      <c r="A5414" s="286"/>
    </row>
    <row r="5415" spans="1:1" s="287" customFormat="1" ht="12" hidden="1" customHeight="1">
      <c r="A5415" s="286"/>
    </row>
    <row r="5416" spans="1:1" s="287" customFormat="1" ht="12" hidden="1" customHeight="1">
      <c r="A5416" s="286"/>
    </row>
    <row r="5417" spans="1:1" s="287" customFormat="1" ht="12" hidden="1" customHeight="1">
      <c r="A5417" s="286"/>
    </row>
    <row r="5418" spans="1:1" s="287" customFormat="1" ht="12" hidden="1" customHeight="1">
      <c r="A5418" s="286"/>
    </row>
    <row r="5419" spans="1:1" s="287" customFormat="1" ht="12" hidden="1" customHeight="1">
      <c r="A5419" s="286"/>
    </row>
    <row r="5420" spans="1:1" s="287" customFormat="1" ht="12" hidden="1" customHeight="1">
      <c r="A5420" s="286"/>
    </row>
    <row r="5421" spans="1:1" s="287" customFormat="1" ht="12" hidden="1" customHeight="1">
      <c r="A5421" s="286"/>
    </row>
    <row r="5422" spans="1:1" s="287" customFormat="1" ht="12" hidden="1" customHeight="1">
      <c r="A5422" s="286"/>
    </row>
    <row r="5423" spans="1:1" s="287" customFormat="1" ht="12" hidden="1" customHeight="1">
      <c r="A5423" s="286"/>
    </row>
    <row r="5424" spans="1:1" s="287" customFormat="1" ht="12" hidden="1" customHeight="1">
      <c r="A5424" s="286"/>
    </row>
    <row r="5425" spans="1:1" s="287" customFormat="1" ht="12" hidden="1" customHeight="1">
      <c r="A5425" s="286"/>
    </row>
    <row r="5426" spans="1:1" s="287" customFormat="1" ht="12" hidden="1" customHeight="1">
      <c r="A5426" s="286"/>
    </row>
    <row r="5427" spans="1:1" s="287" customFormat="1" ht="12" hidden="1" customHeight="1">
      <c r="A5427" s="286"/>
    </row>
    <row r="5428" spans="1:1" s="287" customFormat="1" ht="12" hidden="1" customHeight="1">
      <c r="A5428" s="286"/>
    </row>
    <row r="5429" spans="1:1" s="287" customFormat="1" ht="12" hidden="1" customHeight="1">
      <c r="A5429" s="286"/>
    </row>
    <row r="5430" spans="1:1" s="287" customFormat="1" ht="12" hidden="1" customHeight="1">
      <c r="A5430" s="286"/>
    </row>
    <row r="5431" spans="1:1" s="287" customFormat="1" ht="12" hidden="1" customHeight="1">
      <c r="A5431" s="286"/>
    </row>
    <row r="5432" spans="1:1" s="287" customFormat="1" ht="12" hidden="1" customHeight="1">
      <c r="A5432" s="286"/>
    </row>
    <row r="5433" spans="1:1" s="287" customFormat="1" ht="12" hidden="1" customHeight="1">
      <c r="A5433" s="286"/>
    </row>
    <row r="5434" spans="1:1" s="287" customFormat="1" ht="12" hidden="1" customHeight="1">
      <c r="A5434" s="286"/>
    </row>
    <row r="5435" spans="1:1" s="287" customFormat="1" ht="12" hidden="1" customHeight="1">
      <c r="A5435" s="286"/>
    </row>
    <row r="5436" spans="1:1" s="287" customFormat="1" ht="12" hidden="1" customHeight="1">
      <c r="A5436" s="286"/>
    </row>
    <row r="5437" spans="1:1" s="287" customFormat="1" ht="12" hidden="1" customHeight="1">
      <c r="A5437" s="286"/>
    </row>
    <row r="5438" spans="1:1" s="287" customFormat="1" ht="12" hidden="1" customHeight="1">
      <c r="A5438" s="286"/>
    </row>
    <row r="5439" spans="1:1" s="287" customFormat="1" ht="12" hidden="1" customHeight="1">
      <c r="A5439" s="286"/>
    </row>
    <row r="5440" spans="1:1" s="287" customFormat="1" ht="12" hidden="1" customHeight="1">
      <c r="A5440" s="286"/>
    </row>
    <row r="5441" spans="1:1" s="287" customFormat="1" ht="12" hidden="1" customHeight="1">
      <c r="A5441" s="286"/>
    </row>
    <row r="5442" spans="1:1" s="287" customFormat="1" ht="12" hidden="1" customHeight="1">
      <c r="A5442" s="286"/>
    </row>
    <row r="5443" spans="1:1" s="287" customFormat="1" ht="12" hidden="1" customHeight="1">
      <c r="A5443" s="286"/>
    </row>
    <row r="5444" spans="1:1" s="287" customFormat="1" ht="12" hidden="1" customHeight="1">
      <c r="A5444" s="286"/>
    </row>
    <row r="5445" spans="1:1" s="287" customFormat="1" ht="12" hidden="1" customHeight="1">
      <c r="A5445" s="286"/>
    </row>
    <row r="5446" spans="1:1" s="287" customFormat="1" ht="12" hidden="1" customHeight="1">
      <c r="A5446" s="286"/>
    </row>
    <row r="5447" spans="1:1" s="287" customFormat="1" ht="12" hidden="1" customHeight="1">
      <c r="A5447" s="286"/>
    </row>
    <row r="5448" spans="1:1" s="287" customFormat="1" ht="12" hidden="1" customHeight="1">
      <c r="A5448" s="286"/>
    </row>
    <row r="5449" spans="1:1" s="287" customFormat="1" ht="12" hidden="1" customHeight="1">
      <c r="A5449" s="286"/>
    </row>
    <row r="5450" spans="1:1" s="287" customFormat="1" ht="12" hidden="1" customHeight="1">
      <c r="A5450" s="286"/>
    </row>
    <row r="5451" spans="1:1" s="287" customFormat="1" ht="12" hidden="1" customHeight="1">
      <c r="A5451" s="286"/>
    </row>
    <row r="5452" spans="1:1" s="287" customFormat="1" ht="12" hidden="1" customHeight="1">
      <c r="A5452" s="286"/>
    </row>
    <row r="5453" spans="1:1" s="287" customFormat="1" ht="12" hidden="1" customHeight="1">
      <c r="A5453" s="286"/>
    </row>
    <row r="5454" spans="1:1" s="287" customFormat="1" ht="12" hidden="1" customHeight="1">
      <c r="A5454" s="286"/>
    </row>
    <row r="5455" spans="1:1" s="287" customFormat="1" ht="12" hidden="1" customHeight="1">
      <c r="A5455" s="286"/>
    </row>
    <row r="5456" spans="1:1" s="287" customFormat="1" ht="12" hidden="1" customHeight="1">
      <c r="A5456" s="286"/>
    </row>
    <row r="5457" spans="1:1" s="287" customFormat="1" ht="12" hidden="1" customHeight="1">
      <c r="A5457" s="286"/>
    </row>
    <row r="5458" spans="1:1" s="287" customFormat="1" ht="12" hidden="1" customHeight="1">
      <c r="A5458" s="286"/>
    </row>
    <row r="5459" spans="1:1" s="287" customFormat="1" ht="12" hidden="1" customHeight="1">
      <c r="A5459" s="286"/>
    </row>
    <row r="5460" spans="1:1" s="287" customFormat="1" ht="12" hidden="1" customHeight="1">
      <c r="A5460" s="286"/>
    </row>
    <row r="5461" spans="1:1" s="287" customFormat="1" ht="12" hidden="1" customHeight="1">
      <c r="A5461" s="286"/>
    </row>
    <row r="5462" spans="1:1" s="287" customFormat="1" ht="12" hidden="1" customHeight="1">
      <c r="A5462" s="286"/>
    </row>
    <row r="5463" spans="1:1" s="287" customFormat="1" ht="12" hidden="1" customHeight="1">
      <c r="A5463" s="286"/>
    </row>
    <row r="5464" spans="1:1" s="287" customFormat="1" ht="12" hidden="1" customHeight="1">
      <c r="A5464" s="286"/>
    </row>
    <row r="5465" spans="1:1" s="287" customFormat="1" ht="12" hidden="1" customHeight="1">
      <c r="A5465" s="286"/>
    </row>
    <row r="5466" spans="1:1" s="287" customFormat="1" ht="12" hidden="1" customHeight="1">
      <c r="A5466" s="286"/>
    </row>
    <row r="5467" spans="1:1" s="287" customFormat="1" ht="12" hidden="1" customHeight="1">
      <c r="A5467" s="286"/>
    </row>
    <row r="5468" spans="1:1" s="287" customFormat="1" ht="12" hidden="1" customHeight="1">
      <c r="A5468" s="286"/>
    </row>
    <row r="5469" spans="1:1" s="287" customFormat="1" ht="12" hidden="1" customHeight="1">
      <c r="A5469" s="286"/>
    </row>
    <row r="5470" spans="1:1" s="287" customFormat="1" ht="12" hidden="1" customHeight="1">
      <c r="A5470" s="286"/>
    </row>
    <row r="5471" spans="1:1" s="287" customFormat="1" ht="12" hidden="1" customHeight="1">
      <c r="A5471" s="286"/>
    </row>
    <row r="5472" spans="1:1" s="287" customFormat="1" ht="12" hidden="1" customHeight="1">
      <c r="A5472" s="286"/>
    </row>
    <row r="5473" spans="1:1" s="287" customFormat="1" ht="12" hidden="1" customHeight="1">
      <c r="A5473" s="286"/>
    </row>
    <row r="5474" spans="1:1" s="287" customFormat="1" ht="12" hidden="1" customHeight="1">
      <c r="A5474" s="286"/>
    </row>
    <row r="5475" spans="1:1" s="287" customFormat="1" ht="12" hidden="1" customHeight="1">
      <c r="A5475" s="286"/>
    </row>
    <row r="5476" spans="1:1" s="287" customFormat="1" ht="12" hidden="1" customHeight="1">
      <c r="A5476" s="286"/>
    </row>
    <row r="5477" spans="1:1" s="287" customFormat="1" ht="12" hidden="1" customHeight="1">
      <c r="A5477" s="286"/>
    </row>
    <row r="5478" spans="1:1" s="287" customFormat="1" ht="12" hidden="1" customHeight="1">
      <c r="A5478" s="286"/>
    </row>
    <row r="5479" spans="1:1" s="287" customFormat="1" ht="12" hidden="1" customHeight="1">
      <c r="A5479" s="286"/>
    </row>
    <row r="5480" spans="1:1" s="287" customFormat="1" ht="12" hidden="1" customHeight="1">
      <c r="A5480" s="286"/>
    </row>
    <row r="5481" spans="1:1" s="287" customFormat="1" ht="12" hidden="1" customHeight="1">
      <c r="A5481" s="286"/>
    </row>
    <row r="5482" spans="1:1" s="287" customFormat="1" ht="12" hidden="1" customHeight="1">
      <c r="A5482" s="286"/>
    </row>
    <row r="5483" spans="1:1" s="287" customFormat="1" ht="12" hidden="1" customHeight="1">
      <c r="A5483" s="286"/>
    </row>
    <row r="5484" spans="1:1" s="287" customFormat="1" ht="12" hidden="1" customHeight="1">
      <c r="A5484" s="286"/>
    </row>
    <row r="5485" spans="1:1" s="287" customFormat="1" ht="12" hidden="1" customHeight="1">
      <c r="A5485" s="286"/>
    </row>
    <row r="5486" spans="1:1" s="287" customFormat="1" ht="12" hidden="1" customHeight="1">
      <c r="A5486" s="286"/>
    </row>
    <row r="5487" spans="1:1" s="287" customFormat="1" ht="12" hidden="1" customHeight="1">
      <c r="A5487" s="286"/>
    </row>
    <row r="5488" spans="1:1" s="287" customFormat="1" ht="12" hidden="1" customHeight="1">
      <c r="A5488" s="286"/>
    </row>
    <row r="5489" spans="1:1" s="287" customFormat="1" ht="12" hidden="1" customHeight="1">
      <c r="A5489" s="286"/>
    </row>
    <row r="5490" spans="1:1" s="287" customFormat="1" ht="12" hidden="1" customHeight="1">
      <c r="A5490" s="286"/>
    </row>
    <row r="5491" spans="1:1" s="287" customFormat="1" ht="12" hidden="1" customHeight="1">
      <c r="A5491" s="286"/>
    </row>
    <row r="5492" spans="1:1" s="287" customFormat="1" ht="12" hidden="1" customHeight="1">
      <c r="A5492" s="286"/>
    </row>
    <row r="5493" spans="1:1" s="287" customFormat="1" ht="12" hidden="1" customHeight="1">
      <c r="A5493" s="286"/>
    </row>
    <row r="5494" spans="1:1" s="287" customFormat="1" ht="12" hidden="1" customHeight="1">
      <c r="A5494" s="286"/>
    </row>
    <row r="5495" spans="1:1" s="287" customFormat="1" ht="12" hidden="1" customHeight="1">
      <c r="A5495" s="286"/>
    </row>
    <row r="5496" spans="1:1" s="287" customFormat="1" ht="12" hidden="1" customHeight="1">
      <c r="A5496" s="286"/>
    </row>
    <row r="5497" spans="1:1" s="287" customFormat="1" ht="12" hidden="1" customHeight="1">
      <c r="A5497" s="286"/>
    </row>
    <row r="5498" spans="1:1" s="287" customFormat="1" ht="12" hidden="1" customHeight="1">
      <c r="A5498" s="286"/>
    </row>
    <row r="5499" spans="1:1" s="287" customFormat="1" ht="12" hidden="1" customHeight="1">
      <c r="A5499" s="286"/>
    </row>
    <row r="5500" spans="1:1" s="287" customFormat="1" ht="12" hidden="1" customHeight="1">
      <c r="A5500" s="286"/>
    </row>
    <row r="5501" spans="1:1" s="287" customFormat="1" ht="12" hidden="1" customHeight="1">
      <c r="A5501" s="286"/>
    </row>
    <row r="5502" spans="1:1" s="287" customFormat="1" ht="12" hidden="1" customHeight="1">
      <c r="A5502" s="286"/>
    </row>
    <row r="5503" spans="1:1" s="287" customFormat="1" ht="12" hidden="1" customHeight="1">
      <c r="A5503" s="286"/>
    </row>
    <row r="5504" spans="1:1" s="287" customFormat="1" ht="12" hidden="1" customHeight="1">
      <c r="A5504" s="286"/>
    </row>
    <row r="5505" spans="1:1" s="287" customFormat="1" ht="12" hidden="1" customHeight="1">
      <c r="A5505" s="286"/>
    </row>
    <row r="5506" spans="1:1" s="287" customFormat="1" ht="12" hidden="1" customHeight="1">
      <c r="A5506" s="286"/>
    </row>
    <row r="5507" spans="1:1" s="287" customFormat="1" ht="12" hidden="1" customHeight="1">
      <c r="A5507" s="286"/>
    </row>
    <row r="5508" spans="1:1" s="287" customFormat="1" ht="12" hidden="1" customHeight="1">
      <c r="A5508" s="286"/>
    </row>
    <row r="5509" spans="1:1" s="287" customFormat="1" ht="12" hidden="1" customHeight="1">
      <c r="A5509" s="286"/>
    </row>
    <row r="5510" spans="1:1" s="287" customFormat="1" ht="12" hidden="1" customHeight="1">
      <c r="A5510" s="286"/>
    </row>
    <row r="5511" spans="1:1" s="287" customFormat="1" ht="12" hidden="1" customHeight="1">
      <c r="A5511" s="286"/>
    </row>
    <row r="5512" spans="1:1" s="287" customFormat="1" ht="12" hidden="1" customHeight="1">
      <c r="A5512" s="286"/>
    </row>
    <row r="5513" spans="1:1" s="287" customFormat="1" ht="12" hidden="1" customHeight="1">
      <c r="A5513" s="286"/>
    </row>
    <row r="5514" spans="1:1" s="287" customFormat="1" ht="12" hidden="1" customHeight="1">
      <c r="A5514" s="286"/>
    </row>
    <row r="5515" spans="1:1" s="287" customFormat="1" ht="12" hidden="1" customHeight="1">
      <c r="A5515" s="286"/>
    </row>
    <row r="5516" spans="1:1" s="287" customFormat="1" ht="12" hidden="1" customHeight="1">
      <c r="A5516" s="286"/>
    </row>
    <row r="5517" spans="1:1" s="287" customFormat="1" ht="12" hidden="1" customHeight="1">
      <c r="A5517" s="286"/>
    </row>
    <row r="5518" spans="1:1" s="287" customFormat="1" ht="12" hidden="1" customHeight="1">
      <c r="A5518" s="286"/>
    </row>
    <row r="5519" spans="1:1" s="287" customFormat="1" ht="12" hidden="1" customHeight="1">
      <c r="A5519" s="286"/>
    </row>
    <row r="5520" spans="1:1" s="287" customFormat="1" ht="12" hidden="1" customHeight="1">
      <c r="A5520" s="286"/>
    </row>
    <row r="5521" spans="1:1" s="287" customFormat="1" ht="12" hidden="1" customHeight="1">
      <c r="A5521" s="286"/>
    </row>
    <row r="5522" spans="1:1" s="287" customFormat="1" ht="12" hidden="1" customHeight="1">
      <c r="A5522" s="286"/>
    </row>
    <row r="5523" spans="1:1" s="287" customFormat="1" ht="12" hidden="1" customHeight="1">
      <c r="A5523" s="286"/>
    </row>
    <row r="5524" spans="1:1" s="287" customFormat="1" ht="12" hidden="1" customHeight="1">
      <c r="A5524" s="286"/>
    </row>
    <row r="5525" spans="1:1" s="287" customFormat="1" ht="12" hidden="1" customHeight="1">
      <c r="A5525" s="286"/>
    </row>
    <row r="5526" spans="1:1" s="287" customFormat="1" ht="12" hidden="1" customHeight="1">
      <c r="A5526" s="286"/>
    </row>
    <row r="5527" spans="1:1" s="287" customFormat="1" ht="12" hidden="1" customHeight="1">
      <c r="A5527" s="286"/>
    </row>
    <row r="5528" spans="1:1" s="287" customFormat="1" ht="12" hidden="1" customHeight="1">
      <c r="A5528" s="286"/>
    </row>
    <row r="5529" spans="1:1" s="287" customFormat="1" ht="12" hidden="1" customHeight="1">
      <c r="A5529" s="286"/>
    </row>
    <row r="5530" spans="1:1" s="287" customFormat="1" ht="12" hidden="1" customHeight="1">
      <c r="A5530" s="286"/>
    </row>
    <row r="5531" spans="1:1" s="287" customFormat="1" ht="12" hidden="1" customHeight="1">
      <c r="A5531" s="286"/>
    </row>
    <row r="5532" spans="1:1" s="287" customFormat="1" ht="12" hidden="1" customHeight="1">
      <c r="A5532" s="286"/>
    </row>
    <row r="5533" spans="1:1" s="287" customFormat="1" ht="12" hidden="1" customHeight="1">
      <c r="A5533" s="286"/>
    </row>
    <row r="5534" spans="1:1" s="287" customFormat="1" ht="12" hidden="1" customHeight="1">
      <c r="A5534" s="286"/>
    </row>
    <row r="5535" spans="1:1" s="287" customFormat="1" ht="12" hidden="1" customHeight="1">
      <c r="A5535" s="286"/>
    </row>
    <row r="5536" spans="1:1" s="287" customFormat="1" ht="12" hidden="1" customHeight="1">
      <c r="A5536" s="286"/>
    </row>
    <row r="5537" spans="1:1" s="287" customFormat="1" ht="12" hidden="1" customHeight="1">
      <c r="A5537" s="286"/>
    </row>
    <row r="5538" spans="1:1" s="287" customFormat="1" ht="12" hidden="1" customHeight="1">
      <c r="A5538" s="286"/>
    </row>
    <row r="5539" spans="1:1" s="287" customFormat="1" ht="12" hidden="1" customHeight="1">
      <c r="A5539" s="286"/>
    </row>
    <row r="5540" spans="1:1" s="287" customFormat="1" ht="12" hidden="1" customHeight="1">
      <c r="A5540" s="286"/>
    </row>
    <row r="5541" spans="1:1" s="287" customFormat="1" ht="12" hidden="1" customHeight="1">
      <c r="A5541" s="286"/>
    </row>
    <row r="5542" spans="1:1" s="287" customFormat="1" ht="12" hidden="1" customHeight="1">
      <c r="A5542" s="286"/>
    </row>
    <row r="5543" spans="1:1" s="287" customFormat="1" ht="12" hidden="1" customHeight="1">
      <c r="A5543" s="286"/>
    </row>
    <row r="5544" spans="1:1" s="287" customFormat="1" ht="12" hidden="1" customHeight="1">
      <c r="A5544" s="286"/>
    </row>
    <row r="5545" spans="1:1" s="287" customFormat="1" ht="12" hidden="1" customHeight="1">
      <c r="A5545" s="286"/>
    </row>
    <row r="5546" spans="1:1" s="287" customFormat="1" ht="12" hidden="1" customHeight="1">
      <c r="A5546" s="286"/>
    </row>
    <row r="5547" spans="1:1" s="287" customFormat="1" ht="12" hidden="1" customHeight="1">
      <c r="A5547" s="286"/>
    </row>
    <row r="5548" spans="1:1" s="287" customFormat="1" ht="12" hidden="1" customHeight="1">
      <c r="A5548" s="286"/>
    </row>
    <row r="5549" spans="1:1" s="287" customFormat="1" ht="12" hidden="1" customHeight="1">
      <c r="A5549" s="286"/>
    </row>
    <row r="5550" spans="1:1" s="287" customFormat="1" ht="12" hidden="1" customHeight="1">
      <c r="A5550" s="286"/>
    </row>
    <row r="5551" spans="1:1" s="287" customFormat="1" ht="12" hidden="1" customHeight="1">
      <c r="A5551" s="286"/>
    </row>
    <row r="5552" spans="1:1" s="287" customFormat="1" ht="12" hidden="1" customHeight="1">
      <c r="A5552" s="286"/>
    </row>
    <row r="5553" spans="1:1" s="287" customFormat="1" ht="12" hidden="1" customHeight="1">
      <c r="A5553" s="286"/>
    </row>
    <row r="5554" spans="1:1" s="287" customFormat="1" ht="12" hidden="1" customHeight="1">
      <c r="A5554" s="286"/>
    </row>
    <row r="5555" spans="1:1" s="287" customFormat="1" ht="12" hidden="1" customHeight="1">
      <c r="A5555" s="286"/>
    </row>
    <row r="5556" spans="1:1" s="287" customFormat="1" ht="12" hidden="1" customHeight="1">
      <c r="A5556" s="286"/>
    </row>
    <row r="5557" spans="1:1" s="287" customFormat="1" ht="12" hidden="1" customHeight="1">
      <c r="A5557" s="286"/>
    </row>
    <row r="5558" spans="1:1" s="287" customFormat="1" ht="12" hidden="1" customHeight="1">
      <c r="A5558" s="286"/>
    </row>
    <row r="5559" spans="1:1" s="287" customFormat="1" ht="12" hidden="1" customHeight="1">
      <c r="A5559" s="286"/>
    </row>
    <row r="5560" spans="1:1" s="287" customFormat="1" ht="12" hidden="1" customHeight="1">
      <c r="A5560" s="286"/>
    </row>
    <row r="5561" spans="1:1" s="287" customFormat="1" ht="12" hidden="1" customHeight="1">
      <c r="A5561" s="286"/>
    </row>
    <row r="5562" spans="1:1" s="287" customFormat="1" ht="12" hidden="1" customHeight="1">
      <c r="A5562" s="286"/>
    </row>
    <row r="5563" spans="1:1" s="287" customFormat="1" ht="12" hidden="1" customHeight="1">
      <c r="A5563" s="286"/>
    </row>
    <row r="5564" spans="1:1" s="287" customFormat="1" ht="12" hidden="1" customHeight="1">
      <c r="A5564" s="286"/>
    </row>
    <row r="5565" spans="1:1" s="287" customFormat="1" ht="12" hidden="1" customHeight="1">
      <c r="A5565" s="286"/>
    </row>
    <row r="5566" spans="1:1" s="287" customFormat="1" ht="12" hidden="1" customHeight="1">
      <c r="A5566" s="286"/>
    </row>
    <row r="5567" spans="1:1" s="287" customFormat="1" ht="12" hidden="1" customHeight="1">
      <c r="A5567" s="286"/>
    </row>
    <row r="5568" spans="1:1" s="287" customFormat="1" ht="12" hidden="1" customHeight="1">
      <c r="A5568" s="286"/>
    </row>
    <row r="5569" spans="1:1" s="287" customFormat="1" ht="12" hidden="1" customHeight="1">
      <c r="A5569" s="286"/>
    </row>
    <row r="5570" spans="1:1" s="287" customFormat="1" ht="12" hidden="1" customHeight="1">
      <c r="A5570" s="286"/>
    </row>
    <row r="5571" spans="1:1" s="287" customFormat="1" ht="12" hidden="1" customHeight="1">
      <c r="A5571" s="286"/>
    </row>
    <row r="5572" spans="1:1" s="287" customFormat="1" ht="12" hidden="1" customHeight="1">
      <c r="A5572" s="286"/>
    </row>
    <row r="5573" spans="1:1" s="287" customFormat="1" ht="12" hidden="1" customHeight="1">
      <c r="A5573" s="286"/>
    </row>
    <row r="5574" spans="1:1" s="287" customFormat="1" ht="12" hidden="1" customHeight="1">
      <c r="A5574" s="286"/>
    </row>
    <row r="5575" spans="1:1" s="287" customFormat="1" ht="12" hidden="1" customHeight="1">
      <c r="A5575" s="286"/>
    </row>
    <row r="5576" spans="1:1" s="287" customFormat="1" ht="12" hidden="1" customHeight="1">
      <c r="A5576" s="286"/>
    </row>
    <row r="5577" spans="1:1" s="287" customFormat="1" ht="12" hidden="1" customHeight="1">
      <c r="A5577" s="286"/>
    </row>
    <row r="5578" spans="1:1" s="287" customFormat="1" ht="12" hidden="1" customHeight="1">
      <c r="A5578" s="286"/>
    </row>
    <row r="5579" spans="1:1" s="287" customFormat="1" ht="12" hidden="1" customHeight="1">
      <c r="A5579" s="286"/>
    </row>
    <row r="5580" spans="1:1" s="287" customFormat="1" ht="12" hidden="1" customHeight="1">
      <c r="A5580" s="286"/>
    </row>
    <row r="5581" spans="1:1" s="287" customFormat="1" ht="12" hidden="1" customHeight="1">
      <c r="A5581" s="286"/>
    </row>
    <row r="5582" spans="1:1" s="287" customFormat="1" ht="12" hidden="1" customHeight="1">
      <c r="A5582" s="286"/>
    </row>
    <row r="5583" spans="1:1" s="287" customFormat="1" ht="12" hidden="1" customHeight="1">
      <c r="A5583" s="286"/>
    </row>
    <row r="5584" spans="1:1" s="287" customFormat="1" ht="12" hidden="1" customHeight="1">
      <c r="A5584" s="286"/>
    </row>
    <row r="5585" spans="1:1" s="287" customFormat="1" ht="12" hidden="1" customHeight="1">
      <c r="A5585" s="286"/>
    </row>
    <row r="5586" spans="1:1" s="287" customFormat="1" ht="12" hidden="1" customHeight="1">
      <c r="A5586" s="286"/>
    </row>
    <row r="5587" spans="1:1" s="287" customFormat="1" ht="12" hidden="1" customHeight="1">
      <c r="A5587" s="286"/>
    </row>
    <row r="5588" spans="1:1" s="287" customFormat="1" ht="12" hidden="1" customHeight="1">
      <c r="A5588" s="286"/>
    </row>
    <row r="5589" spans="1:1" s="287" customFormat="1" ht="12" hidden="1" customHeight="1">
      <c r="A5589" s="286"/>
    </row>
    <row r="5590" spans="1:1" s="287" customFormat="1" ht="12" hidden="1" customHeight="1">
      <c r="A5590" s="286"/>
    </row>
    <row r="5591" spans="1:1" s="287" customFormat="1" ht="12" hidden="1" customHeight="1">
      <c r="A5591" s="286"/>
    </row>
    <row r="5592" spans="1:1" s="287" customFormat="1" ht="12" hidden="1" customHeight="1">
      <c r="A5592" s="286"/>
    </row>
    <row r="5593" spans="1:1" s="287" customFormat="1" ht="12" hidden="1" customHeight="1">
      <c r="A5593" s="286"/>
    </row>
    <row r="5594" spans="1:1" s="287" customFormat="1" ht="12" hidden="1" customHeight="1">
      <c r="A5594" s="286"/>
    </row>
    <row r="5595" spans="1:1" s="287" customFormat="1" ht="12" hidden="1" customHeight="1">
      <c r="A5595" s="286"/>
    </row>
    <row r="5596" spans="1:1" s="287" customFormat="1" ht="12" hidden="1" customHeight="1">
      <c r="A5596" s="286"/>
    </row>
    <row r="5597" spans="1:1" s="287" customFormat="1" ht="12" hidden="1" customHeight="1">
      <c r="A5597" s="286"/>
    </row>
    <row r="5598" spans="1:1" s="287" customFormat="1" ht="12" hidden="1" customHeight="1">
      <c r="A5598" s="286"/>
    </row>
    <row r="5599" spans="1:1" s="287" customFormat="1" ht="12" hidden="1" customHeight="1">
      <c r="A5599" s="286"/>
    </row>
    <row r="5600" spans="1:1" s="287" customFormat="1" ht="12" hidden="1" customHeight="1">
      <c r="A5600" s="286"/>
    </row>
    <row r="5601" spans="1:1" s="287" customFormat="1" ht="12" hidden="1" customHeight="1">
      <c r="A5601" s="286"/>
    </row>
    <row r="5602" spans="1:1" s="287" customFormat="1" ht="12" hidden="1" customHeight="1">
      <c r="A5602" s="286"/>
    </row>
    <row r="5603" spans="1:1" s="287" customFormat="1" ht="12" hidden="1" customHeight="1">
      <c r="A5603" s="286"/>
    </row>
    <row r="5604" spans="1:1" s="287" customFormat="1" ht="12" hidden="1" customHeight="1">
      <c r="A5604" s="286"/>
    </row>
    <row r="5605" spans="1:1" s="287" customFormat="1" ht="12" hidden="1" customHeight="1">
      <c r="A5605" s="286"/>
    </row>
    <row r="5606" spans="1:1" s="287" customFormat="1" ht="12" hidden="1" customHeight="1">
      <c r="A5606" s="286"/>
    </row>
    <row r="5607" spans="1:1" s="287" customFormat="1" ht="12" hidden="1" customHeight="1">
      <c r="A5607" s="286"/>
    </row>
    <row r="5608" spans="1:1" s="287" customFormat="1" ht="12" hidden="1" customHeight="1">
      <c r="A5608" s="286"/>
    </row>
    <row r="5609" spans="1:1" s="287" customFormat="1" ht="12" hidden="1" customHeight="1">
      <c r="A5609" s="286"/>
    </row>
    <row r="5610" spans="1:1" s="287" customFormat="1" ht="12" hidden="1" customHeight="1">
      <c r="A5610" s="286"/>
    </row>
    <row r="5611" spans="1:1" s="287" customFormat="1" ht="12" hidden="1" customHeight="1">
      <c r="A5611" s="286"/>
    </row>
    <row r="5612" spans="1:1" s="287" customFormat="1" ht="12" hidden="1" customHeight="1">
      <c r="A5612" s="286"/>
    </row>
    <row r="5613" spans="1:1" s="287" customFormat="1" ht="12" hidden="1" customHeight="1">
      <c r="A5613" s="286"/>
    </row>
    <row r="5614" spans="1:1" s="287" customFormat="1" ht="12" hidden="1" customHeight="1">
      <c r="A5614" s="286"/>
    </row>
    <row r="5615" spans="1:1" s="287" customFormat="1" ht="12" hidden="1" customHeight="1">
      <c r="A5615" s="286"/>
    </row>
    <row r="5616" spans="1:1" s="287" customFormat="1" ht="12" hidden="1" customHeight="1">
      <c r="A5616" s="286"/>
    </row>
    <row r="5617" spans="1:1" s="287" customFormat="1" ht="12" hidden="1" customHeight="1">
      <c r="A5617" s="286"/>
    </row>
    <row r="5618" spans="1:1" s="287" customFormat="1" ht="12" hidden="1" customHeight="1">
      <c r="A5618" s="286"/>
    </row>
    <row r="5619" spans="1:1" s="287" customFormat="1" ht="12" hidden="1" customHeight="1">
      <c r="A5619" s="286"/>
    </row>
    <row r="5620" spans="1:1" s="287" customFormat="1" ht="12" hidden="1" customHeight="1">
      <c r="A5620" s="286"/>
    </row>
    <row r="5621" spans="1:1" s="287" customFormat="1" ht="12" hidden="1" customHeight="1">
      <c r="A5621" s="286"/>
    </row>
    <row r="5622" spans="1:1" s="287" customFormat="1" ht="12" hidden="1" customHeight="1">
      <c r="A5622" s="286"/>
    </row>
    <row r="5623" spans="1:1" s="287" customFormat="1" ht="12" hidden="1" customHeight="1">
      <c r="A5623" s="286"/>
    </row>
    <row r="5624" spans="1:1" s="287" customFormat="1" ht="12" hidden="1" customHeight="1">
      <c r="A5624" s="286"/>
    </row>
    <row r="5625" spans="1:1" s="287" customFormat="1" ht="12" hidden="1" customHeight="1">
      <c r="A5625" s="286"/>
    </row>
    <row r="5626" spans="1:1" s="287" customFormat="1" ht="12" hidden="1" customHeight="1">
      <c r="A5626" s="286"/>
    </row>
    <row r="5627" spans="1:1" s="287" customFormat="1" ht="12" hidden="1" customHeight="1">
      <c r="A5627" s="286"/>
    </row>
    <row r="5628" spans="1:1" s="287" customFormat="1" ht="12" hidden="1" customHeight="1">
      <c r="A5628" s="286"/>
    </row>
    <row r="5629" spans="1:1" s="287" customFormat="1" ht="12" hidden="1" customHeight="1">
      <c r="A5629" s="286"/>
    </row>
    <row r="5630" spans="1:1" s="287" customFormat="1" ht="12" hidden="1" customHeight="1">
      <c r="A5630" s="286"/>
    </row>
    <row r="5631" spans="1:1" s="287" customFormat="1" ht="12" hidden="1" customHeight="1">
      <c r="A5631" s="286"/>
    </row>
    <row r="5632" spans="1:1" s="287" customFormat="1" ht="12" hidden="1" customHeight="1">
      <c r="A5632" s="286"/>
    </row>
    <row r="5633" spans="1:1" s="287" customFormat="1" ht="12" hidden="1" customHeight="1">
      <c r="A5633" s="286"/>
    </row>
    <row r="5634" spans="1:1" s="287" customFormat="1" ht="12" hidden="1" customHeight="1">
      <c r="A5634" s="286"/>
    </row>
    <row r="5635" spans="1:1" s="287" customFormat="1" ht="12" hidden="1" customHeight="1">
      <c r="A5635" s="286"/>
    </row>
    <row r="5636" spans="1:1" s="287" customFormat="1" ht="12" hidden="1" customHeight="1">
      <c r="A5636" s="286"/>
    </row>
    <row r="5637" spans="1:1" s="287" customFormat="1" ht="12" hidden="1" customHeight="1">
      <c r="A5637" s="286"/>
    </row>
    <row r="5638" spans="1:1" s="287" customFormat="1" ht="12" hidden="1" customHeight="1">
      <c r="A5638" s="286"/>
    </row>
    <row r="5639" spans="1:1" s="287" customFormat="1" ht="12" hidden="1" customHeight="1">
      <c r="A5639" s="286"/>
    </row>
    <row r="5640" spans="1:1" s="287" customFormat="1" ht="12" hidden="1" customHeight="1">
      <c r="A5640" s="286"/>
    </row>
    <row r="5641" spans="1:1" s="287" customFormat="1" ht="12" hidden="1" customHeight="1">
      <c r="A5641" s="286"/>
    </row>
    <row r="5642" spans="1:1" s="287" customFormat="1" ht="12" hidden="1" customHeight="1">
      <c r="A5642" s="286"/>
    </row>
    <row r="5643" spans="1:1" s="287" customFormat="1" ht="12" hidden="1" customHeight="1">
      <c r="A5643" s="286"/>
    </row>
    <row r="5644" spans="1:1" s="287" customFormat="1" ht="12" hidden="1" customHeight="1">
      <c r="A5644" s="286"/>
    </row>
    <row r="5645" spans="1:1" s="287" customFormat="1" ht="12" hidden="1" customHeight="1">
      <c r="A5645" s="286"/>
    </row>
    <row r="5646" spans="1:1" s="287" customFormat="1" ht="12" hidden="1" customHeight="1">
      <c r="A5646" s="286"/>
    </row>
    <row r="5647" spans="1:1" s="287" customFormat="1" ht="12" hidden="1" customHeight="1">
      <c r="A5647" s="286"/>
    </row>
    <row r="5648" spans="1:1" s="287" customFormat="1" ht="12" hidden="1" customHeight="1">
      <c r="A5648" s="286"/>
    </row>
    <row r="5649" spans="1:1" s="287" customFormat="1" ht="12" hidden="1" customHeight="1">
      <c r="A5649" s="286"/>
    </row>
    <row r="5650" spans="1:1" s="287" customFormat="1" ht="12" hidden="1" customHeight="1">
      <c r="A5650" s="286"/>
    </row>
    <row r="5651" spans="1:1" s="287" customFormat="1" ht="12" hidden="1" customHeight="1">
      <c r="A5651" s="286"/>
    </row>
    <row r="5652" spans="1:1" s="287" customFormat="1" ht="12" hidden="1" customHeight="1">
      <c r="A5652" s="286"/>
    </row>
    <row r="5653" spans="1:1" s="287" customFormat="1" ht="12" hidden="1" customHeight="1">
      <c r="A5653" s="286"/>
    </row>
    <row r="5654" spans="1:1" s="287" customFormat="1" ht="12" hidden="1" customHeight="1">
      <c r="A5654" s="286"/>
    </row>
    <row r="5655" spans="1:1" s="287" customFormat="1" ht="12" hidden="1" customHeight="1">
      <c r="A5655" s="286"/>
    </row>
    <row r="5656" spans="1:1" s="287" customFormat="1" ht="12" hidden="1" customHeight="1">
      <c r="A5656" s="286"/>
    </row>
    <row r="5657" spans="1:1" s="287" customFormat="1" ht="12" hidden="1" customHeight="1">
      <c r="A5657" s="286"/>
    </row>
    <row r="5658" spans="1:1" s="287" customFormat="1" ht="12" hidden="1" customHeight="1">
      <c r="A5658" s="286"/>
    </row>
    <row r="5659" spans="1:1" s="287" customFormat="1" ht="12" hidden="1" customHeight="1">
      <c r="A5659" s="286"/>
    </row>
    <row r="5660" spans="1:1" s="287" customFormat="1" ht="12" hidden="1" customHeight="1">
      <c r="A5660" s="286"/>
    </row>
    <row r="5661" spans="1:1" s="287" customFormat="1" ht="12" hidden="1" customHeight="1">
      <c r="A5661" s="286"/>
    </row>
    <row r="5662" spans="1:1" s="287" customFormat="1" ht="12" hidden="1" customHeight="1">
      <c r="A5662" s="286"/>
    </row>
    <row r="5663" spans="1:1" s="287" customFormat="1" ht="12" hidden="1" customHeight="1">
      <c r="A5663" s="286"/>
    </row>
    <row r="5664" spans="1:1" s="287" customFormat="1" ht="12" hidden="1" customHeight="1">
      <c r="A5664" s="286"/>
    </row>
    <row r="5665" spans="1:1" s="287" customFormat="1" ht="12" hidden="1" customHeight="1">
      <c r="A5665" s="286"/>
    </row>
    <row r="5666" spans="1:1" s="287" customFormat="1" ht="12" hidden="1" customHeight="1">
      <c r="A5666" s="286"/>
    </row>
    <row r="5667" spans="1:1" s="287" customFormat="1" ht="12" hidden="1" customHeight="1">
      <c r="A5667" s="286"/>
    </row>
    <row r="5668" spans="1:1" s="287" customFormat="1" ht="12" hidden="1" customHeight="1">
      <c r="A5668" s="286"/>
    </row>
    <row r="5669" spans="1:1" s="287" customFormat="1" ht="12" hidden="1" customHeight="1">
      <c r="A5669" s="286"/>
    </row>
    <row r="5670" spans="1:1" s="287" customFormat="1" ht="12" hidden="1" customHeight="1">
      <c r="A5670" s="286"/>
    </row>
    <row r="5671" spans="1:1" s="287" customFormat="1" ht="12" hidden="1" customHeight="1">
      <c r="A5671" s="286"/>
    </row>
    <row r="5672" spans="1:1" s="287" customFormat="1" ht="12" hidden="1" customHeight="1">
      <c r="A5672" s="286"/>
    </row>
    <row r="5673" spans="1:1" s="287" customFormat="1" ht="12" hidden="1" customHeight="1">
      <c r="A5673" s="286"/>
    </row>
    <row r="5674" spans="1:1" s="287" customFormat="1" ht="12" hidden="1" customHeight="1">
      <c r="A5674" s="286"/>
    </row>
    <row r="5675" spans="1:1" s="287" customFormat="1" ht="12" hidden="1" customHeight="1">
      <c r="A5675" s="286"/>
    </row>
    <row r="5676" spans="1:1" s="287" customFormat="1" ht="12" hidden="1" customHeight="1">
      <c r="A5676" s="286"/>
    </row>
    <row r="5677" spans="1:1" s="287" customFormat="1" ht="12" hidden="1" customHeight="1">
      <c r="A5677" s="286"/>
    </row>
    <row r="5678" spans="1:1" s="287" customFormat="1" ht="12" hidden="1" customHeight="1">
      <c r="A5678" s="286"/>
    </row>
    <row r="5679" spans="1:1" s="287" customFormat="1" ht="12" hidden="1" customHeight="1">
      <c r="A5679" s="286"/>
    </row>
    <row r="5680" spans="1:1" s="287" customFormat="1" ht="12" hidden="1" customHeight="1">
      <c r="A5680" s="286"/>
    </row>
    <row r="5681" spans="1:1" s="287" customFormat="1" ht="12" hidden="1" customHeight="1">
      <c r="A5681" s="286"/>
    </row>
    <row r="5682" spans="1:1" s="287" customFormat="1" ht="12" hidden="1" customHeight="1">
      <c r="A5682" s="286"/>
    </row>
    <row r="5683" spans="1:1" s="287" customFormat="1" ht="12" hidden="1" customHeight="1">
      <c r="A5683" s="286"/>
    </row>
    <row r="5684" spans="1:1" s="287" customFormat="1" ht="12" hidden="1" customHeight="1">
      <c r="A5684" s="286"/>
    </row>
    <row r="5685" spans="1:1" s="287" customFormat="1" ht="12" hidden="1" customHeight="1">
      <c r="A5685" s="286"/>
    </row>
    <row r="5686" spans="1:1" s="287" customFormat="1" ht="12" hidden="1" customHeight="1">
      <c r="A5686" s="286"/>
    </row>
    <row r="5687" spans="1:1" s="287" customFormat="1" ht="12" hidden="1" customHeight="1">
      <c r="A5687" s="286"/>
    </row>
    <row r="5688" spans="1:1" s="287" customFormat="1" ht="12" hidden="1" customHeight="1">
      <c r="A5688" s="286"/>
    </row>
    <row r="5689" spans="1:1" s="287" customFormat="1" ht="12" hidden="1" customHeight="1">
      <c r="A5689" s="286"/>
    </row>
    <row r="5690" spans="1:1" s="287" customFormat="1" ht="12" hidden="1" customHeight="1">
      <c r="A5690" s="286"/>
    </row>
    <row r="5691" spans="1:1" s="287" customFormat="1" ht="12" hidden="1" customHeight="1">
      <c r="A5691" s="286"/>
    </row>
    <row r="5692" spans="1:1" s="287" customFormat="1" ht="12" hidden="1" customHeight="1">
      <c r="A5692" s="286"/>
    </row>
    <row r="5693" spans="1:1" s="287" customFormat="1" ht="12" hidden="1" customHeight="1">
      <c r="A5693" s="286"/>
    </row>
    <row r="5694" spans="1:1" s="287" customFormat="1" ht="12" hidden="1" customHeight="1">
      <c r="A5694" s="286"/>
    </row>
    <row r="5695" spans="1:1" s="287" customFormat="1" ht="12" hidden="1" customHeight="1">
      <c r="A5695" s="286"/>
    </row>
    <row r="5696" spans="1:1" s="287" customFormat="1" ht="12" hidden="1" customHeight="1">
      <c r="A5696" s="286"/>
    </row>
    <row r="5697" spans="1:1" s="287" customFormat="1" ht="12" hidden="1" customHeight="1">
      <c r="A5697" s="286"/>
    </row>
    <row r="5698" spans="1:1" s="287" customFormat="1" ht="12" hidden="1" customHeight="1">
      <c r="A5698" s="286"/>
    </row>
    <row r="5699" spans="1:1" s="287" customFormat="1" ht="12" hidden="1" customHeight="1">
      <c r="A5699" s="286"/>
    </row>
    <row r="5700" spans="1:1" s="287" customFormat="1" ht="12" hidden="1" customHeight="1">
      <c r="A5700" s="286"/>
    </row>
    <row r="5701" spans="1:1" s="287" customFormat="1" ht="12" hidden="1" customHeight="1">
      <c r="A5701" s="286"/>
    </row>
    <row r="5702" spans="1:1" s="287" customFormat="1" ht="12" hidden="1" customHeight="1">
      <c r="A5702" s="286"/>
    </row>
    <row r="5703" spans="1:1" s="287" customFormat="1" ht="12" hidden="1" customHeight="1">
      <c r="A5703" s="286"/>
    </row>
    <row r="5704" spans="1:1" s="287" customFormat="1" ht="12" hidden="1" customHeight="1">
      <c r="A5704" s="286"/>
    </row>
    <row r="5705" spans="1:1" s="287" customFormat="1" ht="12" hidden="1" customHeight="1">
      <c r="A5705" s="286"/>
    </row>
    <row r="5706" spans="1:1" s="287" customFormat="1" ht="12" hidden="1" customHeight="1">
      <c r="A5706" s="286"/>
    </row>
    <row r="5707" spans="1:1" s="287" customFormat="1" ht="12" hidden="1" customHeight="1">
      <c r="A5707" s="286"/>
    </row>
    <row r="5708" spans="1:1" s="287" customFormat="1" ht="12" hidden="1" customHeight="1">
      <c r="A5708" s="286"/>
    </row>
    <row r="5709" spans="1:1" s="287" customFormat="1" ht="12" hidden="1" customHeight="1">
      <c r="A5709" s="286"/>
    </row>
    <row r="5710" spans="1:1" s="287" customFormat="1" ht="12" hidden="1" customHeight="1">
      <c r="A5710" s="286"/>
    </row>
    <row r="5711" spans="1:1" s="287" customFormat="1" ht="12" hidden="1" customHeight="1">
      <c r="A5711" s="286"/>
    </row>
    <row r="5712" spans="1:1" s="287" customFormat="1" ht="12" hidden="1" customHeight="1">
      <c r="A5712" s="286"/>
    </row>
    <row r="5713" spans="1:1" s="287" customFormat="1" ht="12" hidden="1" customHeight="1">
      <c r="A5713" s="286"/>
    </row>
    <row r="5714" spans="1:1" s="287" customFormat="1" ht="12" hidden="1" customHeight="1">
      <c r="A5714" s="286"/>
    </row>
    <row r="5715" spans="1:1" s="287" customFormat="1" ht="12" hidden="1" customHeight="1">
      <c r="A5715" s="286"/>
    </row>
    <row r="5716" spans="1:1" s="287" customFormat="1" ht="12" hidden="1" customHeight="1">
      <c r="A5716" s="286"/>
    </row>
    <row r="5717" spans="1:1" s="287" customFormat="1" ht="12" hidden="1" customHeight="1">
      <c r="A5717" s="286"/>
    </row>
    <row r="5718" spans="1:1" s="287" customFormat="1" ht="12" hidden="1" customHeight="1">
      <c r="A5718" s="286"/>
    </row>
    <row r="5719" spans="1:1" s="287" customFormat="1" ht="12" hidden="1" customHeight="1">
      <c r="A5719" s="286"/>
    </row>
    <row r="5720" spans="1:1" s="287" customFormat="1" ht="12" hidden="1" customHeight="1">
      <c r="A5720" s="286"/>
    </row>
    <row r="5721" spans="1:1" s="287" customFormat="1" ht="12" hidden="1" customHeight="1">
      <c r="A5721" s="286"/>
    </row>
    <row r="5722" spans="1:1" s="287" customFormat="1" ht="12" hidden="1" customHeight="1">
      <c r="A5722" s="286"/>
    </row>
    <row r="5723" spans="1:1" s="287" customFormat="1" ht="12" hidden="1" customHeight="1">
      <c r="A5723" s="286"/>
    </row>
    <row r="5724" spans="1:1" s="287" customFormat="1" ht="12" hidden="1" customHeight="1">
      <c r="A5724" s="286"/>
    </row>
    <row r="5725" spans="1:1" s="287" customFormat="1" ht="12" hidden="1" customHeight="1">
      <c r="A5725" s="286"/>
    </row>
    <row r="5726" spans="1:1" s="287" customFormat="1" ht="12" hidden="1" customHeight="1">
      <c r="A5726" s="286"/>
    </row>
    <row r="5727" spans="1:1" s="287" customFormat="1" ht="12" hidden="1" customHeight="1">
      <c r="A5727" s="286"/>
    </row>
    <row r="5728" spans="1:1" s="287" customFormat="1" ht="12" hidden="1" customHeight="1">
      <c r="A5728" s="286"/>
    </row>
    <row r="5729" spans="1:1" s="287" customFormat="1" ht="12" hidden="1" customHeight="1">
      <c r="A5729" s="286"/>
    </row>
    <row r="5730" spans="1:1" s="287" customFormat="1" ht="12" hidden="1" customHeight="1">
      <c r="A5730" s="286"/>
    </row>
    <row r="5731" spans="1:1" s="287" customFormat="1" ht="12" hidden="1" customHeight="1">
      <c r="A5731" s="286"/>
    </row>
    <row r="5732" spans="1:1" s="287" customFormat="1" ht="12" hidden="1" customHeight="1">
      <c r="A5732" s="286"/>
    </row>
    <row r="5733" spans="1:1" s="287" customFormat="1" ht="12" hidden="1" customHeight="1">
      <c r="A5733" s="286"/>
    </row>
    <row r="5734" spans="1:1" s="287" customFormat="1" ht="12" hidden="1" customHeight="1">
      <c r="A5734" s="286"/>
    </row>
    <row r="5735" spans="1:1" s="287" customFormat="1" ht="12" hidden="1" customHeight="1">
      <c r="A5735" s="286"/>
    </row>
    <row r="5736" spans="1:1" s="287" customFormat="1" ht="12" hidden="1" customHeight="1">
      <c r="A5736" s="286"/>
    </row>
    <row r="5737" spans="1:1" s="287" customFormat="1" ht="12" hidden="1" customHeight="1">
      <c r="A5737" s="286"/>
    </row>
    <row r="5738" spans="1:1" s="287" customFormat="1" ht="12" hidden="1" customHeight="1">
      <c r="A5738" s="286"/>
    </row>
    <row r="5739" spans="1:1" s="287" customFormat="1" ht="12" hidden="1" customHeight="1">
      <c r="A5739" s="286"/>
    </row>
    <row r="5740" spans="1:1" s="287" customFormat="1" ht="12" hidden="1" customHeight="1">
      <c r="A5740" s="286"/>
    </row>
    <row r="5741" spans="1:1" s="287" customFormat="1" ht="12" hidden="1" customHeight="1">
      <c r="A5741" s="286"/>
    </row>
    <row r="5742" spans="1:1" s="287" customFormat="1" ht="12" hidden="1" customHeight="1">
      <c r="A5742" s="286"/>
    </row>
    <row r="5743" spans="1:1" s="287" customFormat="1" ht="12" hidden="1" customHeight="1">
      <c r="A5743" s="286"/>
    </row>
    <row r="5744" spans="1:1" s="287" customFormat="1" ht="12" hidden="1" customHeight="1">
      <c r="A5744" s="286"/>
    </row>
    <row r="5745" spans="1:1" s="287" customFormat="1" ht="12" hidden="1" customHeight="1">
      <c r="A5745" s="286"/>
    </row>
    <row r="5746" spans="1:1" s="287" customFormat="1" ht="12" hidden="1" customHeight="1">
      <c r="A5746" s="286"/>
    </row>
    <row r="5747" spans="1:1" s="287" customFormat="1" ht="12" hidden="1" customHeight="1">
      <c r="A5747" s="286"/>
    </row>
    <row r="5748" spans="1:1" s="287" customFormat="1" ht="12" hidden="1" customHeight="1">
      <c r="A5748" s="286"/>
    </row>
    <row r="5749" spans="1:1" s="287" customFormat="1" ht="12" hidden="1" customHeight="1">
      <c r="A5749" s="286"/>
    </row>
    <row r="5750" spans="1:1" s="287" customFormat="1" ht="12" hidden="1" customHeight="1">
      <c r="A5750" s="286"/>
    </row>
    <row r="5751" spans="1:1" s="287" customFormat="1" ht="12" hidden="1" customHeight="1">
      <c r="A5751" s="286"/>
    </row>
    <row r="5752" spans="1:1" s="287" customFormat="1" ht="12" hidden="1" customHeight="1">
      <c r="A5752" s="286"/>
    </row>
    <row r="5753" spans="1:1" s="287" customFormat="1" ht="12" hidden="1" customHeight="1">
      <c r="A5753" s="286"/>
    </row>
    <row r="5754" spans="1:1" s="287" customFormat="1" ht="12" hidden="1" customHeight="1">
      <c r="A5754" s="286"/>
    </row>
    <row r="5755" spans="1:1" s="287" customFormat="1" ht="12" hidden="1" customHeight="1">
      <c r="A5755" s="286"/>
    </row>
    <row r="5756" spans="1:1" s="287" customFormat="1" ht="12" hidden="1" customHeight="1">
      <c r="A5756" s="286"/>
    </row>
    <row r="5757" spans="1:1" s="287" customFormat="1" ht="12" hidden="1" customHeight="1">
      <c r="A5757" s="286"/>
    </row>
    <row r="5758" spans="1:1" s="287" customFormat="1" ht="12" hidden="1" customHeight="1">
      <c r="A5758" s="286"/>
    </row>
    <row r="5759" spans="1:1" s="287" customFormat="1" ht="12" hidden="1" customHeight="1">
      <c r="A5759" s="286"/>
    </row>
    <row r="5760" spans="1:1" s="287" customFormat="1" ht="12" hidden="1" customHeight="1">
      <c r="A5760" s="286"/>
    </row>
    <row r="5761" spans="1:1" s="287" customFormat="1" ht="12" hidden="1" customHeight="1">
      <c r="A5761" s="286"/>
    </row>
    <row r="5762" spans="1:1" s="287" customFormat="1" ht="12" hidden="1" customHeight="1">
      <c r="A5762" s="286"/>
    </row>
    <row r="5763" spans="1:1" s="287" customFormat="1" ht="12" hidden="1" customHeight="1">
      <c r="A5763" s="286"/>
    </row>
    <row r="5764" spans="1:1" s="287" customFormat="1" ht="12" hidden="1" customHeight="1">
      <c r="A5764" s="286"/>
    </row>
    <row r="5765" spans="1:1" s="287" customFormat="1" ht="12" hidden="1" customHeight="1">
      <c r="A5765" s="286"/>
    </row>
    <row r="5766" spans="1:1" s="287" customFormat="1" ht="12" hidden="1" customHeight="1">
      <c r="A5766" s="286"/>
    </row>
    <row r="5767" spans="1:1" s="287" customFormat="1" ht="12" hidden="1" customHeight="1">
      <c r="A5767" s="286"/>
    </row>
    <row r="5768" spans="1:1" s="287" customFormat="1" ht="12" hidden="1" customHeight="1">
      <c r="A5768" s="286"/>
    </row>
    <row r="5769" spans="1:1" s="287" customFormat="1" ht="12" hidden="1" customHeight="1">
      <c r="A5769" s="286"/>
    </row>
    <row r="5770" spans="1:1" s="287" customFormat="1" ht="12" hidden="1" customHeight="1">
      <c r="A5770" s="286"/>
    </row>
    <row r="5771" spans="1:1" s="287" customFormat="1" ht="12" hidden="1" customHeight="1">
      <c r="A5771" s="286"/>
    </row>
    <row r="5772" spans="1:1" s="287" customFormat="1" ht="12" hidden="1" customHeight="1">
      <c r="A5772" s="286"/>
    </row>
    <row r="5773" spans="1:1" s="287" customFormat="1" ht="12" hidden="1" customHeight="1">
      <c r="A5773" s="286"/>
    </row>
    <row r="5774" spans="1:1" s="287" customFormat="1" ht="12" hidden="1" customHeight="1">
      <c r="A5774" s="286"/>
    </row>
    <row r="5775" spans="1:1" s="287" customFormat="1" ht="12" hidden="1" customHeight="1">
      <c r="A5775" s="286"/>
    </row>
    <row r="5776" spans="1:1" s="287" customFormat="1" ht="12" hidden="1" customHeight="1">
      <c r="A5776" s="286"/>
    </row>
    <row r="5777" spans="1:1" s="287" customFormat="1" ht="12" hidden="1" customHeight="1">
      <c r="A5777" s="286"/>
    </row>
    <row r="5778" spans="1:1" s="287" customFormat="1" ht="12" hidden="1" customHeight="1">
      <c r="A5778" s="286"/>
    </row>
    <row r="5779" spans="1:1" s="287" customFormat="1" ht="12" hidden="1" customHeight="1">
      <c r="A5779" s="286"/>
    </row>
    <row r="5780" spans="1:1" s="287" customFormat="1" ht="12" hidden="1" customHeight="1">
      <c r="A5780" s="286"/>
    </row>
    <row r="5781" spans="1:1" s="287" customFormat="1" ht="12" hidden="1" customHeight="1">
      <c r="A5781" s="286"/>
    </row>
    <row r="5782" spans="1:1" s="287" customFormat="1" ht="12" hidden="1" customHeight="1">
      <c r="A5782" s="286"/>
    </row>
    <row r="5783" spans="1:1" s="287" customFormat="1" ht="12" hidden="1" customHeight="1">
      <c r="A5783" s="286"/>
    </row>
    <row r="5784" spans="1:1" s="287" customFormat="1" ht="12" hidden="1" customHeight="1">
      <c r="A5784" s="286"/>
    </row>
    <row r="5785" spans="1:1" s="287" customFormat="1" ht="12" hidden="1" customHeight="1">
      <c r="A5785" s="286"/>
    </row>
    <row r="5786" spans="1:1" s="287" customFormat="1" ht="12" hidden="1" customHeight="1">
      <c r="A5786" s="286"/>
    </row>
    <row r="5787" spans="1:1" s="287" customFormat="1" ht="12" hidden="1" customHeight="1">
      <c r="A5787" s="286"/>
    </row>
    <row r="5788" spans="1:1" s="287" customFormat="1" ht="12" hidden="1" customHeight="1">
      <c r="A5788" s="286"/>
    </row>
    <row r="5789" spans="1:1" s="287" customFormat="1" ht="12" hidden="1" customHeight="1">
      <c r="A5789" s="286"/>
    </row>
    <row r="5790" spans="1:1" s="287" customFormat="1" ht="12" hidden="1" customHeight="1">
      <c r="A5790" s="286"/>
    </row>
    <row r="5791" spans="1:1" s="287" customFormat="1" ht="12" hidden="1" customHeight="1">
      <c r="A5791" s="286"/>
    </row>
    <row r="5792" spans="1:1" s="287" customFormat="1" ht="12" hidden="1" customHeight="1">
      <c r="A5792" s="286"/>
    </row>
    <row r="5793" spans="1:1" s="287" customFormat="1" ht="12" hidden="1" customHeight="1">
      <c r="A5793" s="286"/>
    </row>
    <row r="5794" spans="1:1" s="287" customFormat="1" ht="12" hidden="1" customHeight="1">
      <c r="A5794" s="286"/>
    </row>
    <row r="5795" spans="1:1" s="287" customFormat="1" ht="12" hidden="1" customHeight="1">
      <c r="A5795" s="286"/>
    </row>
    <row r="5796" spans="1:1" s="287" customFormat="1" ht="12" hidden="1" customHeight="1">
      <c r="A5796" s="286"/>
    </row>
    <row r="5797" spans="1:1" s="287" customFormat="1" ht="12" hidden="1" customHeight="1">
      <c r="A5797" s="286"/>
    </row>
    <row r="5798" spans="1:1" s="287" customFormat="1" ht="12" hidden="1" customHeight="1">
      <c r="A5798" s="286"/>
    </row>
    <row r="5799" spans="1:1" s="287" customFormat="1" ht="12" hidden="1" customHeight="1">
      <c r="A5799" s="286"/>
    </row>
    <row r="5800" spans="1:1" s="287" customFormat="1" ht="12" hidden="1" customHeight="1">
      <c r="A5800" s="286"/>
    </row>
    <row r="5801" spans="1:1" s="287" customFormat="1" ht="12" hidden="1" customHeight="1">
      <c r="A5801" s="286"/>
    </row>
    <row r="5802" spans="1:1" s="287" customFormat="1" ht="12" hidden="1" customHeight="1">
      <c r="A5802" s="286"/>
    </row>
    <row r="5803" spans="1:1" s="287" customFormat="1" ht="12" hidden="1" customHeight="1">
      <c r="A5803" s="286"/>
    </row>
    <row r="5804" spans="1:1" s="287" customFormat="1" ht="12" hidden="1" customHeight="1">
      <c r="A5804" s="286"/>
    </row>
    <row r="5805" spans="1:1" s="287" customFormat="1" ht="12" hidden="1" customHeight="1">
      <c r="A5805" s="286"/>
    </row>
    <row r="5806" spans="1:1" s="287" customFormat="1" ht="12" hidden="1" customHeight="1">
      <c r="A5806" s="286"/>
    </row>
    <row r="5807" spans="1:1" s="287" customFormat="1" ht="12" hidden="1" customHeight="1">
      <c r="A5807" s="286"/>
    </row>
    <row r="5808" spans="1:1" s="287" customFormat="1" ht="12" hidden="1" customHeight="1">
      <c r="A5808" s="286"/>
    </row>
    <row r="5809" spans="1:1" s="287" customFormat="1" ht="12" hidden="1" customHeight="1">
      <c r="A5809" s="286"/>
    </row>
    <row r="5810" spans="1:1" s="287" customFormat="1" ht="12" hidden="1" customHeight="1">
      <c r="A5810" s="286"/>
    </row>
    <row r="5811" spans="1:1" s="287" customFormat="1" ht="12" hidden="1" customHeight="1">
      <c r="A5811" s="286"/>
    </row>
    <row r="5812" spans="1:1" s="287" customFormat="1" ht="12" hidden="1" customHeight="1">
      <c r="A5812" s="286"/>
    </row>
    <row r="5813" spans="1:1" s="287" customFormat="1" ht="12" hidden="1" customHeight="1">
      <c r="A5813" s="286"/>
    </row>
    <row r="5814" spans="1:1" s="287" customFormat="1" ht="12" hidden="1" customHeight="1">
      <c r="A5814" s="286"/>
    </row>
    <row r="5815" spans="1:1" s="287" customFormat="1" ht="12" hidden="1" customHeight="1">
      <c r="A5815" s="286"/>
    </row>
    <row r="5816" spans="1:1" s="287" customFormat="1" ht="12" hidden="1" customHeight="1">
      <c r="A5816" s="286"/>
    </row>
    <row r="5817" spans="1:1" s="287" customFormat="1" ht="12" hidden="1" customHeight="1">
      <c r="A5817" s="286"/>
    </row>
    <row r="5818" spans="1:1" s="287" customFormat="1" ht="12" hidden="1" customHeight="1">
      <c r="A5818" s="286"/>
    </row>
    <row r="5819" spans="1:1" s="287" customFormat="1" ht="12" hidden="1" customHeight="1">
      <c r="A5819" s="286"/>
    </row>
    <row r="5820" spans="1:1" s="287" customFormat="1" ht="12" hidden="1" customHeight="1">
      <c r="A5820" s="286"/>
    </row>
    <row r="5821" spans="1:1" s="287" customFormat="1" ht="12" hidden="1" customHeight="1">
      <c r="A5821" s="286"/>
    </row>
    <row r="5822" spans="1:1" s="287" customFormat="1" ht="12" hidden="1" customHeight="1">
      <c r="A5822" s="286"/>
    </row>
    <row r="5823" spans="1:1" s="287" customFormat="1" ht="12" hidden="1" customHeight="1">
      <c r="A5823" s="286"/>
    </row>
    <row r="5824" spans="1:1" s="287" customFormat="1" ht="12" hidden="1" customHeight="1">
      <c r="A5824" s="286"/>
    </row>
    <row r="5825" spans="1:1" s="287" customFormat="1" ht="12" hidden="1" customHeight="1">
      <c r="A5825" s="286"/>
    </row>
    <row r="5826" spans="1:1" s="287" customFormat="1" ht="12" hidden="1" customHeight="1">
      <c r="A5826" s="286"/>
    </row>
    <row r="5827" spans="1:1" s="287" customFormat="1" ht="12" hidden="1" customHeight="1">
      <c r="A5827" s="286"/>
    </row>
    <row r="5828" spans="1:1" s="287" customFormat="1" ht="12" hidden="1" customHeight="1">
      <c r="A5828" s="286"/>
    </row>
    <row r="5829" spans="1:1" s="287" customFormat="1" ht="12" hidden="1" customHeight="1">
      <c r="A5829" s="286"/>
    </row>
    <row r="5830" spans="1:1" s="287" customFormat="1" ht="12" hidden="1" customHeight="1">
      <c r="A5830" s="286"/>
    </row>
    <row r="5831" spans="1:1" s="287" customFormat="1" ht="12" hidden="1" customHeight="1">
      <c r="A5831" s="286"/>
    </row>
    <row r="5832" spans="1:1" s="287" customFormat="1" ht="12" hidden="1" customHeight="1">
      <c r="A5832" s="286"/>
    </row>
    <row r="5833" spans="1:1" s="287" customFormat="1" ht="12" hidden="1" customHeight="1">
      <c r="A5833" s="286"/>
    </row>
    <row r="5834" spans="1:1" s="287" customFormat="1" ht="12" hidden="1" customHeight="1">
      <c r="A5834" s="286"/>
    </row>
    <row r="5835" spans="1:1" s="287" customFormat="1" ht="12" hidden="1" customHeight="1">
      <c r="A5835" s="286"/>
    </row>
    <row r="5836" spans="1:1" s="287" customFormat="1" ht="12" hidden="1" customHeight="1">
      <c r="A5836" s="286"/>
    </row>
    <row r="5837" spans="1:1" s="287" customFormat="1" ht="12" hidden="1" customHeight="1">
      <c r="A5837" s="286"/>
    </row>
    <row r="5838" spans="1:1" s="287" customFormat="1" ht="12" hidden="1" customHeight="1">
      <c r="A5838" s="286"/>
    </row>
    <row r="5839" spans="1:1" s="287" customFormat="1" ht="12" hidden="1" customHeight="1">
      <c r="A5839" s="286"/>
    </row>
    <row r="5840" spans="1:1" s="287" customFormat="1" ht="12" hidden="1" customHeight="1">
      <c r="A5840" s="286"/>
    </row>
    <row r="5841" spans="1:1" s="287" customFormat="1" ht="12" hidden="1" customHeight="1">
      <c r="A5841" s="286"/>
    </row>
    <row r="5842" spans="1:1" s="287" customFormat="1" ht="12" hidden="1" customHeight="1">
      <c r="A5842" s="286"/>
    </row>
    <row r="5843" spans="1:1" s="287" customFormat="1" ht="12" hidden="1" customHeight="1">
      <c r="A5843" s="286"/>
    </row>
    <row r="5844" spans="1:1" s="287" customFormat="1" ht="12" hidden="1" customHeight="1">
      <c r="A5844" s="286"/>
    </row>
    <row r="5845" spans="1:1" s="287" customFormat="1" ht="12" hidden="1" customHeight="1">
      <c r="A5845" s="286"/>
    </row>
    <row r="5846" spans="1:1" s="287" customFormat="1" ht="12" hidden="1" customHeight="1">
      <c r="A5846" s="286"/>
    </row>
    <row r="5847" spans="1:1" s="287" customFormat="1" ht="12" hidden="1" customHeight="1">
      <c r="A5847" s="286"/>
    </row>
    <row r="5848" spans="1:1" s="287" customFormat="1" ht="12" hidden="1" customHeight="1">
      <c r="A5848" s="286"/>
    </row>
    <row r="5849" spans="1:1" s="287" customFormat="1" ht="12" hidden="1" customHeight="1">
      <c r="A5849" s="286"/>
    </row>
    <row r="5850" spans="1:1" s="287" customFormat="1" ht="12" hidden="1" customHeight="1">
      <c r="A5850" s="286"/>
    </row>
    <row r="5851" spans="1:1" s="287" customFormat="1" ht="12" hidden="1" customHeight="1">
      <c r="A5851" s="286"/>
    </row>
    <row r="5852" spans="1:1" s="287" customFormat="1" ht="12" hidden="1" customHeight="1">
      <c r="A5852" s="286"/>
    </row>
    <row r="5853" spans="1:1" s="287" customFormat="1" ht="12" hidden="1" customHeight="1">
      <c r="A5853" s="286"/>
    </row>
    <row r="5854" spans="1:1" s="287" customFormat="1" ht="12" hidden="1" customHeight="1">
      <c r="A5854" s="286"/>
    </row>
    <row r="5855" spans="1:1" s="287" customFormat="1" ht="12" hidden="1" customHeight="1">
      <c r="A5855" s="286"/>
    </row>
    <row r="5856" spans="1:1" s="287" customFormat="1" ht="12" hidden="1" customHeight="1">
      <c r="A5856" s="286"/>
    </row>
    <row r="5857" spans="1:1" s="287" customFormat="1" ht="12" hidden="1" customHeight="1">
      <c r="A5857" s="286"/>
    </row>
    <row r="5858" spans="1:1" s="287" customFormat="1" ht="12" hidden="1" customHeight="1">
      <c r="A5858" s="286"/>
    </row>
    <row r="5859" spans="1:1" s="287" customFormat="1" ht="12" hidden="1" customHeight="1">
      <c r="A5859" s="286"/>
    </row>
    <row r="5860" spans="1:1" s="287" customFormat="1" ht="12" hidden="1" customHeight="1">
      <c r="A5860" s="286"/>
    </row>
    <row r="5861" spans="1:1" s="287" customFormat="1" ht="12" hidden="1" customHeight="1">
      <c r="A5861" s="286"/>
    </row>
    <row r="5862" spans="1:1" s="287" customFormat="1" ht="12" hidden="1" customHeight="1">
      <c r="A5862" s="286"/>
    </row>
    <row r="5863" spans="1:1" s="287" customFormat="1" ht="12" hidden="1" customHeight="1">
      <c r="A5863" s="286"/>
    </row>
    <row r="5864" spans="1:1" s="287" customFormat="1" ht="12" hidden="1" customHeight="1">
      <c r="A5864" s="286"/>
    </row>
    <row r="5865" spans="1:1" s="287" customFormat="1" ht="12" hidden="1" customHeight="1">
      <c r="A5865" s="286"/>
    </row>
    <row r="5866" spans="1:1" s="287" customFormat="1" ht="12" hidden="1" customHeight="1">
      <c r="A5866" s="286"/>
    </row>
    <row r="5867" spans="1:1" s="287" customFormat="1" ht="12" hidden="1" customHeight="1">
      <c r="A5867" s="286"/>
    </row>
    <row r="5868" spans="1:1" s="287" customFormat="1" ht="12" hidden="1" customHeight="1">
      <c r="A5868" s="286"/>
    </row>
    <row r="5869" spans="1:1" s="287" customFormat="1" ht="12" hidden="1" customHeight="1">
      <c r="A5869" s="286"/>
    </row>
    <row r="5870" spans="1:1" s="287" customFormat="1" ht="12" hidden="1" customHeight="1">
      <c r="A5870" s="286"/>
    </row>
    <row r="5871" spans="1:1" s="287" customFormat="1" ht="12" hidden="1" customHeight="1">
      <c r="A5871" s="286"/>
    </row>
    <row r="5872" spans="1:1" s="287" customFormat="1" ht="12" hidden="1" customHeight="1">
      <c r="A5872" s="286"/>
    </row>
    <row r="5873" spans="1:1" s="287" customFormat="1" ht="12" hidden="1" customHeight="1">
      <c r="A5873" s="286"/>
    </row>
    <row r="5874" spans="1:1" s="287" customFormat="1" ht="12" hidden="1" customHeight="1">
      <c r="A5874" s="286"/>
    </row>
    <row r="5875" spans="1:1" s="287" customFormat="1" ht="12" hidden="1" customHeight="1">
      <c r="A5875" s="286"/>
    </row>
    <row r="5876" spans="1:1" s="287" customFormat="1" ht="12" hidden="1" customHeight="1">
      <c r="A5876" s="286"/>
    </row>
    <row r="5877" spans="1:1" s="287" customFormat="1" ht="12" hidden="1" customHeight="1">
      <c r="A5877" s="286"/>
    </row>
    <row r="5878" spans="1:1" s="287" customFormat="1" ht="12" hidden="1" customHeight="1">
      <c r="A5878" s="286"/>
    </row>
    <row r="5879" spans="1:1" s="287" customFormat="1" ht="12" hidden="1" customHeight="1">
      <c r="A5879" s="286"/>
    </row>
    <row r="5880" spans="1:1" s="287" customFormat="1" ht="12" hidden="1" customHeight="1">
      <c r="A5880" s="286"/>
    </row>
    <row r="5881" spans="1:1" s="287" customFormat="1" ht="12" hidden="1" customHeight="1">
      <c r="A5881" s="286"/>
    </row>
    <row r="5882" spans="1:1" s="287" customFormat="1" ht="12" hidden="1" customHeight="1">
      <c r="A5882" s="286"/>
    </row>
    <row r="5883" spans="1:1" s="287" customFormat="1" ht="12" hidden="1" customHeight="1">
      <c r="A5883" s="286"/>
    </row>
    <row r="5884" spans="1:1" s="287" customFormat="1" ht="12" hidden="1" customHeight="1">
      <c r="A5884" s="286"/>
    </row>
    <row r="5885" spans="1:1" s="287" customFormat="1" ht="12" hidden="1" customHeight="1">
      <c r="A5885" s="286"/>
    </row>
    <row r="5886" spans="1:1" s="287" customFormat="1" ht="12" hidden="1" customHeight="1">
      <c r="A5886" s="286"/>
    </row>
    <row r="5887" spans="1:1" s="287" customFormat="1" ht="12" hidden="1" customHeight="1">
      <c r="A5887" s="286"/>
    </row>
    <row r="5888" spans="1:1" s="287" customFormat="1" ht="12" hidden="1" customHeight="1">
      <c r="A5888" s="286"/>
    </row>
    <row r="5889" spans="1:1" s="287" customFormat="1" ht="12" hidden="1" customHeight="1">
      <c r="A5889" s="286"/>
    </row>
    <row r="5890" spans="1:1" s="287" customFormat="1" ht="12" hidden="1" customHeight="1">
      <c r="A5890" s="286"/>
    </row>
    <row r="5891" spans="1:1" s="287" customFormat="1" ht="12" hidden="1" customHeight="1">
      <c r="A5891" s="286"/>
    </row>
    <row r="5892" spans="1:1" s="287" customFormat="1" ht="12" hidden="1" customHeight="1">
      <c r="A5892" s="286"/>
    </row>
    <row r="5893" spans="1:1" s="287" customFormat="1" ht="12" hidden="1" customHeight="1">
      <c r="A5893" s="286"/>
    </row>
    <row r="5894" spans="1:1" s="287" customFormat="1" ht="12" hidden="1" customHeight="1">
      <c r="A5894" s="286"/>
    </row>
    <row r="5895" spans="1:1" s="287" customFormat="1" ht="12" hidden="1" customHeight="1">
      <c r="A5895" s="286"/>
    </row>
    <row r="5896" spans="1:1" s="287" customFormat="1" ht="12" hidden="1" customHeight="1">
      <c r="A5896" s="286"/>
    </row>
    <row r="5897" spans="1:1" s="287" customFormat="1" ht="12" hidden="1" customHeight="1">
      <c r="A5897" s="286"/>
    </row>
    <row r="5898" spans="1:1" s="287" customFormat="1" ht="12" hidden="1" customHeight="1">
      <c r="A5898" s="286"/>
    </row>
    <row r="5899" spans="1:1" s="287" customFormat="1" ht="12" hidden="1" customHeight="1">
      <c r="A5899" s="286"/>
    </row>
    <row r="5900" spans="1:1" s="287" customFormat="1" ht="12" hidden="1" customHeight="1">
      <c r="A5900" s="286"/>
    </row>
    <row r="5901" spans="1:1" s="287" customFormat="1" ht="12" hidden="1" customHeight="1">
      <c r="A5901" s="286"/>
    </row>
    <row r="5902" spans="1:1" s="287" customFormat="1" ht="12" hidden="1" customHeight="1">
      <c r="A5902" s="286"/>
    </row>
    <row r="5903" spans="1:1" s="287" customFormat="1" ht="12" hidden="1" customHeight="1">
      <c r="A5903" s="286"/>
    </row>
    <row r="5904" spans="1:1" s="287" customFormat="1" ht="12" hidden="1" customHeight="1">
      <c r="A5904" s="286"/>
    </row>
    <row r="5905" spans="1:1" s="287" customFormat="1" ht="12" hidden="1" customHeight="1">
      <c r="A5905" s="286"/>
    </row>
    <row r="5906" spans="1:1" s="287" customFormat="1" ht="12" hidden="1" customHeight="1">
      <c r="A5906" s="286"/>
    </row>
    <row r="5907" spans="1:1" s="287" customFormat="1" ht="12" hidden="1" customHeight="1">
      <c r="A5907" s="286"/>
    </row>
    <row r="5908" spans="1:1" s="287" customFormat="1" ht="12" hidden="1" customHeight="1">
      <c r="A5908" s="286"/>
    </row>
    <row r="5909" spans="1:1" s="287" customFormat="1" ht="12" hidden="1" customHeight="1">
      <c r="A5909" s="286"/>
    </row>
    <row r="5910" spans="1:1" s="287" customFormat="1" ht="12" hidden="1" customHeight="1">
      <c r="A5910" s="286"/>
    </row>
    <row r="5911" spans="1:1" s="287" customFormat="1" ht="12" hidden="1" customHeight="1">
      <c r="A5911" s="286"/>
    </row>
    <row r="5912" spans="1:1" s="287" customFormat="1" ht="12" hidden="1" customHeight="1">
      <c r="A5912" s="286"/>
    </row>
    <row r="5913" spans="1:1" s="287" customFormat="1" ht="12" hidden="1" customHeight="1">
      <c r="A5913" s="286"/>
    </row>
    <row r="5914" spans="1:1" s="287" customFormat="1" ht="12" hidden="1" customHeight="1">
      <c r="A5914" s="286"/>
    </row>
    <row r="5915" spans="1:1" s="287" customFormat="1" ht="12" hidden="1" customHeight="1">
      <c r="A5915" s="286"/>
    </row>
    <row r="5916" spans="1:1" s="287" customFormat="1" ht="12" hidden="1" customHeight="1">
      <c r="A5916" s="286"/>
    </row>
    <row r="5917" spans="1:1" s="287" customFormat="1" ht="12" hidden="1" customHeight="1">
      <c r="A5917" s="286"/>
    </row>
    <row r="5918" spans="1:1" s="287" customFormat="1" ht="12" hidden="1" customHeight="1">
      <c r="A5918" s="286"/>
    </row>
    <row r="5919" spans="1:1" s="287" customFormat="1" ht="12" hidden="1" customHeight="1">
      <c r="A5919" s="286"/>
    </row>
    <row r="5920" spans="1:1" s="287" customFormat="1" ht="12" hidden="1" customHeight="1">
      <c r="A5920" s="286"/>
    </row>
    <row r="5921" spans="1:1" s="287" customFormat="1" ht="12" hidden="1" customHeight="1">
      <c r="A5921" s="286"/>
    </row>
    <row r="5922" spans="1:1" s="287" customFormat="1" ht="12" hidden="1" customHeight="1">
      <c r="A5922" s="286"/>
    </row>
    <row r="5923" spans="1:1" s="287" customFormat="1" ht="12" hidden="1" customHeight="1">
      <c r="A5923" s="286"/>
    </row>
    <row r="5924" spans="1:1" s="287" customFormat="1" ht="12" hidden="1" customHeight="1">
      <c r="A5924" s="286"/>
    </row>
    <row r="5925" spans="1:1" s="287" customFormat="1" ht="12" hidden="1" customHeight="1">
      <c r="A5925" s="286"/>
    </row>
    <row r="5926" spans="1:1" s="287" customFormat="1" ht="12" hidden="1" customHeight="1">
      <c r="A5926" s="286"/>
    </row>
    <row r="5927" spans="1:1" s="287" customFormat="1" ht="12" hidden="1" customHeight="1">
      <c r="A5927" s="286"/>
    </row>
    <row r="5928" spans="1:1" s="287" customFormat="1" ht="12" hidden="1" customHeight="1">
      <c r="A5928" s="286"/>
    </row>
    <row r="5929" spans="1:1" s="287" customFormat="1" ht="12" hidden="1" customHeight="1">
      <c r="A5929" s="286"/>
    </row>
    <row r="5930" spans="1:1" s="287" customFormat="1" ht="12" hidden="1" customHeight="1">
      <c r="A5930" s="286"/>
    </row>
    <row r="5931" spans="1:1" s="287" customFormat="1" ht="12" hidden="1" customHeight="1">
      <c r="A5931" s="286"/>
    </row>
    <row r="5932" spans="1:1" s="287" customFormat="1" ht="12" hidden="1" customHeight="1">
      <c r="A5932" s="286"/>
    </row>
    <row r="5933" spans="1:1" s="287" customFormat="1" ht="12" hidden="1" customHeight="1">
      <c r="A5933" s="286"/>
    </row>
    <row r="5934" spans="1:1" s="287" customFormat="1" ht="12" hidden="1" customHeight="1">
      <c r="A5934" s="286"/>
    </row>
    <row r="5935" spans="1:1" s="287" customFormat="1" ht="12" hidden="1" customHeight="1">
      <c r="A5935" s="286"/>
    </row>
    <row r="5936" spans="1:1" s="287" customFormat="1" ht="12" hidden="1" customHeight="1">
      <c r="A5936" s="286"/>
    </row>
    <row r="5937" spans="1:1" s="287" customFormat="1" ht="12" hidden="1" customHeight="1">
      <c r="A5937" s="286"/>
    </row>
    <row r="5938" spans="1:1" s="287" customFormat="1" ht="12" hidden="1" customHeight="1">
      <c r="A5938" s="286"/>
    </row>
    <row r="5939" spans="1:1" s="287" customFormat="1" ht="12" hidden="1" customHeight="1">
      <c r="A5939" s="286"/>
    </row>
    <row r="5940" spans="1:1" s="287" customFormat="1" ht="12" hidden="1" customHeight="1">
      <c r="A5940" s="286"/>
    </row>
    <row r="5941" spans="1:1" s="287" customFormat="1" ht="12" hidden="1" customHeight="1">
      <c r="A5941" s="286"/>
    </row>
    <row r="5942" spans="1:1" s="287" customFormat="1" ht="12" hidden="1" customHeight="1">
      <c r="A5942" s="286"/>
    </row>
    <row r="5943" spans="1:1" s="287" customFormat="1" ht="12" hidden="1" customHeight="1">
      <c r="A5943" s="286"/>
    </row>
    <row r="5944" spans="1:1" s="287" customFormat="1" ht="12" hidden="1" customHeight="1">
      <c r="A5944" s="286"/>
    </row>
    <row r="5945" spans="1:1" s="287" customFormat="1" ht="12" hidden="1" customHeight="1">
      <c r="A5945" s="286"/>
    </row>
    <row r="5946" spans="1:1" s="287" customFormat="1" ht="12" hidden="1" customHeight="1">
      <c r="A5946" s="286"/>
    </row>
    <row r="5947" spans="1:1" s="287" customFormat="1" ht="12" hidden="1" customHeight="1">
      <c r="A5947" s="286"/>
    </row>
    <row r="5948" spans="1:1" s="287" customFormat="1" ht="12" hidden="1" customHeight="1">
      <c r="A5948" s="286"/>
    </row>
    <row r="5949" spans="1:1" s="287" customFormat="1" ht="12" hidden="1" customHeight="1">
      <c r="A5949" s="286"/>
    </row>
    <row r="5950" spans="1:1" s="287" customFormat="1" ht="12" hidden="1" customHeight="1">
      <c r="A5950" s="286"/>
    </row>
    <row r="5951" spans="1:1" s="287" customFormat="1" ht="12" hidden="1" customHeight="1">
      <c r="A5951" s="286"/>
    </row>
    <row r="5952" spans="1:1" s="287" customFormat="1" ht="12" hidden="1" customHeight="1">
      <c r="A5952" s="286"/>
    </row>
    <row r="5953" spans="1:1" s="287" customFormat="1" ht="12" hidden="1" customHeight="1">
      <c r="A5953" s="286"/>
    </row>
    <row r="5954" spans="1:1" s="287" customFormat="1" ht="12" hidden="1" customHeight="1">
      <c r="A5954" s="286"/>
    </row>
    <row r="5955" spans="1:1" s="287" customFormat="1" ht="12" hidden="1" customHeight="1">
      <c r="A5955" s="286"/>
    </row>
    <row r="5956" spans="1:1" s="287" customFormat="1" ht="12" hidden="1" customHeight="1">
      <c r="A5956" s="286"/>
    </row>
    <row r="5957" spans="1:1" s="287" customFormat="1" ht="12" hidden="1" customHeight="1">
      <c r="A5957" s="286"/>
    </row>
    <row r="5958" spans="1:1" s="287" customFormat="1" ht="12" hidden="1" customHeight="1">
      <c r="A5958" s="286"/>
    </row>
    <row r="5959" spans="1:1" s="287" customFormat="1" ht="12" hidden="1" customHeight="1">
      <c r="A5959" s="286"/>
    </row>
    <row r="5960" spans="1:1" s="287" customFormat="1" ht="12" hidden="1" customHeight="1">
      <c r="A5960" s="286"/>
    </row>
    <row r="5961" spans="1:1" s="287" customFormat="1" ht="12" hidden="1" customHeight="1">
      <c r="A5961" s="286"/>
    </row>
    <row r="5962" spans="1:1" s="287" customFormat="1" ht="12" hidden="1" customHeight="1">
      <c r="A5962" s="286"/>
    </row>
    <row r="5963" spans="1:1" s="287" customFormat="1" ht="12" hidden="1" customHeight="1">
      <c r="A5963" s="286"/>
    </row>
    <row r="5964" spans="1:1" s="287" customFormat="1" ht="12" hidden="1" customHeight="1">
      <c r="A5964" s="286"/>
    </row>
    <row r="5965" spans="1:1" s="287" customFormat="1" ht="12" hidden="1" customHeight="1">
      <c r="A5965" s="286"/>
    </row>
    <row r="5966" spans="1:1" s="287" customFormat="1" ht="12" hidden="1" customHeight="1">
      <c r="A5966" s="286"/>
    </row>
    <row r="5967" spans="1:1" s="287" customFormat="1" ht="12" hidden="1" customHeight="1">
      <c r="A5967" s="286"/>
    </row>
    <row r="5968" spans="1:1" s="287" customFormat="1" ht="12" hidden="1" customHeight="1">
      <c r="A5968" s="286"/>
    </row>
    <row r="5969" spans="1:1" s="287" customFormat="1" ht="12" hidden="1" customHeight="1">
      <c r="A5969" s="286"/>
    </row>
    <row r="5970" spans="1:1" s="287" customFormat="1" ht="12" hidden="1" customHeight="1">
      <c r="A5970" s="286"/>
    </row>
    <row r="5971" spans="1:1" s="287" customFormat="1" ht="12" hidden="1" customHeight="1">
      <c r="A5971" s="286"/>
    </row>
    <row r="5972" spans="1:1" s="287" customFormat="1" ht="12" hidden="1" customHeight="1">
      <c r="A5972" s="286"/>
    </row>
    <row r="5973" spans="1:1" s="287" customFormat="1" ht="12" hidden="1" customHeight="1">
      <c r="A5973" s="286"/>
    </row>
    <row r="5974" spans="1:1" s="287" customFormat="1" ht="12" hidden="1" customHeight="1">
      <c r="A5974" s="286"/>
    </row>
    <row r="5975" spans="1:1" s="287" customFormat="1" ht="12" hidden="1" customHeight="1">
      <c r="A5975" s="286"/>
    </row>
    <row r="5976" spans="1:1" s="287" customFormat="1" ht="12" hidden="1" customHeight="1">
      <c r="A5976" s="286"/>
    </row>
    <row r="5977" spans="1:1" s="287" customFormat="1" ht="12" hidden="1" customHeight="1">
      <c r="A5977" s="286"/>
    </row>
    <row r="5978" spans="1:1" s="287" customFormat="1" ht="12" hidden="1" customHeight="1">
      <c r="A5978" s="286"/>
    </row>
    <row r="5979" spans="1:1" s="287" customFormat="1" ht="12" hidden="1" customHeight="1">
      <c r="A5979" s="286"/>
    </row>
    <row r="5980" spans="1:1" s="287" customFormat="1" ht="12" hidden="1" customHeight="1">
      <c r="A5980" s="286"/>
    </row>
    <row r="5981" spans="1:1" s="287" customFormat="1" ht="12" hidden="1" customHeight="1">
      <c r="A5981" s="286"/>
    </row>
    <row r="5982" spans="1:1" s="287" customFormat="1" ht="12" hidden="1" customHeight="1">
      <c r="A5982" s="286"/>
    </row>
    <row r="5983" spans="1:1" s="287" customFormat="1" ht="12" hidden="1" customHeight="1">
      <c r="A5983" s="286"/>
    </row>
    <row r="5984" spans="1:1" s="287" customFormat="1" ht="12" hidden="1" customHeight="1">
      <c r="A5984" s="286"/>
    </row>
    <row r="5985" spans="1:1" s="287" customFormat="1" ht="12" hidden="1" customHeight="1">
      <c r="A5985" s="286"/>
    </row>
    <row r="5986" spans="1:1" s="287" customFormat="1" ht="12" hidden="1" customHeight="1">
      <c r="A5986" s="286"/>
    </row>
    <row r="5987" spans="1:1" s="287" customFormat="1" ht="12" hidden="1" customHeight="1">
      <c r="A5987" s="286"/>
    </row>
    <row r="5988" spans="1:1" s="287" customFormat="1" ht="12" hidden="1" customHeight="1">
      <c r="A5988" s="286"/>
    </row>
    <row r="5989" spans="1:1" s="287" customFormat="1" ht="12" hidden="1" customHeight="1">
      <c r="A5989" s="286"/>
    </row>
    <row r="5990" spans="1:1" s="287" customFormat="1" ht="12" hidden="1" customHeight="1">
      <c r="A5990" s="286"/>
    </row>
    <row r="5991" spans="1:1" s="287" customFormat="1" ht="12" hidden="1" customHeight="1">
      <c r="A5991" s="286"/>
    </row>
    <row r="5992" spans="1:1" s="287" customFormat="1" ht="12" hidden="1" customHeight="1">
      <c r="A5992" s="286"/>
    </row>
    <row r="5993" spans="1:1" s="287" customFormat="1" ht="12" hidden="1" customHeight="1">
      <c r="A5993" s="286"/>
    </row>
    <row r="5994" spans="1:1" s="287" customFormat="1" ht="12" hidden="1" customHeight="1">
      <c r="A5994" s="286"/>
    </row>
    <row r="5995" spans="1:1" s="287" customFormat="1" ht="12" hidden="1" customHeight="1">
      <c r="A5995" s="286"/>
    </row>
    <row r="5996" spans="1:1" s="287" customFormat="1" ht="12" hidden="1" customHeight="1">
      <c r="A5996" s="286"/>
    </row>
    <row r="5997" spans="1:1" s="287" customFormat="1" ht="12" hidden="1" customHeight="1">
      <c r="A5997" s="286"/>
    </row>
    <row r="5998" spans="1:1" s="287" customFormat="1" ht="12" hidden="1" customHeight="1">
      <c r="A5998" s="286"/>
    </row>
    <row r="5999" spans="1:1" s="287" customFormat="1" ht="12" hidden="1" customHeight="1">
      <c r="A5999" s="286"/>
    </row>
    <row r="6000" spans="1:1" s="287" customFormat="1" ht="12" hidden="1" customHeight="1">
      <c r="A6000" s="286"/>
    </row>
    <row r="6001" spans="1:1" s="287" customFormat="1" ht="12" hidden="1" customHeight="1">
      <c r="A6001" s="286"/>
    </row>
    <row r="6002" spans="1:1" s="287" customFormat="1" ht="12" hidden="1" customHeight="1">
      <c r="A6002" s="286"/>
    </row>
    <row r="6003" spans="1:1" s="287" customFormat="1" ht="12" hidden="1" customHeight="1">
      <c r="A6003" s="286"/>
    </row>
    <row r="6004" spans="1:1" s="287" customFormat="1" ht="12" hidden="1" customHeight="1">
      <c r="A6004" s="286"/>
    </row>
    <row r="6005" spans="1:1" s="287" customFormat="1" ht="12" hidden="1" customHeight="1">
      <c r="A6005" s="286"/>
    </row>
    <row r="6006" spans="1:1" s="287" customFormat="1" ht="12" hidden="1" customHeight="1">
      <c r="A6006" s="286"/>
    </row>
    <row r="6007" spans="1:1" s="287" customFormat="1" ht="12" hidden="1" customHeight="1">
      <c r="A6007" s="286"/>
    </row>
    <row r="6008" spans="1:1" s="287" customFormat="1" ht="12" hidden="1" customHeight="1">
      <c r="A6008" s="286"/>
    </row>
    <row r="6009" spans="1:1" s="287" customFormat="1" ht="12" hidden="1" customHeight="1">
      <c r="A6009" s="286"/>
    </row>
    <row r="6010" spans="1:1" s="287" customFormat="1" ht="12" hidden="1" customHeight="1">
      <c r="A6010" s="286"/>
    </row>
    <row r="6011" spans="1:1" s="287" customFormat="1" ht="12" hidden="1" customHeight="1">
      <c r="A6011" s="286"/>
    </row>
    <row r="6012" spans="1:1" s="287" customFormat="1" ht="12" hidden="1" customHeight="1">
      <c r="A6012" s="286"/>
    </row>
    <row r="6013" spans="1:1" s="287" customFormat="1" ht="12" hidden="1" customHeight="1">
      <c r="A6013" s="286"/>
    </row>
    <row r="6014" spans="1:1" s="287" customFormat="1" ht="12" hidden="1" customHeight="1">
      <c r="A6014" s="286"/>
    </row>
    <row r="6015" spans="1:1" s="287" customFormat="1" ht="12" hidden="1" customHeight="1">
      <c r="A6015" s="286"/>
    </row>
    <row r="6016" spans="1:1" s="287" customFormat="1" ht="12" hidden="1" customHeight="1">
      <c r="A6016" s="286"/>
    </row>
    <row r="6017" spans="1:1" s="287" customFormat="1" ht="12" hidden="1" customHeight="1">
      <c r="A6017" s="286"/>
    </row>
    <row r="6018" spans="1:1" s="287" customFormat="1" ht="12" hidden="1" customHeight="1">
      <c r="A6018" s="286"/>
    </row>
    <row r="6019" spans="1:1" s="287" customFormat="1" ht="12" hidden="1" customHeight="1">
      <c r="A6019" s="286"/>
    </row>
    <row r="6020" spans="1:1" s="287" customFormat="1" ht="12" hidden="1" customHeight="1">
      <c r="A6020" s="286"/>
    </row>
    <row r="6021" spans="1:1" s="287" customFormat="1" ht="12" hidden="1" customHeight="1">
      <c r="A6021" s="286"/>
    </row>
    <row r="6022" spans="1:1" s="287" customFormat="1" ht="12" hidden="1" customHeight="1">
      <c r="A6022" s="286"/>
    </row>
    <row r="6023" spans="1:1" s="287" customFormat="1" ht="12" hidden="1" customHeight="1">
      <c r="A6023" s="286"/>
    </row>
    <row r="6024" spans="1:1" s="287" customFormat="1" ht="12" hidden="1" customHeight="1">
      <c r="A6024" s="286"/>
    </row>
    <row r="6025" spans="1:1" s="287" customFormat="1" ht="12" hidden="1" customHeight="1">
      <c r="A6025" s="286"/>
    </row>
    <row r="6026" spans="1:1" s="287" customFormat="1" ht="12" hidden="1" customHeight="1">
      <c r="A6026" s="286"/>
    </row>
    <row r="6027" spans="1:1" s="287" customFormat="1" ht="12" hidden="1" customHeight="1">
      <c r="A6027" s="286"/>
    </row>
    <row r="6028" spans="1:1" s="287" customFormat="1" ht="12" hidden="1" customHeight="1">
      <c r="A6028" s="286"/>
    </row>
    <row r="6029" spans="1:1" s="287" customFormat="1" ht="12" hidden="1" customHeight="1">
      <c r="A6029" s="286"/>
    </row>
    <row r="6030" spans="1:1" s="287" customFormat="1" ht="12" hidden="1" customHeight="1">
      <c r="A6030" s="286"/>
    </row>
    <row r="6031" spans="1:1" s="287" customFormat="1" ht="12" hidden="1" customHeight="1">
      <c r="A6031" s="286"/>
    </row>
    <row r="6032" spans="1:1" s="287" customFormat="1" ht="12" hidden="1" customHeight="1">
      <c r="A6032" s="286"/>
    </row>
    <row r="6033" spans="1:1" s="287" customFormat="1" ht="12" hidden="1" customHeight="1">
      <c r="A6033" s="286"/>
    </row>
    <row r="6034" spans="1:1" s="287" customFormat="1" ht="12" hidden="1" customHeight="1">
      <c r="A6034" s="286"/>
    </row>
    <row r="6035" spans="1:1" s="287" customFormat="1" ht="12" hidden="1" customHeight="1">
      <c r="A6035" s="286"/>
    </row>
    <row r="6036" spans="1:1" s="287" customFormat="1" ht="12" hidden="1" customHeight="1">
      <c r="A6036" s="286"/>
    </row>
    <row r="6037" spans="1:1" s="287" customFormat="1" ht="12" hidden="1" customHeight="1">
      <c r="A6037" s="286"/>
    </row>
    <row r="6038" spans="1:1" s="287" customFormat="1" ht="12" hidden="1" customHeight="1">
      <c r="A6038" s="286"/>
    </row>
    <row r="6039" spans="1:1" s="287" customFormat="1" ht="12" hidden="1" customHeight="1">
      <c r="A6039" s="286"/>
    </row>
    <row r="6040" spans="1:1" s="287" customFormat="1" ht="12" hidden="1" customHeight="1">
      <c r="A6040" s="286"/>
    </row>
    <row r="6041" spans="1:1" s="287" customFormat="1" ht="12" hidden="1" customHeight="1">
      <c r="A6041" s="286"/>
    </row>
    <row r="6042" spans="1:1" s="287" customFormat="1" ht="12" hidden="1" customHeight="1">
      <c r="A6042" s="286"/>
    </row>
    <row r="6043" spans="1:1" s="287" customFormat="1" ht="12" hidden="1" customHeight="1">
      <c r="A6043" s="286"/>
    </row>
    <row r="6044" spans="1:1" s="287" customFormat="1" ht="12" hidden="1" customHeight="1">
      <c r="A6044" s="286"/>
    </row>
    <row r="6045" spans="1:1" s="287" customFormat="1" ht="12" hidden="1" customHeight="1">
      <c r="A6045" s="286"/>
    </row>
    <row r="6046" spans="1:1" s="287" customFormat="1" ht="12" hidden="1" customHeight="1">
      <c r="A6046" s="286"/>
    </row>
    <row r="6047" spans="1:1" s="287" customFormat="1" ht="12" hidden="1" customHeight="1">
      <c r="A6047" s="286"/>
    </row>
    <row r="6048" spans="1:1" s="287" customFormat="1" ht="12" hidden="1" customHeight="1">
      <c r="A6048" s="286"/>
    </row>
    <row r="6049" spans="1:1" s="287" customFormat="1" ht="12" hidden="1" customHeight="1">
      <c r="A6049" s="286"/>
    </row>
    <row r="6050" spans="1:1" s="287" customFormat="1" ht="12" hidden="1" customHeight="1">
      <c r="A6050" s="286"/>
    </row>
    <row r="6051" spans="1:1" s="287" customFormat="1" ht="12" hidden="1" customHeight="1">
      <c r="A6051" s="286"/>
    </row>
    <row r="6052" spans="1:1" s="287" customFormat="1" ht="12" hidden="1" customHeight="1">
      <c r="A6052" s="286"/>
    </row>
    <row r="6053" spans="1:1" s="287" customFormat="1" ht="12" hidden="1" customHeight="1">
      <c r="A6053" s="286"/>
    </row>
    <row r="6054" spans="1:1" s="287" customFormat="1" ht="12" hidden="1" customHeight="1">
      <c r="A6054" s="286"/>
    </row>
    <row r="6055" spans="1:1" s="287" customFormat="1" ht="12" hidden="1" customHeight="1">
      <c r="A6055" s="286"/>
    </row>
    <row r="6056" spans="1:1" s="287" customFormat="1" ht="12" hidden="1" customHeight="1">
      <c r="A6056" s="286"/>
    </row>
    <row r="6057" spans="1:1" s="287" customFormat="1" ht="12" hidden="1" customHeight="1">
      <c r="A6057" s="286"/>
    </row>
    <row r="6058" spans="1:1" s="287" customFormat="1" ht="12" hidden="1" customHeight="1">
      <c r="A6058" s="286"/>
    </row>
    <row r="6059" spans="1:1" s="287" customFormat="1" ht="12" hidden="1" customHeight="1">
      <c r="A6059" s="286"/>
    </row>
    <row r="6060" spans="1:1" s="287" customFormat="1" ht="12" hidden="1" customHeight="1">
      <c r="A6060" s="286"/>
    </row>
    <row r="6061" spans="1:1" s="287" customFormat="1" ht="12" hidden="1" customHeight="1">
      <c r="A6061" s="286"/>
    </row>
    <row r="6062" spans="1:1" s="287" customFormat="1" ht="12" hidden="1" customHeight="1">
      <c r="A6062" s="286"/>
    </row>
    <row r="6063" spans="1:1" s="287" customFormat="1" ht="12" hidden="1" customHeight="1">
      <c r="A6063" s="286"/>
    </row>
    <row r="6064" spans="1:1" s="287" customFormat="1" ht="12" hidden="1" customHeight="1">
      <c r="A6064" s="286"/>
    </row>
    <row r="6065" spans="1:1" s="287" customFormat="1" ht="12" hidden="1" customHeight="1">
      <c r="A6065" s="286"/>
    </row>
    <row r="6066" spans="1:1" s="287" customFormat="1" ht="12" hidden="1" customHeight="1">
      <c r="A6066" s="286"/>
    </row>
    <row r="6067" spans="1:1" s="287" customFormat="1" ht="12" hidden="1" customHeight="1">
      <c r="A6067" s="286"/>
    </row>
    <row r="6068" spans="1:1" s="287" customFormat="1" ht="12" hidden="1" customHeight="1">
      <c r="A6068" s="286"/>
    </row>
    <row r="6069" spans="1:1" s="287" customFormat="1" ht="12" hidden="1" customHeight="1">
      <c r="A6069" s="286"/>
    </row>
    <row r="6070" spans="1:1" s="287" customFormat="1" ht="12" hidden="1" customHeight="1">
      <c r="A6070" s="286"/>
    </row>
    <row r="6071" spans="1:1" s="287" customFormat="1" ht="12" hidden="1" customHeight="1">
      <c r="A6071" s="286"/>
    </row>
    <row r="6072" spans="1:1" s="287" customFormat="1" ht="12" hidden="1" customHeight="1">
      <c r="A6072" s="286"/>
    </row>
    <row r="6073" spans="1:1" s="287" customFormat="1" ht="12" hidden="1" customHeight="1">
      <c r="A6073" s="286"/>
    </row>
    <row r="6074" spans="1:1" s="287" customFormat="1" ht="12" hidden="1" customHeight="1">
      <c r="A6074" s="286"/>
    </row>
    <row r="6075" spans="1:1" s="287" customFormat="1" ht="12" hidden="1" customHeight="1">
      <c r="A6075" s="286"/>
    </row>
    <row r="6076" spans="1:1" s="287" customFormat="1" ht="12" hidden="1" customHeight="1">
      <c r="A6076" s="286"/>
    </row>
    <row r="6077" spans="1:1" s="287" customFormat="1" ht="12" hidden="1" customHeight="1">
      <c r="A6077" s="286"/>
    </row>
    <row r="6078" spans="1:1" s="287" customFormat="1" ht="12" hidden="1" customHeight="1">
      <c r="A6078" s="286"/>
    </row>
    <row r="6079" spans="1:1" s="287" customFormat="1" ht="12" hidden="1" customHeight="1">
      <c r="A6079" s="286"/>
    </row>
    <row r="6080" spans="1:1" s="287" customFormat="1" ht="12" hidden="1" customHeight="1">
      <c r="A6080" s="286"/>
    </row>
    <row r="6081" spans="1:1" s="287" customFormat="1" ht="12" hidden="1" customHeight="1">
      <c r="A6081" s="286"/>
    </row>
    <row r="6082" spans="1:1" s="287" customFormat="1" ht="12" hidden="1" customHeight="1">
      <c r="A6082" s="286"/>
    </row>
    <row r="6083" spans="1:1" s="287" customFormat="1" ht="12" hidden="1" customHeight="1">
      <c r="A6083" s="286"/>
    </row>
    <row r="6084" spans="1:1" s="287" customFormat="1" ht="12" hidden="1" customHeight="1">
      <c r="A6084" s="286"/>
    </row>
    <row r="6085" spans="1:1" s="287" customFormat="1" ht="12" hidden="1" customHeight="1">
      <c r="A6085" s="286"/>
    </row>
    <row r="6086" spans="1:1" s="287" customFormat="1" ht="12" hidden="1" customHeight="1">
      <c r="A6086" s="286"/>
    </row>
    <row r="6087" spans="1:1" s="287" customFormat="1" ht="12" hidden="1" customHeight="1">
      <c r="A6087" s="286"/>
    </row>
    <row r="6088" spans="1:1" s="287" customFormat="1" ht="12" hidden="1" customHeight="1">
      <c r="A6088" s="286"/>
    </row>
    <row r="6089" spans="1:1" s="287" customFormat="1" ht="12" hidden="1" customHeight="1">
      <c r="A6089" s="286"/>
    </row>
    <row r="6090" spans="1:1" s="287" customFormat="1" ht="12" hidden="1" customHeight="1">
      <c r="A6090" s="286"/>
    </row>
    <row r="6091" spans="1:1" s="287" customFormat="1" ht="12" hidden="1" customHeight="1">
      <c r="A6091" s="286"/>
    </row>
    <row r="6092" spans="1:1" s="287" customFormat="1" ht="12" hidden="1" customHeight="1">
      <c r="A6092" s="286"/>
    </row>
    <row r="6093" spans="1:1" s="287" customFormat="1" ht="12" hidden="1" customHeight="1">
      <c r="A6093" s="286"/>
    </row>
    <row r="6094" spans="1:1" s="287" customFormat="1" ht="12" hidden="1" customHeight="1">
      <c r="A6094" s="286"/>
    </row>
    <row r="6095" spans="1:1" s="287" customFormat="1" ht="12" hidden="1" customHeight="1">
      <c r="A6095" s="286"/>
    </row>
    <row r="6096" spans="1:1" s="287" customFormat="1" ht="12" hidden="1" customHeight="1">
      <c r="A6096" s="286"/>
    </row>
    <row r="6097" spans="1:1" s="287" customFormat="1" ht="12" hidden="1" customHeight="1">
      <c r="A6097" s="286"/>
    </row>
    <row r="6098" spans="1:1" s="287" customFormat="1" ht="12" hidden="1" customHeight="1">
      <c r="A6098" s="286"/>
    </row>
    <row r="6099" spans="1:1" s="287" customFormat="1" ht="12" hidden="1" customHeight="1">
      <c r="A6099" s="286"/>
    </row>
    <row r="6100" spans="1:1" s="287" customFormat="1" ht="12" hidden="1" customHeight="1">
      <c r="A6100" s="286"/>
    </row>
    <row r="6101" spans="1:1" s="287" customFormat="1" ht="12" hidden="1" customHeight="1">
      <c r="A6101" s="286"/>
    </row>
    <row r="6102" spans="1:1" s="287" customFormat="1" ht="12" hidden="1" customHeight="1">
      <c r="A6102" s="286"/>
    </row>
    <row r="6103" spans="1:1" s="287" customFormat="1" ht="12" hidden="1" customHeight="1">
      <c r="A6103" s="286"/>
    </row>
    <row r="6104" spans="1:1" s="287" customFormat="1" ht="12" hidden="1" customHeight="1">
      <c r="A6104" s="286"/>
    </row>
    <row r="6105" spans="1:1" s="287" customFormat="1" ht="12" hidden="1" customHeight="1">
      <c r="A6105" s="286"/>
    </row>
    <row r="6106" spans="1:1" s="287" customFormat="1" ht="12" hidden="1" customHeight="1">
      <c r="A6106" s="286"/>
    </row>
    <row r="6107" spans="1:1" s="287" customFormat="1" ht="12" hidden="1" customHeight="1">
      <c r="A6107" s="286"/>
    </row>
    <row r="6108" spans="1:1" s="287" customFormat="1" ht="12" hidden="1" customHeight="1">
      <c r="A6108" s="286"/>
    </row>
    <row r="6109" spans="1:1" s="287" customFormat="1" ht="12" hidden="1" customHeight="1">
      <c r="A6109" s="286"/>
    </row>
    <row r="6110" spans="1:1" s="287" customFormat="1" ht="12" hidden="1" customHeight="1">
      <c r="A6110" s="286"/>
    </row>
    <row r="6111" spans="1:1" s="287" customFormat="1" ht="12" hidden="1" customHeight="1">
      <c r="A6111" s="286"/>
    </row>
    <row r="6112" spans="1:1" s="287" customFormat="1" ht="12" hidden="1" customHeight="1">
      <c r="A6112" s="286"/>
    </row>
    <row r="6113" spans="1:1" s="287" customFormat="1" ht="12" hidden="1" customHeight="1">
      <c r="A6113" s="286"/>
    </row>
    <row r="6114" spans="1:1" s="287" customFormat="1" ht="12" hidden="1" customHeight="1">
      <c r="A6114" s="286"/>
    </row>
    <row r="6115" spans="1:1" s="287" customFormat="1" ht="12" hidden="1" customHeight="1">
      <c r="A6115" s="286"/>
    </row>
    <row r="6116" spans="1:1" s="287" customFormat="1" ht="12" hidden="1" customHeight="1">
      <c r="A6116" s="286"/>
    </row>
    <row r="6117" spans="1:1" s="287" customFormat="1" ht="12" hidden="1" customHeight="1">
      <c r="A6117" s="286"/>
    </row>
    <row r="6118" spans="1:1" s="287" customFormat="1" ht="12" hidden="1" customHeight="1">
      <c r="A6118" s="286"/>
    </row>
    <row r="6119" spans="1:1" s="287" customFormat="1" ht="12" hidden="1" customHeight="1">
      <c r="A6119" s="286"/>
    </row>
    <row r="6120" spans="1:1" s="287" customFormat="1" ht="12" hidden="1" customHeight="1">
      <c r="A6120" s="286"/>
    </row>
    <row r="6121" spans="1:1" s="287" customFormat="1" ht="12" hidden="1" customHeight="1">
      <c r="A6121" s="286"/>
    </row>
    <row r="6122" spans="1:1" s="287" customFormat="1" ht="12" hidden="1" customHeight="1">
      <c r="A6122" s="286"/>
    </row>
    <row r="6123" spans="1:1" s="287" customFormat="1" ht="12" hidden="1" customHeight="1">
      <c r="A6123" s="286"/>
    </row>
    <row r="6124" spans="1:1" s="287" customFormat="1" ht="12" hidden="1" customHeight="1">
      <c r="A6124" s="286"/>
    </row>
    <row r="6125" spans="1:1" s="287" customFormat="1" ht="12" hidden="1" customHeight="1">
      <c r="A6125" s="286"/>
    </row>
    <row r="6126" spans="1:1" s="287" customFormat="1" ht="12" hidden="1" customHeight="1">
      <c r="A6126" s="286"/>
    </row>
    <row r="6127" spans="1:1" s="287" customFormat="1" ht="12" hidden="1" customHeight="1">
      <c r="A6127" s="286"/>
    </row>
    <row r="6128" spans="1:1" s="287" customFormat="1" ht="12" hidden="1" customHeight="1">
      <c r="A6128" s="286"/>
    </row>
    <row r="6129" spans="1:1" s="287" customFormat="1" ht="12" hidden="1" customHeight="1">
      <c r="A6129" s="286"/>
    </row>
    <row r="6130" spans="1:1" s="287" customFormat="1" ht="12" hidden="1" customHeight="1">
      <c r="A6130" s="286"/>
    </row>
    <row r="6131" spans="1:1" s="287" customFormat="1" ht="12" hidden="1" customHeight="1">
      <c r="A6131" s="286"/>
    </row>
    <row r="6132" spans="1:1" s="287" customFormat="1" ht="12" hidden="1" customHeight="1">
      <c r="A6132" s="286"/>
    </row>
    <row r="6133" spans="1:1" s="287" customFormat="1" ht="12" hidden="1" customHeight="1">
      <c r="A6133" s="286"/>
    </row>
    <row r="6134" spans="1:1" s="287" customFormat="1" ht="12" hidden="1" customHeight="1">
      <c r="A6134" s="286"/>
    </row>
    <row r="6135" spans="1:1" s="287" customFormat="1" ht="12" hidden="1" customHeight="1">
      <c r="A6135" s="286"/>
    </row>
    <row r="6136" spans="1:1" s="287" customFormat="1" ht="12" hidden="1" customHeight="1">
      <c r="A6136" s="286"/>
    </row>
    <row r="6137" spans="1:1" s="287" customFormat="1" ht="12" hidden="1" customHeight="1">
      <c r="A6137" s="286"/>
    </row>
    <row r="6138" spans="1:1" s="287" customFormat="1" ht="12" hidden="1" customHeight="1">
      <c r="A6138" s="286"/>
    </row>
    <row r="6139" spans="1:1" s="287" customFormat="1" ht="12" hidden="1" customHeight="1">
      <c r="A6139" s="286"/>
    </row>
    <row r="6140" spans="1:1" s="287" customFormat="1" ht="12" hidden="1" customHeight="1">
      <c r="A6140" s="286"/>
    </row>
    <row r="6141" spans="1:1" s="287" customFormat="1" ht="12" hidden="1" customHeight="1">
      <c r="A6141" s="286"/>
    </row>
    <row r="6142" spans="1:1" s="287" customFormat="1" ht="12" hidden="1" customHeight="1">
      <c r="A6142" s="286"/>
    </row>
    <row r="6143" spans="1:1" s="287" customFormat="1" ht="12" hidden="1" customHeight="1">
      <c r="A6143" s="286"/>
    </row>
    <row r="6144" spans="1:1" s="287" customFormat="1" ht="12" hidden="1" customHeight="1">
      <c r="A6144" s="286"/>
    </row>
    <row r="6145" spans="1:1" s="287" customFormat="1" ht="12" hidden="1" customHeight="1">
      <c r="A6145" s="286"/>
    </row>
    <row r="6146" spans="1:1" s="287" customFormat="1" ht="12" hidden="1" customHeight="1">
      <c r="A6146" s="286"/>
    </row>
    <row r="6147" spans="1:1" s="287" customFormat="1" ht="12" hidden="1" customHeight="1">
      <c r="A6147" s="286"/>
    </row>
    <row r="6148" spans="1:1" s="287" customFormat="1" ht="12" hidden="1" customHeight="1">
      <c r="A6148" s="286"/>
    </row>
    <row r="6149" spans="1:1" s="287" customFormat="1" ht="12" hidden="1" customHeight="1">
      <c r="A6149" s="286"/>
    </row>
    <row r="6150" spans="1:1" s="287" customFormat="1" ht="12" hidden="1" customHeight="1">
      <c r="A6150" s="286"/>
    </row>
    <row r="6151" spans="1:1" s="287" customFormat="1" ht="12" hidden="1" customHeight="1">
      <c r="A6151" s="286"/>
    </row>
    <row r="6152" spans="1:1" s="287" customFormat="1" ht="12" hidden="1" customHeight="1">
      <c r="A6152" s="286"/>
    </row>
    <row r="6153" spans="1:1" s="287" customFormat="1" ht="12" hidden="1" customHeight="1">
      <c r="A6153" s="286"/>
    </row>
    <row r="6154" spans="1:1" s="287" customFormat="1" ht="12" hidden="1" customHeight="1">
      <c r="A6154" s="286"/>
    </row>
    <row r="6155" spans="1:1" s="287" customFormat="1" ht="12" hidden="1" customHeight="1">
      <c r="A6155" s="286"/>
    </row>
    <row r="6156" spans="1:1" s="287" customFormat="1" ht="12" hidden="1" customHeight="1">
      <c r="A6156" s="286"/>
    </row>
    <row r="6157" spans="1:1" s="287" customFormat="1" ht="12" hidden="1" customHeight="1">
      <c r="A6157" s="286"/>
    </row>
    <row r="6158" spans="1:1" s="287" customFormat="1" ht="12" hidden="1" customHeight="1">
      <c r="A6158" s="286"/>
    </row>
    <row r="6159" spans="1:1" s="287" customFormat="1" ht="12" hidden="1" customHeight="1">
      <c r="A6159" s="286"/>
    </row>
    <row r="6160" spans="1:1" s="287" customFormat="1" ht="12" hidden="1" customHeight="1">
      <c r="A6160" s="286"/>
    </row>
    <row r="6161" spans="1:1" s="287" customFormat="1" ht="12" hidden="1" customHeight="1">
      <c r="A6161" s="286"/>
    </row>
    <row r="6162" spans="1:1" s="287" customFormat="1" ht="12" hidden="1" customHeight="1">
      <c r="A6162" s="286"/>
    </row>
    <row r="6163" spans="1:1" s="287" customFormat="1" ht="12" hidden="1" customHeight="1">
      <c r="A6163" s="286"/>
    </row>
    <row r="6164" spans="1:1" s="287" customFormat="1" ht="12" hidden="1" customHeight="1">
      <c r="A6164" s="286"/>
    </row>
    <row r="6165" spans="1:1" s="287" customFormat="1" ht="12" hidden="1" customHeight="1">
      <c r="A6165" s="286"/>
    </row>
    <row r="6166" spans="1:1" s="287" customFormat="1" ht="12" hidden="1" customHeight="1">
      <c r="A6166" s="286"/>
    </row>
    <row r="6167" spans="1:1" s="287" customFormat="1" ht="12" hidden="1" customHeight="1">
      <c r="A6167" s="286"/>
    </row>
    <row r="6168" spans="1:1" s="287" customFormat="1" ht="12" hidden="1" customHeight="1">
      <c r="A6168" s="286"/>
    </row>
    <row r="6169" spans="1:1" s="287" customFormat="1" ht="12" hidden="1" customHeight="1">
      <c r="A6169" s="286"/>
    </row>
    <row r="6170" spans="1:1" s="287" customFormat="1" ht="12" hidden="1" customHeight="1">
      <c r="A6170" s="286"/>
    </row>
    <row r="6171" spans="1:1" s="287" customFormat="1" ht="12" hidden="1" customHeight="1">
      <c r="A6171" s="286"/>
    </row>
    <row r="6172" spans="1:1" s="287" customFormat="1" ht="12" hidden="1" customHeight="1">
      <c r="A6172" s="286"/>
    </row>
    <row r="6173" spans="1:1" s="287" customFormat="1" ht="12" hidden="1" customHeight="1">
      <c r="A6173" s="286"/>
    </row>
    <row r="6174" spans="1:1" s="287" customFormat="1" ht="12" hidden="1" customHeight="1">
      <c r="A6174" s="286"/>
    </row>
    <row r="6175" spans="1:1" s="287" customFormat="1" ht="12" hidden="1" customHeight="1">
      <c r="A6175" s="286"/>
    </row>
    <row r="6176" spans="1:1" s="287" customFormat="1" ht="12" hidden="1" customHeight="1">
      <c r="A6176" s="286"/>
    </row>
    <row r="6177" spans="1:1" s="287" customFormat="1" ht="12" hidden="1" customHeight="1">
      <c r="A6177" s="286"/>
    </row>
    <row r="6178" spans="1:1" s="287" customFormat="1" ht="12" hidden="1" customHeight="1">
      <c r="A6178" s="286"/>
    </row>
    <row r="6179" spans="1:1" s="287" customFormat="1" ht="12" hidden="1" customHeight="1">
      <c r="A6179" s="286"/>
    </row>
    <row r="6180" spans="1:1" s="287" customFormat="1" ht="12" hidden="1" customHeight="1">
      <c r="A6180" s="286"/>
    </row>
    <row r="6181" spans="1:1" s="287" customFormat="1" ht="12" hidden="1" customHeight="1">
      <c r="A6181" s="286"/>
    </row>
    <row r="6182" spans="1:1" s="287" customFormat="1" ht="12" hidden="1" customHeight="1">
      <c r="A6182" s="286"/>
    </row>
    <row r="6183" spans="1:1" s="287" customFormat="1" ht="12" hidden="1" customHeight="1">
      <c r="A6183" s="286"/>
    </row>
    <row r="6184" spans="1:1" s="287" customFormat="1" ht="12" hidden="1" customHeight="1">
      <c r="A6184" s="286"/>
    </row>
    <row r="6185" spans="1:1" s="287" customFormat="1" ht="12" hidden="1" customHeight="1">
      <c r="A6185" s="286"/>
    </row>
    <row r="6186" spans="1:1" s="287" customFormat="1" ht="12" hidden="1" customHeight="1">
      <c r="A6186" s="286"/>
    </row>
    <row r="6187" spans="1:1" s="287" customFormat="1" ht="12" hidden="1" customHeight="1">
      <c r="A6187" s="286"/>
    </row>
    <row r="6188" spans="1:1" s="287" customFormat="1" ht="12" hidden="1" customHeight="1">
      <c r="A6188" s="286"/>
    </row>
    <row r="6189" spans="1:1" s="287" customFormat="1" ht="12" hidden="1" customHeight="1">
      <c r="A6189" s="286"/>
    </row>
    <row r="6190" spans="1:1" s="287" customFormat="1" ht="12" hidden="1" customHeight="1">
      <c r="A6190" s="286"/>
    </row>
    <row r="6191" spans="1:1" s="287" customFormat="1" ht="12" hidden="1" customHeight="1">
      <c r="A6191" s="286"/>
    </row>
    <row r="6192" spans="1:1" s="287" customFormat="1" ht="12" hidden="1" customHeight="1">
      <c r="A6192" s="286"/>
    </row>
    <row r="6193" spans="1:1" s="287" customFormat="1" ht="12" hidden="1" customHeight="1">
      <c r="A6193" s="286"/>
    </row>
    <row r="6194" spans="1:1" s="287" customFormat="1" ht="12" hidden="1" customHeight="1">
      <c r="A6194" s="286"/>
    </row>
    <row r="6195" spans="1:1" s="287" customFormat="1" ht="12" hidden="1" customHeight="1">
      <c r="A6195" s="286"/>
    </row>
    <row r="6196" spans="1:1" s="287" customFormat="1" ht="12" hidden="1" customHeight="1">
      <c r="A6196" s="286"/>
    </row>
    <row r="6197" spans="1:1" s="287" customFormat="1" ht="12" hidden="1" customHeight="1">
      <c r="A6197" s="286"/>
    </row>
    <row r="6198" spans="1:1" s="287" customFormat="1" ht="12" hidden="1" customHeight="1">
      <c r="A6198" s="286"/>
    </row>
    <row r="6199" spans="1:1" s="287" customFormat="1" ht="12" hidden="1" customHeight="1">
      <c r="A6199" s="286"/>
    </row>
    <row r="6200" spans="1:1" s="287" customFormat="1" ht="12" hidden="1" customHeight="1">
      <c r="A6200" s="286"/>
    </row>
    <row r="6201" spans="1:1" s="287" customFormat="1" ht="12" hidden="1" customHeight="1">
      <c r="A6201" s="286"/>
    </row>
    <row r="6202" spans="1:1" s="287" customFormat="1" ht="12" hidden="1" customHeight="1">
      <c r="A6202" s="286"/>
    </row>
    <row r="6203" spans="1:1" s="287" customFormat="1" ht="12" hidden="1" customHeight="1">
      <c r="A6203" s="286"/>
    </row>
    <row r="6204" spans="1:1" s="287" customFormat="1" ht="12" hidden="1" customHeight="1">
      <c r="A6204" s="286"/>
    </row>
    <row r="6205" spans="1:1" s="287" customFormat="1" ht="12" hidden="1" customHeight="1">
      <c r="A6205" s="286"/>
    </row>
    <row r="6206" spans="1:1" s="287" customFormat="1" ht="12" hidden="1" customHeight="1">
      <c r="A6206" s="286"/>
    </row>
    <row r="6207" spans="1:1" s="287" customFormat="1" ht="12" hidden="1" customHeight="1">
      <c r="A6207" s="286"/>
    </row>
    <row r="6208" spans="1:1" s="287" customFormat="1" ht="12" hidden="1" customHeight="1">
      <c r="A6208" s="286"/>
    </row>
    <row r="6209" spans="1:1" s="287" customFormat="1" ht="12" hidden="1" customHeight="1">
      <c r="A6209" s="286"/>
    </row>
    <row r="6210" spans="1:1" s="287" customFormat="1" ht="12" hidden="1" customHeight="1">
      <c r="A6210" s="286"/>
    </row>
    <row r="6211" spans="1:1" s="287" customFormat="1" ht="12" hidden="1" customHeight="1">
      <c r="A6211" s="286"/>
    </row>
    <row r="6212" spans="1:1" s="287" customFormat="1" ht="12" hidden="1" customHeight="1">
      <c r="A6212" s="286"/>
    </row>
    <row r="6213" spans="1:1" s="287" customFormat="1" ht="12" hidden="1" customHeight="1">
      <c r="A6213" s="286"/>
    </row>
    <row r="6214" spans="1:1" s="287" customFormat="1" ht="12" hidden="1" customHeight="1">
      <c r="A6214" s="286"/>
    </row>
    <row r="6215" spans="1:1" s="287" customFormat="1" ht="12" hidden="1" customHeight="1">
      <c r="A6215" s="286"/>
    </row>
    <row r="6216" spans="1:1" s="287" customFormat="1" ht="12" hidden="1" customHeight="1">
      <c r="A6216" s="286"/>
    </row>
    <row r="6217" spans="1:1" s="287" customFormat="1" ht="12" hidden="1" customHeight="1">
      <c r="A6217" s="286"/>
    </row>
    <row r="6218" spans="1:1" s="287" customFormat="1" ht="12" hidden="1" customHeight="1">
      <c r="A6218" s="286"/>
    </row>
    <row r="6219" spans="1:1" s="287" customFormat="1" ht="12" hidden="1" customHeight="1">
      <c r="A6219" s="286"/>
    </row>
    <row r="6220" spans="1:1" s="287" customFormat="1" ht="12" hidden="1" customHeight="1">
      <c r="A6220" s="286"/>
    </row>
    <row r="6221" spans="1:1" s="287" customFormat="1" ht="12" hidden="1" customHeight="1">
      <c r="A6221" s="286"/>
    </row>
    <row r="6222" spans="1:1" s="287" customFormat="1" ht="12" hidden="1" customHeight="1">
      <c r="A6222" s="286"/>
    </row>
    <row r="6223" spans="1:1" s="287" customFormat="1" ht="12" hidden="1" customHeight="1">
      <c r="A6223" s="286"/>
    </row>
    <row r="6224" spans="1:1" s="287" customFormat="1" ht="12" hidden="1" customHeight="1">
      <c r="A6224" s="286"/>
    </row>
    <row r="6225" spans="1:1" s="287" customFormat="1" ht="12" hidden="1" customHeight="1">
      <c r="A6225" s="286"/>
    </row>
    <row r="6226" spans="1:1" s="287" customFormat="1" ht="12" hidden="1" customHeight="1">
      <c r="A6226" s="286"/>
    </row>
    <row r="6227" spans="1:1" s="287" customFormat="1" ht="12" hidden="1" customHeight="1">
      <c r="A6227" s="286"/>
    </row>
    <row r="6228" spans="1:1" s="287" customFormat="1" ht="12" hidden="1" customHeight="1">
      <c r="A6228" s="286"/>
    </row>
    <row r="6229" spans="1:1" s="287" customFormat="1" ht="12" hidden="1" customHeight="1">
      <c r="A6229" s="286"/>
    </row>
    <row r="6230" spans="1:1" s="287" customFormat="1" ht="12" hidden="1" customHeight="1">
      <c r="A6230" s="286"/>
    </row>
    <row r="6231" spans="1:1" s="287" customFormat="1" ht="12" hidden="1" customHeight="1">
      <c r="A6231" s="286"/>
    </row>
    <row r="6232" spans="1:1" s="287" customFormat="1" ht="12" hidden="1" customHeight="1">
      <c r="A6232" s="286"/>
    </row>
    <row r="6233" spans="1:1" s="287" customFormat="1" ht="12" hidden="1" customHeight="1">
      <c r="A6233" s="286"/>
    </row>
    <row r="6234" spans="1:1" s="287" customFormat="1" ht="12" hidden="1" customHeight="1">
      <c r="A6234" s="286"/>
    </row>
    <row r="6235" spans="1:1" s="287" customFormat="1" ht="12" hidden="1" customHeight="1">
      <c r="A6235" s="286"/>
    </row>
    <row r="6236" spans="1:1" s="287" customFormat="1" ht="12" hidden="1" customHeight="1">
      <c r="A6236" s="286"/>
    </row>
    <row r="6237" spans="1:1" s="287" customFormat="1" ht="12" hidden="1" customHeight="1">
      <c r="A6237" s="286"/>
    </row>
    <row r="6238" spans="1:1" s="287" customFormat="1" ht="12" hidden="1" customHeight="1">
      <c r="A6238" s="286"/>
    </row>
    <row r="6239" spans="1:1" s="287" customFormat="1" ht="12" hidden="1" customHeight="1">
      <c r="A6239" s="286"/>
    </row>
    <row r="6240" spans="1:1" s="287" customFormat="1" ht="12" hidden="1" customHeight="1">
      <c r="A6240" s="286"/>
    </row>
    <row r="6241" spans="1:1" s="287" customFormat="1" ht="12" hidden="1" customHeight="1">
      <c r="A6241" s="286"/>
    </row>
    <row r="6242" spans="1:1" s="287" customFormat="1" ht="12" hidden="1" customHeight="1">
      <c r="A6242" s="286"/>
    </row>
    <row r="6243" spans="1:1" s="287" customFormat="1" ht="12" hidden="1" customHeight="1">
      <c r="A6243" s="286"/>
    </row>
    <row r="6244" spans="1:1" s="287" customFormat="1" ht="12" hidden="1" customHeight="1">
      <c r="A6244" s="286"/>
    </row>
    <row r="6245" spans="1:1" s="287" customFormat="1" ht="12" hidden="1" customHeight="1">
      <c r="A6245" s="286"/>
    </row>
    <row r="6246" spans="1:1" s="287" customFormat="1" ht="12" hidden="1" customHeight="1">
      <c r="A6246" s="286"/>
    </row>
    <row r="6247" spans="1:1" s="287" customFormat="1" ht="12" hidden="1" customHeight="1">
      <c r="A6247" s="286"/>
    </row>
    <row r="6248" spans="1:1" s="287" customFormat="1" ht="12" hidden="1" customHeight="1">
      <c r="A6248" s="286"/>
    </row>
    <row r="6249" spans="1:1" s="287" customFormat="1" ht="12" hidden="1" customHeight="1">
      <c r="A6249" s="286"/>
    </row>
    <row r="6250" spans="1:1" s="287" customFormat="1" ht="12" hidden="1" customHeight="1">
      <c r="A6250" s="286"/>
    </row>
    <row r="6251" spans="1:1" s="287" customFormat="1" ht="12" hidden="1" customHeight="1">
      <c r="A6251" s="286"/>
    </row>
    <row r="6252" spans="1:1" s="287" customFormat="1" ht="12" hidden="1" customHeight="1">
      <c r="A6252" s="286"/>
    </row>
    <row r="6253" spans="1:1" s="287" customFormat="1" ht="12" hidden="1" customHeight="1">
      <c r="A6253" s="286"/>
    </row>
    <row r="6254" spans="1:1" s="287" customFormat="1" ht="12" hidden="1" customHeight="1">
      <c r="A6254" s="286"/>
    </row>
    <row r="6255" spans="1:1" s="287" customFormat="1" ht="12" hidden="1" customHeight="1">
      <c r="A6255" s="286"/>
    </row>
    <row r="6256" spans="1:1" s="287" customFormat="1" ht="12" hidden="1" customHeight="1">
      <c r="A6256" s="286"/>
    </row>
    <row r="6257" spans="1:1" s="287" customFormat="1" ht="12" hidden="1" customHeight="1">
      <c r="A6257" s="286"/>
    </row>
    <row r="6258" spans="1:1" s="287" customFormat="1" ht="12" hidden="1" customHeight="1">
      <c r="A6258" s="286"/>
    </row>
    <row r="6259" spans="1:1" s="287" customFormat="1" ht="12" hidden="1" customHeight="1">
      <c r="A6259" s="286"/>
    </row>
    <row r="6260" spans="1:1" s="287" customFormat="1" ht="12" hidden="1" customHeight="1">
      <c r="A6260" s="286"/>
    </row>
    <row r="6261" spans="1:1" s="287" customFormat="1" ht="12" hidden="1" customHeight="1">
      <c r="A6261" s="286"/>
    </row>
    <row r="6262" spans="1:1" s="287" customFormat="1" ht="12" hidden="1" customHeight="1">
      <c r="A6262" s="286"/>
    </row>
    <row r="6263" spans="1:1" s="287" customFormat="1" ht="12" hidden="1" customHeight="1">
      <c r="A6263" s="286"/>
    </row>
    <row r="6264" spans="1:1" s="287" customFormat="1" ht="12" hidden="1" customHeight="1">
      <c r="A6264" s="286"/>
    </row>
    <row r="6265" spans="1:1" s="287" customFormat="1" ht="12" hidden="1" customHeight="1">
      <c r="A6265" s="286"/>
    </row>
    <row r="6266" spans="1:1" s="287" customFormat="1" ht="12" hidden="1" customHeight="1">
      <c r="A6266" s="286"/>
    </row>
    <row r="6267" spans="1:1" s="287" customFormat="1" ht="12" hidden="1" customHeight="1">
      <c r="A6267" s="286"/>
    </row>
    <row r="6268" spans="1:1" s="287" customFormat="1" ht="12" hidden="1" customHeight="1">
      <c r="A6268" s="286"/>
    </row>
    <row r="6269" spans="1:1" s="287" customFormat="1" ht="12" hidden="1" customHeight="1">
      <c r="A6269" s="286"/>
    </row>
    <row r="6270" spans="1:1" s="287" customFormat="1" ht="12" hidden="1" customHeight="1">
      <c r="A6270" s="286"/>
    </row>
    <row r="6271" spans="1:1" s="287" customFormat="1" ht="12" hidden="1" customHeight="1">
      <c r="A6271" s="286"/>
    </row>
    <row r="6272" spans="1:1" s="287" customFormat="1" ht="12" hidden="1" customHeight="1">
      <c r="A6272" s="286"/>
    </row>
    <row r="6273" spans="1:1" s="287" customFormat="1" ht="12" hidden="1" customHeight="1">
      <c r="A6273" s="286"/>
    </row>
    <row r="6274" spans="1:1" s="287" customFormat="1" ht="12" hidden="1" customHeight="1">
      <c r="A6274" s="286"/>
    </row>
    <row r="6275" spans="1:1" s="287" customFormat="1" ht="12" hidden="1" customHeight="1">
      <c r="A6275" s="286"/>
    </row>
    <row r="6276" spans="1:1" s="287" customFormat="1" ht="12" hidden="1" customHeight="1">
      <c r="A6276" s="286"/>
    </row>
    <row r="6277" spans="1:1" s="287" customFormat="1" ht="12" hidden="1" customHeight="1">
      <c r="A6277" s="286"/>
    </row>
    <row r="6278" spans="1:1" s="287" customFormat="1" ht="12" hidden="1" customHeight="1">
      <c r="A6278" s="286"/>
    </row>
    <row r="6279" spans="1:1" s="287" customFormat="1" ht="12" hidden="1" customHeight="1">
      <c r="A6279" s="286"/>
    </row>
    <row r="6280" spans="1:1" s="287" customFormat="1" ht="12" hidden="1" customHeight="1">
      <c r="A6280" s="286"/>
    </row>
    <row r="6281" spans="1:1" s="287" customFormat="1" ht="12" hidden="1" customHeight="1">
      <c r="A6281" s="286"/>
    </row>
    <row r="6282" spans="1:1" s="287" customFormat="1" ht="12" hidden="1" customHeight="1">
      <c r="A6282" s="286"/>
    </row>
    <row r="6283" spans="1:1" s="287" customFormat="1" ht="12" hidden="1" customHeight="1">
      <c r="A6283" s="286"/>
    </row>
    <row r="6284" spans="1:1" s="287" customFormat="1" ht="12" hidden="1" customHeight="1">
      <c r="A6284" s="286"/>
    </row>
    <row r="6285" spans="1:1" s="287" customFormat="1" ht="12" hidden="1" customHeight="1">
      <c r="A6285" s="286"/>
    </row>
    <row r="6286" spans="1:1" s="287" customFormat="1" ht="12" hidden="1" customHeight="1">
      <c r="A6286" s="286"/>
    </row>
    <row r="6287" spans="1:1" s="287" customFormat="1" ht="12" hidden="1" customHeight="1">
      <c r="A6287" s="286"/>
    </row>
    <row r="6288" spans="1:1" s="287" customFormat="1" ht="12" hidden="1" customHeight="1">
      <c r="A6288" s="286"/>
    </row>
    <row r="6289" spans="1:1" s="287" customFormat="1" ht="12" hidden="1" customHeight="1">
      <c r="A6289" s="286"/>
    </row>
    <row r="6290" spans="1:1" s="287" customFormat="1" ht="12" hidden="1" customHeight="1">
      <c r="A6290" s="286"/>
    </row>
    <row r="6291" spans="1:1" s="287" customFormat="1" ht="12" hidden="1" customHeight="1">
      <c r="A6291" s="286"/>
    </row>
    <row r="6292" spans="1:1" s="287" customFormat="1" ht="12" hidden="1" customHeight="1">
      <c r="A6292" s="286"/>
    </row>
    <row r="6293" spans="1:1" s="287" customFormat="1" ht="12" hidden="1" customHeight="1">
      <c r="A6293" s="286"/>
    </row>
    <row r="6294" spans="1:1" s="287" customFormat="1" ht="12" hidden="1" customHeight="1">
      <c r="A6294" s="286"/>
    </row>
    <row r="6295" spans="1:1" s="287" customFormat="1" ht="12" hidden="1" customHeight="1">
      <c r="A6295" s="286"/>
    </row>
    <row r="6296" spans="1:1" s="287" customFormat="1" ht="12" hidden="1" customHeight="1">
      <c r="A6296" s="286"/>
    </row>
    <row r="6297" spans="1:1" s="287" customFormat="1" ht="12" hidden="1" customHeight="1">
      <c r="A6297" s="286"/>
    </row>
    <row r="6298" spans="1:1" s="287" customFormat="1" ht="12" hidden="1" customHeight="1">
      <c r="A6298" s="286"/>
    </row>
    <row r="6299" spans="1:1" s="287" customFormat="1" ht="12" hidden="1" customHeight="1">
      <c r="A6299" s="286"/>
    </row>
    <row r="6300" spans="1:1" s="287" customFormat="1" ht="12" hidden="1" customHeight="1">
      <c r="A6300" s="286"/>
    </row>
    <row r="6301" spans="1:1" s="287" customFormat="1" ht="12" hidden="1" customHeight="1">
      <c r="A6301" s="286"/>
    </row>
    <row r="6302" spans="1:1" s="287" customFormat="1" ht="12" hidden="1" customHeight="1">
      <c r="A6302" s="286"/>
    </row>
    <row r="6303" spans="1:1" s="287" customFormat="1" ht="12" hidden="1" customHeight="1">
      <c r="A6303" s="286"/>
    </row>
    <row r="6304" spans="1:1" s="287" customFormat="1" ht="12" hidden="1" customHeight="1">
      <c r="A6304" s="286"/>
    </row>
    <row r="6305" spans="1:1" s="287" customFormat="1" ht="12" hidden="1" customHeight="1">
      <c r="A6305" s="286"/>
    </row>
    <row r="6306" spans="1:1" s="287" customFormat="1" ht="12" hidden="1" customHeight="1">
      <c r="A6306" s="286"/>
    </row>
    <row r="6307" spans="1:1" s="287" customFormat="1" ht="12" hidden="1" customHeight="1">
      <c r="A6307" s="286"/>
    </row>
    <row r="6308" spans="1:1" s="287" customFormat="1" ht="12" hidden="1" customHeight="1">
      <c r="A6308" s="286"/>
    </row>
    <row r="6309" spans="1:1" s="287" customFormat="1" ht="12" hidden="1" customHeight="1">
      <c r="A6309" s="286"/>
    </row>
    <row r="6310" spans="1:1" s="287" customFormat="1" ht="12" hidden="1" customHeight="1">
      <c r="A6310" s="286"/>
    </row>
    <row r="6311" spans="1:1" s="287" customFormat="1" ht="12" hidden="1" customHeight="1">
      <c r="A6311" s="286"/>
    </row>
    <row r="6312" spans="1:1" s="287" customFormat="1" ht="12" hidden="1" customHeight="1">
      <c r="A6312" s="286"/>
    </row>
    <row r="6313" spans="1:1" s="287" customFormat="1" ht="12" hidden="1" customHeight="1">
      <c r="A6313" s="286"/>
    </row>
    <row r="6314" spans="1:1" s="287" customFormat="1" ht="12" hidden="1" customHeight="1">
      <c r="A6314" s="286"/>
    </row>
    <row r="6315" spans="1:1" s="287" customFormat="1" ht="12" hidden="1" customHeight="1">
      <c r="A6315" s="286"/>
    </row>
    <row r="6316" spans="1:1" s="287" customFormat="1" ht="12" hidden="1" customHeight="1">
      <c r="A6316" s="286"/>
    </row>
    <row r="6317" spans="1:1" s="287" customFormat="1" ht="12" hidden="1" customHeight="1">
      <c r="A6317" s="286"/>
    </row>
    <row r="6318" spans="1:1" s="287" customFormat="1" ht="12" hidden="1" customHeight="1">
      <c r="A6318" s="286"/>
    </row>
    <row r="6319" spans="1:1" s="287" customFormat="1" ht="12" hidden="1" customHeight="1">
      <c r="A6319" s="286"/>
    </row>
    <row r="6320" spans="1:1" s="287" customFormat="1" ht="12" hidden="1" customHeight="1">
      <c r="A6320" s="286"/>
    </row>
    <row r="6321" spans="1:1" s="287" customFormat="1" ht="12" hidden="1" customHeight="1">
      <c r="A6321" s="286"/>
    </row>
    <row r="6322" spans="1:1" s="287" customFormat="1" ht="12" hidden="1" customHeight="1">
      <c r="A6322" s="286"/>
    </row>
    <row r="6323" spans="1:1" s="287" customFormat="1" ht="12" hidden="1" customHeight="1">
      <c r="A6323" s="286"/>
    </row>
    <row r="6324" spans="1:1" s="287" customFormat="1" ht="12" hidden="1" customHeight="1">
      <c r="A6324" s="286"/>
    </row>
    <row r="6325" spans="1:1" s="287" customFormat="1" ht="12" hidden="1" customHeight="1">
      <c r="A6325" s="286"/>
    </row>
    <row r="6326" spans="1:1" s="287" customFormat="1" ht="12" hidden="1" customHeight="1">
      <c r="A6326" s="286"/>
    </row>
    <row r="6327" spans="1:1" s="287" customFormat="1" ht="12" hidden="1" customHeight="1">
      <c r="A6327" s="286"/>
    </row>
    <row r="6328" spans="1:1" s="287" customFormat="1" ht="12" hidden="1" customHeight="1">
      <c r="A6328" s="286"/>
    </row>
    <row r="6329" spans="1:1" s="287" customFormat="1" ht="12" hidden="1" customHeight="1">
      <c r="A6329" s="286"/>
    </row>
    <row r="6330" spans="1:1" s="287" customFormat="1" ht="12" hidden="1" customHeight="1">
      <c r="A6330" s="286"/>
    </row>
    <row r="6331" spans="1:1" s="287" customFormat="1" ht="12" hidden="1" customHeight="1">
      <c r="A6331" s="286"/>
    </row>
    <row r="6332" spans="1:1" s="287" customFormat="1" ht="12" hidden="1" customHeight="1">
      <c r="A6332" s="286"/>
    </row>
    <row r="6333" spans="1:1" s="287" customFormat="1" ht="12" hidden="1" customHeight="1">
      <c r="A6333" s="286"/>
    </row>
    <row r="6334" spans="1:1" s="287" customFormat="1" ht="12" hidden="1" customHeight="1">
      <c r="A6334" s="286"/>
    </row>
    <row r="6335" spans="1:1" s="287" customFormat="1" ht="12" hidden="1" customHeight="1">
      <c r="A6335" s="286"/>
    </row>
    <row r="6336" spans="1:1" s="287" customFormat="1" ht="12" hidden="1" customHeight="1">
      <c r="A6336" s="286"/>
    </row>
    <row r="6337" spans="1:1" s="287" customFormat="1" ht="12" hidden="1" customHeight="1">
      <c r="A6337" s="286"/>
    </row>
    <row r="6338" spans="1:1" s="287" customFormat="1" ht="12" hidden="1" customHeight="1">
      <c r="A6338" s="286"/>
    </row>
    <row r="6339" spans="1:1" s="287" customFormat="1" ht="12" hidden="1" customHeight="1">
      <c r="A6339" s="286"/>
    </row>
    <row r="6340" spans="1:1" s="287" customFormat="1" ht="12" hidden="1" customHeight="1">
      <c r="A6340" s="286"/>
    </row>
    <row r="6341" spans="1:1" s="287" customFormat="1" ht="12" hidden="1" customHeight="1">
      <c r="A6341" s="286"/>
    </row>
    <row r="6342" spans="1:1" s="287" customFormat="1" ht="12" hidden="1" customHeight="1">
      <c r="A6342" s="286"/>
    </row>
    <row r="6343" spans="1:1" s="287" customFormat="1" ht="12" hidden="1" customHeight="1">
      <c r="A6343" s="286"/>
    </row>
    <row r="6344" spans="1:1" s="287" customFormat="1" ht="12" hidden="1" customHeight="1">
      <c r="A6344" s="286"/>
    </row>
    <row r="6345" spans="1:1" s="287" customFormat="1" ht="12" hidden="1" customHeight="1">
      <c r="A6345" s="286"/>
    </row>
    <row r="6346" spans="1:1" s="287" customFormat="1" ht="12" hidden="1" customHeight="1">
      <c r="A6346" s="286"/>
    </row>
    <row r="6347" spans="1:1" s="287" customFormat="1" ht="12" hidden="1" customHeight="1">
      <c r="A6347" s="286"/>
    </row>
    <row r="6348" spans="1:1" s="287" customFormat="1" ht="12" hidden="1" customHeight="1">
      <c r="A6348" s="286"/>
    </row>
    <row r="6349" spans="1:1" s="287" customFormat="1" ht="12" hidden="1" customHeight="1">
      <c r="A6349" s="286"/>
    </row>
    <row r="6350" spans="1:1" s="287" customFormat="1" ht="12" hidden="1" customHeight="1">
      <c r="A6350" s="286"/>
    </row>
    <row r="6351" spans="1:1" s="287" customFormat="1" ht="12" hidden="1" customHeight="1">
      <c r="A6351" s="286"/>
    </row>
    <row r="6352" spans="1:1" s="287" customFormat="1" ht="12" hidden="1" customHeight="1">
      <c r="A6352" s="286"/>
    </row>
    <row r="6353" spans="1:1" s="287" customFormat="1" ht="12" hidden="1" customHeight="1">
      <c r="A6353" s="286"/>
    </row>
    <row r="6354" spans="1:1" s="287" customFormat="1" ht="12" hidden="1" customHeight="1">
      <c r="A6354" s="286"/>
    </row>
    <row r="6355" spans="1:1" s="287" customFormat="1" ht="12" hidden="1" customHeight="1">
      <c r="A6355" s="286"/>
    </row>
    <row r="6356" spans="1:1" s="287" customFormat="1" ht="12" hidden="1" customHeight="1">
      <c r="A6356" s="286"/>
    </row>
    <row r="6357" spans="1:1" s="287" customFormat="1" ht="12" hidden="1" customHeight="1">
      <c r="A6357" s="286"/>
    </row>
    <row r="6358" spans="1:1" s="287" customFormat="1" ht="12" hidden="1" customHeight="1">
      <c r="A6358" s="286"/>
    </row>
    <row r="6359" spans="1:1" s="287" customFormat="1" ht="12" hidden="1" customHeight="1">
      <c r="A6359" s="286"/>
    </row>
    <row r="6360" spans="1:1" s="287" customFormat="1" ht="12" hidden="1" customHeight="1">
      <c r="A6360" s="286"/>
    </row>
    <row r="6361" spans="1:1" s="287" customFormat="1" ht="12" hidden="1" customHeight="1">
      <c r="A6361" s="286"/>
    </row>
    <row r="6362" spans="1:1" s="287" customFormat="1" ht="12" hidden="1" customHeight="1">
      <c r="A6362" s="286"/>
    </row>
    <row r="6363" spans="1:1" s="287" customFormat="1" ht="12" hidden="1" customHeight="1">
      <c r="A6363" s="286"/>
    </row>
    <row r="6364" spans="1:1" s="287" customFormat="1" ht="12" hidden="1" customHeight="1">
      <c r="A6364" s="286"/>
    </row>
    <row r="6365" spans="1:1" s="287" customFormat="1" ht="12" hidden="1" customHeight="1">
      <c r="A6365" s="286"/>
    </row>
    <row r="6366" spans="1:1" s="287" customFormat="1" ht="12" hidden="1" customHeight="1">
      <c r="A6366" s="286"/>
    </row>
    <row r="6367" spans="1:1" s="287" customFormat="1" ht="12" hidden="1" customHeight="1">
      <c r="A6367" s="286"/>
    </row>
    <row r="6368" spans="1:1" s="287" customFormat="1" ht="12" hidden="1" customHeight="1">
      <c r="A6368" s="286"/>
    </row>
    <row r="6369" spans="1:1" s="287" customFormat="1" ht="12" hidden="1" customHeight="1">
      <c r="A6369" s="286"/>
    </row>
    <row r="6370" spans="1:1" s="287" customFormat="1" ht="12" hidden="1" customHeight="1">
      <c r="A6370" s="286"/>
    </row>
    <row r="6371" spans="1:1" s="287" customFormat="1" ht="12" hidden="1" customHeight="1">
      <c r="A6371" s="286"/>
    </row>
    <row r="6372" spans="1:1" s="287" customFormat="1" ht="12" hidden="1" customHeight="1">
      <c r="A6372" s="286"/>
    </row>
    <row r="6373" spans="1:1" s="287" customFormat="1" ht="12" hidden="1" customHeight="1">
      <c r="A6373" s="286"/>
    </row>
    <row r="6374" spans="1:1" s="287" customFormat="1" ht="12" hidden="1" customHeight="1">
      <c r="A6374" s="286"/>
    </row>
    <row r="6375" spans="1:1" s="287" customFormat="1" ht="12" hidden="1" customHeight="1">
      <c r="A6375" s="286"/>
    </row>
    <row r="6376" spans="1:1" s="287" customFormat="1" ht="12" hidden="1" customHeight="1">
      <c r="A6376" s="286"/>
    </row>
    <row r="6377" spans="1:1" s="287" customFormat="1" ht="12" hidden="1" customHeight="1">
      <c r="A6377" s="286"/>
    </row>
    <row r="6378" spans="1:1" s="287" customFormat="1" ht="12" hidden="1" customHeight="1">
      <c r="A6378" s="286"/>
    </row>
    <row r="6379" spans="1:1" s="287" customFormat="1" ht="12" hidden="1" customHeight="1">
      <c r="A6379" s="286"/>
    </row>
    <row r="6380" spans="1:1" s="287" customFormat="1" ht="12" hidden="1" customHeight="1">
      <c r="A6380" s="286"/>
    </row>
    <row r="6381" spans="1:1" s="287" customFormat="1" ht="12" hidden="1" customHeight="1">
      <c r="A6381" s="286"/>
    </row>
    <row r="6382" spans="1:1" s="287" customFormat="1" ht="12" hidden="1" customHeight="1">
      <c r="A6382" s="286"/>
    </row>
    <row r="6383" spans="1:1" s="287" customFormat="1" ht="12" hidden="1" customHeight="1">
      <c r="A6383" s="286"/>
    </row>
    <row r="6384" spans="1:1" s="287" customFormat="1" ht="12" hidden="1" customHeight="1">
      <c r="A6384" s="286"/>
    </row>
    <row r="6385" spans="1:1" s="287" customFormat="1" ht="12" hidden="1" customHeight="1">
      <c r="A6385" s="286"/>
    </row>
    <row r="6386" spans="1:1" s="287" customFormat="1" ht="12" hidden="1" customHeight="1">
      <c r="A6386" s="286"/>
    </row>
    <row r="6387" spans="1:1" s="287" customFormat="1" ht="12" hidden="1" customHeight="1">
      <c r="A6387" s="286"/>
    </row>
    <row r="6388" spans="1:1" s="287" customFormat="1" ht="12" hidden="1" customHeight="1">
      <c r="A6388" s="286"/>
    </row>
    <row r="6389" spans="1:1" s="287" customFormat="1" ht="12" hidden="1" customHeight="1">
      <c r="A6389" s="286"/>
    </row>
    <row r="6390" spans="1:1" s="287" customFormat="1" ht="12" hidden="1" customHeight="1">
      <c r="A6390" s="286"/>
    </row>
    <row r="6391" spans="1:1" s="287" customFormat="1" ht="12" hidden="1" customHeight="1">
      <c r="A6391" s="286"/>
    </row>
    <row r="6392" spans="1:1" s="287" customFormat="1" ht="12" hidden="1" customHeight="1">
      <c r="A6392" s="286"/>
    </row>
    <row r="6393" spans="1:1" s="287" customFormat="1" ht="12" hidden="1" customHeight="1">
      <c r="A6393" s="286"/>
    </row>
    <row r="6394" spans="1:1" s="287" customFormat="1" ht="12" hidden="1" customHeight="1">
      <c r="A6394" s="286"/>
    </row>
    <row r="6395" spans="1:1" s="287" customFormat="1" ht="12" hidden="1" customHeight="1">
      <c r="A6395" s="286"/>
    </row>
    <row r="6396" spans="1:1" s="287" customFormat="1" ht="12" hidden="1" customHeight="1">
      <c r="A6396" s="286"/>
    </row>
    <row r="6397" spans="1:1" s="287" customFormat="1" ht="12" hidden="1" customHeight="1">
      <c r="A6397" s="286"/>
    </row>
    <row r="6398" spans="1:1" s="287" customFormat="1" ht="12" hidden="1" customHeight="1">
      <c r="A6398" s="286"/>
    </row>
    <row r="6399" spans="1:1" s="287" customFormat="1" ht="12" hidden="1" customHeight="1">
      <c r="A6399" s="286"/>
    </row>
    <row r="6400" spans="1:1" s="287" customFormat="1" ht="12" hidden="1" customHeight="1">
      <c r="A6400" s="286"/>
    </row>
    <row r="6401" spans="1:1" s="287" customFormat="1" ht="12" hidden="1" customHeight="1">
      <c r="A6401" s="286"/>
    </row>
    <row r="6402" spans="1:1" s="287" customFormat="1" ht="12" hidden="1" customHeight="1">
      <c r="A6402" s="286"/>
    </row>
    <row r="6403" spans="1:1" s="287" customFormat="1" ht="12" hidden="1" customHeight="1">
      <c r="A6403" s="286"/>
    </row>
    <row r="6404" spans="1:1" s="287" customFormat="1" ht="12" hidden="1" customHeight="1">
      <c r="A6404" s="286"/>
    </row>
    <row r="6405" spans="1:1" s="287" customFormat="1" ht="12" hidden="1" customHeight="1">
      <c r="A6405" s="286"/>
    </row>
    <row r="6406" spans="1:1" s="287" customFormat="1" ht="12" hidden="1" customHeight="1">
      <c r="A6406" s="286"/>
    </row>
    <row r="6407" spans="1:1" s="287" customFormat="1" ht="12" hidden="1" customHeight="1">
      <c r="A6407" s="286"/>
    </row>
    <row r="6408" spans="1:1" s="287" customFormat="1" ht="12" hidden="1" customHeight="1">
      <c r="A6408" s="286"/>
    </row>
    <row r="6409" spans="1:1" s="287" customFormat="1" ht="12" hidden="1" customHeight="1">
      <c r="A6409" s="286"/>
    </row>
    <row r="6410" spans="1:1" s="287" customFormat="1" ht="12" hidden="1" customHeight="1">
      <c r="A6410" s="286"/>
    </row>
    <row r="6411" spans="1:1" s="287" customFormat="1" ht="12" hidden="1" customHeight="1">
      <c r="A6411" s="286"/>
    </row>
    <row r="6412" spans="1:1" s="287" customFormat="1" ht="12" hidden="1" customHeight="1">
      <c r="A6412" s="286"/>
    </row>
    <row r="6413" spans="1:1" s="287" customFormat="1" ht="12" hidden="1" customHeight="1">
      <c r="A6413" s="286"/>
    </row>
    <row r="6414" spans="1:1" s="287" customFormat="1" ht="12" hidden="1" customHeight="1">
      <c r="A6414" s="286"/>
    </row>
    <row r="6415" spans="1:1" s="287" customFormat="1" ht="12" hidden="1" customHeight="1">
      <c r="A6415" s="286"/>
    </row>
    <row r="6416" spans="1:1" s="287" customFormat="1" ht="12" hidden="1" customHeight="1">
      <c r="A6416" s="286"/>
    </row>
    <row r="6417" spans="1:1" s="287" customFormat="1" ht="12" hidden="1" customHeight="1">
      <c r="A6417" s="286"/>
    </row>
    <row r="6418" spans="1:1" s="287" customFormat="1" ht="12" hidden="1" customHeight="1">
      <c r="A6418" s="286"/>
    </row>
    <row r="6419" spans="1:1" s="287" customFormat="1" ht="12" hidden="1" customHeight="1">
      <c r="A6419" s="286"/>
    </row>
    <row r="6420" spans="1:1" s="287" customFormat="1" ht="12" hidden="1" customHeight="1">
      <c r="A6420" s="286"/>
    </row>
    <row r="6421" spans="1:1" s="287" customFormat="1" ht="12" hidden="1" customHeight="1">
      <c r="A6421" s="286"/>
    </row>
    <row r="6422" spans="1:1" s="287" customFormat="1" ht="12" hidden="1" customHeight="1">
      <c r="A6422" s="286"/>
    </row>
    <row r="6423" spans="1:1" s="287" customFormat="1" ht="12" hidden="1" customHeight="1">
      <c r="A6423" s="286"/>
    </row>
    <row r="6424" spans="1:1" s="287" customFormat="1" ht="12" hidden="1" customHeight="1">
      <c r="A6424" s="286"/>
    </row>
    <row r="6425" spans="1:1" s="287" customFormat="1" ht="12" hidden="1" customHeight="1">
      <c r="A6425" s="286"/>
    </row>
    <row r="6426" spans="1:1" s="287" customFormat="1" ht="12" hidden="1" customHeight="1">
      <c r="A6426" s="286"/>
    </row>
    <row r="6427" spans="1:1" s="287" customFormat="1" ht="12" hidden="1" customHeight="1">
      <c r="A6427" s="286"/>
    </row>
    <row r="6428" spans="1:1" s="287" customFormat="1" ht="12" hidden="1" customHeight="1">
      <c r="A6428" s="286"/>
    </row>
    <row r="6429" spans="1:1" s="287" customFormat="1" ht="12" hidden="1" customHeight="1">
      <c r="A6429" s="286"/>
    </row>
    <row r="6430" spans="1:1" s="287" customFormat="1" ht="12" hidden="1" customHeight="1">
      <c r="A6430" s="286"/>
    </row>
    <row r="6431" spans="1:1" s="287" customFormat="1" ht="12" hidden="1" customHeight="1">
      <c r="A6431" s="286"/>
    </row>
    <row r="6432" spans="1:1" s="287" customFormat="1" ht="12" hidden="1" customHeight="1">
      <c r="A6432" s="286"/>
    </row>
    <row r="6433" spans="1:1" s="287" customFormat="1" ht="12" hidden="1" customHeight="1">
      <c r="A6433" s="286"/>
    </row>
    <row r="6434" spans="1:1" s="287" customFormat="1" ht="12" hidden="1" customHeight="1">
      <c r="A6434" s="286"/>
    </row>
    <row r="6435" spans="1:1" s="287" customFormat="1" ht="12" hidden="1" customHeight="1">
      <c r="A6435" s="286"/>
    </row>
    <row r="6436" spans="1:1" s="287" customFormat="1" ht="12" hidden="1" customHeight="1">
      <c r="A6436" s="286"/>
    </row>
    <row r="6437" spans="1:1" s="287" customFormat="1" ht="12" hidden="1" customHeight="1">
      <c r="A6437" s="286"/>
    </row>
    <row r="6438" spans="1:1" s="287" customFormat="1" ht="12" hidden="1" customHeight="1">
      <c r="A6438" s="286"/>
    </row>
    <row r="6439" spans="1:1" s="287" customFormat="1" ht="12" hidden="1" customHeight="1">
      <c r="A6439" s="286"/>
    </row>
    <row r="6440" spans="1:1" s="287" customFormat="1" ht="12" hidden="1" customHeight="1">
      <c r="A6440" s="286"/>
    </row>
    <row r="6441" spans="1:1" s="287" customFormat="1" ht="12" hidden="1" customHeight="1">
      <c r="A6441" s="286"/>
    </row>
    <row r="6442" spans="1:1" s="287" customFormat="1" ht="12" hidden="1" customHeight="1">
      <c r="A6442" s="286"/>
    </row>
    <row r="6443" spans="1:1" s="287" customFormat="1" ht="12" hidden="1" customHeight="1">
      <c r="A6443" s="286"/>
    </row>
    <row r="6444" spans="1:1" s="287" customFormat="1" ht="12" hidden="1" customHeight="1">
      <c r="A6444" s="286"/>
    </row>
    <row r="6445" spans="1:1" s="287" customFormat="1" ht="12" hidden="1" customHeight="1">
      <c r="A6445" s="286"/>
    </row>
    <row r="6446" spans="1:1" s="287" customFormat="1" ht="12" hidden="1" customHeight="1">
      <c r="A6446" s="286"/>
    </row>
    <row r="6447" spans="1:1" s="287" customFormat="1" ht="12" hidden="1" customHeight="1">
      <c r="A6447" s="286"/>
    </row>
    <row r="6448" spans="1:1" s="287" customFormat="1" ht="12" hidden="1" customHeight="1">
      <c r="A6448" s="286"/>
    </row>
    <row r="6449" spans="1:1" s="287" customFormat="1" ht="12" hidden="1" customHeight="1">
      <c r="A6449" s="286"/>
    </row>
    <row r="6450" spans="1:1" s="287" customFormat="1" ht="12" hidden="1" customHeight="1">
      <c r="A6450" s="286"/>
    </row>
    <row r="6451" spans="1:1" s="287" customFormat="1" ht="12" hidden="1" customHeight="1">
      <c r="A6451" s="286"/>
    </row>
    <row r="6452" spans="1:1" s="287" customFormat="1" ht="12" hidden="1" customHeight="1">
      <c r="A6452" s="286"/>
    </row>
    <row r="6453" spans="1:1" s="287" customFormat="1" ht="12" hidden="1" customHeight="1">
      <c r="A6453" s="286"/>
    </row>
    <row r="6454" spans="1:1" s="287" customFormat="1" ht="12" hidden="1" customHeight="1">
      <c r="A6454" s="286"/>
    </row>
    <row r="6455" spans="1:1" s="287" customFormat="1" ht="12" hidden="1" customHeight="1">
      <c r="A6455" s="286"/>
    </row>
    <row r="6456" spans="1:1" s="287" customFormat="1" ht="12" hidden="1" customHeight="1">
      <c r="A6456" s="286"/>
    </row>
    <row r="6457" spans="1:1" s="287" customFormat="1" ht="12" hidden="1" customHeight="1">
      <c r="A6457" s="286"/>
    </row>
    <row r="6458" spans="1:1" s="287" customFormat="1" ht="12" hidden="1" customHeight="1">
      <c r="A6458" s="286"/>
    </row>
    <row r="6459" spans="1:1" s="287" customFormat="1" ht="12" hidden="1" customHeight="1">
      <c r="A6459" s="286"/>
    </row>
    <row r="6460" spans="1:1" s="287" customFormat="1" ht="12" hidden="1" customHeight="1">
      <c r="A6460" s="286"/>
    </row>
    <row r="6461" spans="1:1" s="287" customFormat="1" ht="12" hidden="1" customHeight="1">
      <c r="A6461" s="286"/>
    </row>
    <row r="6462" spans="1:1" s="287" customFormat="1" ht="12" hidden="1" customHeight="1">
      <c r="A6462" s="286"/>
    </row>
    <row r="6463" spans="1:1" s="287" customFormat="1" ht="12" hidden="1" customHeight="1">
      <c r="A6463" s="286"/>
    </row>
    <row r="6464" spans="1:1" s="287" customFormat="1" ht="12" hidden="1" customHeight="1">
      <c r="A6464" s="286"/>
    </row>
    <row r="6465" spans="1:1" s="287" customFormat="1" ht="12" hidden="1" customHeight="1">
      <c r="A6465" s="286"/>
    </row>
    <row r="6466" spans="1:1" s="287" customFormat="1" ht="12" hidden="1" customHeight="1">
      <c r="A6466" s="286"/>
    </row>
    <row r="6467" spans="1:1" s="287" customFormat="1" ht="12" hidden="1" customHeight="1">
      <c r="A6467" s="286"/>
    </row>
    <row r="6468" spans="1:1" s="287" customFormat="1" ht="12" hidden="1" customHeight="1">
      <c r="A6468" s="286"/>
    </row>
    <row r="6469" spans="1:1" s="287" customFormat="1" ht="12" hidden="1" customHeight="1">
      <c r="A6469" s="286"/>
    </row>
    <row r="6470" spans="1:1" s="287" customFormat="1" ht="12" hidden="1" customHeight="1">
      <c r="A6470" s="286"/>
    </row>
    <row r="6471" spans="1:1" s="287" customFormat="1" ht="12" hidden="1" customHeight="1">
      <c r="A6471" s="286"/>
    </row>
    <row r="6472" spans="1:1" s="287" customFormat="1" ht="12" hidden="1" customHeight="1">
      <c r="A6472" s="286"/>
    </row>
    <row r="6473" spans="1:1" s="287" customFormat="1" ht="12" hidden="1" customHeight="1">
      <c r="A6473" s="286"/>
    </row>
    <row r="6474" spans="1:1" s="287" customFormat="1" ht="12" hidden="1" customHeight="1">
      <c r="A6474" s="286"/>
    </row>
    <row r="6475" spans="1:1" s="287" customFormat="1" ht="12" hidden="1" customHeight="1">
      <c r="A6475" s="286"/>
    </row>
    <row r="6476" spans="1:1" s="287" customFormat="1" ht="12" hidden="1" customHeight="1">
      <c r="A6476" s="286"/>
    </row>
    <row r="6477" spans="1:1" s="287" customFormat="1" ht="12" hidden="1" customHeight="1">
      <c r="A6477" s="286"/>
    </row>
    <row r="6478" spans="1:1" s="287" customFormat="1" ht="12" hidden="1" customHeight="1">
      <c r="A6478" s="286"/>
    </row>
    <row r="6479" spans="1:1" s="287" customFormat="1" ht="12" hidden="1" customHeight="1">
      <c r="A6479" s="286"/>
    </row>
    <row r="6480" spans="1:1" s="287" customFormat="1" ht="12" hidden="1" customHeight="1">
      <c r="A6480" s="286"/>
    </row>
    <row r="6481" spans="1:1" s="287" customFormat="1" ht="12" hidden="1" customHeight="1">
      <c r="A6481" s="286"/>
    </row>
    <row r="6482" spans="1:1" s="287" customFormat="1" ht="12" hidden="1" customHeight="1">
      <c r="A6482" s="286"/>
    </row>
    <row r="6483" spans="1:1" s="287" customFormat="1" ht="12" hidden="1" customHeight="1">
      <c r="A6483" s="286"/>
    </row>
    <row r="6484" spans="1:1" s="287" customFormat="1" ht="12" hidden="1" customHeight="1">
      <c r="A6484" s="286"/>
    </row>
    <row r="6485" spans="1:1" s="287" customFormat="1" ht="12" hidden="1" customHeight="1">
      <c r="A6485" s="286"/>
    </row>
    <row r="6486" spans="1:1" s="287" customFormat="1" ht="12" hidden="1" customHeight="1">
      <c r="A6486" s="286"/>
    </row>
    <row r="6487" spans="1:1" s="287" customFormat="1" ht="12" hidden="1" customHeight="1">
      <c r="A6487" s="286"/>
    </row>
    <row r="6488" spans="1:1" s="287" customFormat="1" ht="12" hidden="1" customHeight="1">
      <c r="A6488" s="286"/>
    </row>
    <row r="6489" spans="1:1" s="287" customFormat="1" ht="12" hidden="1" customHeight="1">
      <c r="A6489" s="286"/>
    </row>
    <row r="6490" spans="1:1" s="287" customFormat="1" ht="12" hidden="1" customHeight="1">
      <c r="A6490" s="286"/>
    </row>
    <row r="6491" spans="1:1" s="287" customFormat="1" ht="12" hidden="1" customHeight="1">
      <c r="A6491" s="286"/>
    </row>
    <row r="6492" spans="1:1" s="287" customFormat="1" ht="12" hidden="1" customHeight="1">
      <c r="A6492" s="286"/>
    </row>
    <row r="6493" spans="1:1" s="287" customFormat="1" ht="12" hidden="1" customHeight="1">
      <c r="A6493" s="286"/>
    </row>
    <row r="6494" spans="1:1" s="287" customFormat="1" ht="12" hidden="1" customHeight="1">
      <c r="A6494" s="286"/>
    </row>
    <row r="6495" spans="1:1" s="287" customFormat="1" ht="12" hidden="1" customHeight="1">
      <c r="A6495" s="286"/>
    </row>
    <row r="6496" spans="1:1" s="287" customFormat="1" ht="12" hidden="1" customHeight="1">
      <c r="A6496" s="286"/>
    </row>
    <row r="6497" spans="1:1" s="287" customFormat="1" ht="12" hidden="1" customHeight="1">
      <c r="A6497" s="286"/>
    </row>
    <row r="6498" spans="1:1" s="287" customFormat="1" ht="12" hidden="1" customHeight="1">
      <c r="A6498" s="286"/>
    </row>
    <row r="6499" spans="1:1" s="287" customFormat="1" ht="12" hidden="1" customHeight="1">
      <c r="A6499" s="286"/>
    </row>
    <row r="6500" spans="1:1" s="287" customFormat="1" ht="12" hidden="1" customHeight="1">
      <c r="A6500" s="286"/>
    </row>
    <row r="6501" spans="1:1" s="287" customFormat="1" ht="12" hidden="1" customHeight="1">
      <c r="A6501" s="286"/>
    </row>
    <row r="6502" spans="1:1" s="287" customFormat="1" ht="12" hidden="1" customHeight="1">
      <c r="A6502" s="286"/>
    </row>
    <row r="6503" spans="1:1" s="287" customFormat="1" ht="12" hidden="1" customHeight="1">
      <c r="A6503" s="286"/>
    </row>
    <row r="6504" spans="1:1" s="287" customFormat="1" ht="12" hidden="1" customHeight="1">
      <c r="A6504" s="286"/>
    </row>
    <row r="6505" spans="1:1" s="287" customFormat="1" ht="12" hidden="1" customHeight="1">
      <c r="A6505" s="286"/>
    </row>
    <row r="6506" spans="1:1" s="287" customFormat="1" ht="12" hidden="1" customHeight="1">
      <c r="A6506" s="286"/>
    </row>
    <row r="6507" spans="1:1" s="287" customFormat="1" ht="12" hidden="1" customHeight="1">
      <c r="A6507" s="286"/>
    </row>
    <row r="6508" spans="1:1" s="287" customFormat="1" ht="12" hidden="1" customHeight="1">
      <c r="A6508" s="286"/>
    </row>
    <row r="6509" spans="1:1" s="287" customFormat="1" ht="12" hidden="1" customHeight="1">
      <c r="A6509" s="286"/>
    </row>
    <row r="6510" spans="1:1" s="287" customFormat="1" ht="12" hidden="1" customHeight="1">
      <c r="A6510" s="286"/>
    </row>
    <row r="6511" spans="1:1" s="287" customFormat="1" ht="12" hidden="1" customHeight="1">
      <c r="A6511" s="286"/>
    </row>
    <row r="6512" spans="1:1" s="287" customFormat="1" ht="12" hidden="1" customHeight="1">
      <c r="A6512" s="286"/>
    </row>
    <row r="6513" spans="1:1" s="287" customFormat="1" ht="12" hidden="1" customHeight="1">
      <c r="A6513" s="286"/>
    </row>
    <row r="6514" spans="1:1" s="287" customFormat="1" ht="12" hidden="1" customHeight="1">
      <c r="A6514" s="286"/>
    </row>
    <row r="6515" spans="1:1" s="287" customFormat="1" ht="12" hidden="1" customHeight="1">
      <c r="A6515" s="286"/>
    </row>
    <row r="6516" spans="1:1" s="287" customFormat="1" ht="12" hidden="1" customHeight="1">
      <c r="A6516" s="286"/>
    </row>
    <row r="6517" spans="1:1" s="287" customFormat="1" ht="12" hidden="1" customHeight="1">
      <c r="A6517" s="286"/>
    </row>
    <row r="6518" spans="1:1" s="287" customFormat="1" ht="12" hidden="1" customHeight="1">
      <c r="A6518" s="286"/>
    </row>
    <row r="6519" spans="1:1" s="287" customFormat="1" ht="12" hidden="1" customHeight="1">
      <c r="A6519" s="286"/>
    </row>
    <row r="6520" spans="1:1" s="287" customFormat="1" ht="12" hidden="1" customHeight="1">
      <c r="A6520" s="286"/>
    </row>
    <row r="6521" spans="1:1" s="287" customFormat="1" ht="12" hidden="1" customHeight="1">
      <c r="A6521" s="286"/>
    </row>
    <row r="6522" spans="1:1" s="287" customFormat="1" ht="12" hidden="1" customHeight="1">
      <c r="A6522" s="286"/>
    </row>
    <row r="6523" spans="1:1" s="287" customFormat="1" ht="12" hidden="1" customHeight="1">
      <c r="A6523" s="286"/>
    </row>
    <row r="6524" spans="1:1" s="287" customFormat="1" ht="12" hidden="1" customHeight="1">
      <c r="A6524" s="286"/>
    </row>
    <row r="6525" spans="1:1" s="287" customFormat="1" ht="12" hidden="1" customHeight="1">
      <c r="A6525" s="286"/>
    </row>
    <row r="6526" spans="1:1" s="287" customFormat="1" ht="12" hidden="1" customHeight="1">
      <c r="A6526" s="286"/>
    </row>
    <row r="6527" spans="1:1" s="287" customFormat="1" ht="12" hidden="1" customHeight="1">
      <c r="A6527" s="286"/>
    </row>
    <row r="6528" spans="1:1" s="287" customFormat="1" ht="12" hidden="1" customHeight="1">
      <c r="A6528" s="286"/>
    </row>
    <row r="6529" spans="1:1" s="287" customFormat="1" ht="12" hidden="1" customHeight="1">
      <c r="A6529" s="286"/>
    </row>
    <row r="6530" spans="1:1" s="287" customFormat="1" ht="12" hidden="1" customHeight="1">
      <c r="A6530" s="286"/>
    </row>
    <row r="6531" spans="1:1" s="287" customFormat="1" ht="12" hidden="1" customHeight="1">
      <c r="A6531" s="286"/>
    </row>
    <row r="6532" spans="1:1" s="287" customFormat="1" ht="12" hidden="1" customHeight="1">
      <c r="A6532" s="286"/>
    </row>
    <row r="6533" spans="1:1" s="287" customFormat="1" ht="12" hidden="1" customHeight="1">
      <c r="A6533" s="286"/>
    </row>
    <row r="6534" spans="1:1" s="287" customFormat="1" ht="12" hidden="1" customHeight="1">
      <c r="A6534" s="286"/>
    </row>
    <row r="6535" spans="1:1" s="287" customFormat="1" ht="12" hidden="1" customHeight="1">
      <c r="A6535" s="286"/>
    </row>
    <row r="6536" spans="1:1" s="287" customFormat="1" ht="12" hidden="1" customHeight="1">
      <c r="A6536" s="286"/>
    </row>
    <row r="6537" spans="1:1" s="287" customFormat="1" ht="12" hidden="1" customHeight="1">
      <c r="A6537" s="286"/>
    </row>
    <row r="6538" spans="1:1" s="287" customFormat="1" ht="12" hidden="1" customHeight="1">
      <c r="A6538" s="286"/>
    </row>
    <row r="6539" spans="1:1" s="287" customFormat="1" ht="12" hidden="1" customHeight="1">
      <c r="A6539" s="286"/>
    </row>
    <row r="6540" spans="1:1" s="287" customFormat="1" ht="12" hidden="1" customHeight="1">
      <c r="A6540" s="286"/>
    </row>
    <row r="6541" spans="1:1" s="287" customFormat="1" ht="12" hidden="1" customHeight="1">
      <c r="A6541" s="286"/>
    </row>
    <row r="6542" spans="1:1" s="287" customFormat="1" ht="12" hidden="1" customHeight="1">
      <c r="A6542" s="286"/>
    </row>
    <row r="6543" spans="1:1" s="287" customFormat="1" ht="12" hidden="1" customHeight="1">
      <c r="A6543" s="286"/>
    </row>
    <row r="6544" spans="1:1" s="287" customFormat="1" ht="12" hidden="1" customHeight="1">
      <c r="A6544" s="286"/>
    </row>
    <row r="6545" spans="1:1" s="287" customFormat="1" ht="12" hidden="1" customHeight="1">
      <c r="A6545" s="286"/>
    </row>
    <row r="6546" spans="1:1" s="287" customFormat="1" ht="12" hidden="1" customHeight="1">
      <c r="A6546" s="286"/>
    </row>
    <row r="6547" spans="1:1" s="287" customFormat="1" ht="12" hidden="1" customHeight="1">
      <c r="A6547" s="286"/>
    </row>
    <row r="6548" spans="1:1" s="287" customFormat="1" ht="12" hidden="1" customHeight="1">
      <c r="A6548" s="286"/>
    </row>
    <row r="6549" spans="1:1" s="287" customFormat="1" ht="12" hidden="1" customHeight="1">
      <c r="A6549" s="286"/>
    </row>
    <row r="6550" spans="1:1" s="287" customFormat="1" ht="12" hidden="1" customHeight="1">
      <c r="A6550" s="286"/>
    </row>
    <row r="6551" spans="1:1" s="287" customFormat="1" ht="12" hidden="1" customHeight="1">
      <c r="A6551" s="286"/>
    </row>
    <row r="6552" spans="1:1" s="287" customFormat="1" ht="12" hidden="1" customHeight="1">
      <c r="A6552" s="286"/>
    </row>
    <row r="6553" spans="1:1" s="287" customFormat="1" ht="12" hidden="1" customHeight="1">
      <c r="A6553" s="286"/>
    </row>
    <row r="6554" spans="1:1" s="287" customFormat="1" ht="12" hidden="1" customHeight="1">
      <c r="A6554" s="286"/>
    </row>
    <row r="6555" spans="1:1" s="287" customFormat="1" ht="12" hidden="1" customHeight="1">
      <c r="A6555" s="286"/>
    </row>
    <row r="6556" spans="1:1" s="287" customFormat="1" ht="12" hidden="1" customHeight="1">
      <c r="A6556" s="286"/>
    </row>
    <row r="6557" spans="1:1" s="287" customFormat="1" ht="12" hidden="1" customHeight="1">
      <c r="A6557" s="286"/>
    </row>
    <row r="6558" spans="1:1" s="287" customFormat="1" ht="12" hidden="1" customHeight="1">
      <c r="A6558" s="286"/>
    </row>
    <row r="6559" spans="1:1" s="287" customFormat="1" ht="12" hidden="1" customHeight="1">
      <c r="A6559" s="286"/>
    </row>
    <row r="6560" spans="1:1" s="287" customFormat="1" ht="12" hidden="1" customHeight="1">
      <c r="A6560" s="286"/>
    </row>
    <row r="6561" spans="1:1" s="287" customFormat="1" ht="12" hidden="1" customHeight="1">
      <c r="A6561" s="286"/>
    </row>
    <row r="6562" spans="1:1" s="287" customFormat="1" ht="12" hidden="1" customHeight="1">
      <c r="A6562" s="286"/>
    </row>
    <row r="6563" spans="1:1" s="287" customFormat="1" ht="12" hidden="1" customHeight="1">
      <c r="A6563" s="286"/>
    </row>
    <row r="6564" spans="1:1" s="287" customFormat="1" ht="12" hidden="1" customHeight="1">
      <c r="A6564" s="286"/>
    </row>
    <row r="6565" spans="1:1" s="287" customFormat="1" ht="12" hidden="1" customHeight="1">
      <c r="A6565" s="286"/>
    </row>
    <row r="6566" spans="1:1" s="287" customFormat="1" ht="12" hidden="1" customHeight="1">
      <c r="A6566" s="286"/>
    </row>
    <row r="6567" spans="1:1" s="287" customFormat="1" ht="12" hidden="1" customHeight="1">
      <c r="A6567" s="286"/>
    </row>
    <row r="6568" spans="1:1" s="287" customFormat="1" ht="12" hidden="1" customHeight="1">
      <c r="A6568" s="286"/>
    </row>
    <row r="6569" spans="1:1" s="287" customFormat="1" ht="12" hidden="1" customHeight="1">
      <c r="A6569" s="286"/>
    </row>
    <row r="6570" spans="1:1" s="287" customFormat="1" ht="12" hidden="1" customHeight="1">
      <c r="A6570" s="286"/>
    </row>
    <row r="6571" spans="1:1" s="287" customFormat="1" ht="12" hidden="1" customHeight="1">
      <c r="A6571" s="286"/>
    </row>
    <row r="6572" spans="1:1" s="287" customFormat="1" ht="12" hidden="1" customHeight="1">
      <c r="A6572" s="286"/>
    </row>
    <row r="6573" spans="1:1" s="287" customFormat="1" ht="12" hidden="1" customHeight="1">
      <c r="A6573" s="286"/>
    </row>
    <row r="6574" spans="1:1" s="287" customFormat="1" ht="12" hidden="1" customHeight="1">
      <c r="A6574" s="286"/>
    </row>
    <row r="6575" spans="1:1" s="287" customFormat="1" ht="12" hidden="1" customHeight="1">
      <c r="A6575" s="286"/>
    </row>
    <row r="6576" spans="1:1" s="287" customFormat="1" ht="12" hidden="1" customHeight="1">
      <c r="A6576" s="286"/>
    </row>
    <row r="6577" spans="1:1" s="287" customFormat="1" ht="12" hidden="1" customHeight="1">
      <c r="A6577" s="286"/>
    </row>
    <row r="6578" spans="1:1" s="287" customFormat="1" ht="12" hidden="1" customHeight="1">
      <c r="A6578" s="286"/>
    </row>
    <row r="6579" spans="1:1" s="287" customFormat="1" ht="12" hidden="1" customHeight="1">
      <c r="A6579" s="286"/>
    </row>
    <row r="6580" spans="1:1" s="287" customFormat="1" ht="12" hidden="1" customHeight="1">
      <c r="A6580" s="286"/>
    </row>
    <row r="6581" spans="1:1" s="287" customFormat="1" ht="12" hidden="1" customHeight="1">
      <c r="A6581" s="286"/>
    </row>
    <row r="6582" spans="1:1" s="287" customFormat="1" ht="12" hidden="1" customHeight="1">
      <c r="A6582" s="286"/>
    </row>
    <row r="6583" spans="1:1" s="287" customFormat="1" ht="12" hidden="1" customHeight="1">
      <c r="A6583" s="286"/>
    </row>
    <row r="6584" spans="1:1" s="287" customFormat="1" ht="12" hidden="1" customHeight="1">
      <c r="A6584" s="286"/>
    </row>
    <row r="6585" spans="1:1" s="287" customFormat="1" ht="12" hidden="1" customHeight="1">
      <c r="A6585" s="286"/>
    </row>
    <row r="6586" spans="1:1" s="287" customFormat="1" ht="12" hidden="1" customHeight="1">
      <c r="A6586" s="286"/>
    </row>
    <row r="6587" spans="1:1" s="287" customFormat="1" ht="12" hidden="1" customHeight="1">
      <c r="A6587" s="286"/>
    </row>
    <row r="6588" spans="1:1" s="287" customFormat="1" ht="12" hidden="1" customHeight="1">
      <c r="A6588" s="286"/>
    </row>
    <row r="6589" spans="1:1" s="287" customFormat="1" ht="12" hidden="1" customHeight="1">
      <c r="A6589" s="286"/>
    </row>
    <row r="6590" spans="1:1" s="287" customFormat="1" ht="12" hidden="1" customHeight="1">
      <c r="A6590" s="286"/>
    </row>
    <row r="6591" spans="1:1" s="287" customFormat="1" ht="12" hidden="1" customHeight="1">
      <c r="A6591" s="286"/>
    </row>
    <row r="6592" spans="1:1" s="287" customFormat="1" ht="12" hidden="1" customHeight="1">
      <c r="A6592" s="286"/>
    </row>
    <row r="6593" spans="1:1" s="287" customFormat="1" ht="12" hidden="1" customHeight="1">
      <c r="A6593" s="286"/>
    </row>
    <row r="6594" spans="1:1" s="287" customFormat="1" ht="12" hidden="1" customHeight="1">
      <c r="A6594" s="286"/>
    </row>
    <row r="6595" spans="1:1" s="287" customFormat="1" ht="12" hidden="1" customHeight="1">
      <c r="A6595" s="286"/>
    </row>
    <row r="6596" spans="1:1" s="287" customFormat="1" ht="12" hidden="1" customHeight="1">
      <c r="A6596" s="286"/>
    </row>
    <row r="6597" spans="1:1" s="287" customFormat="1" ht="12" hidden="1" customHeight="1">
      <c r="A6597" s="286"/>
    </row>
    <row r="6598" spans="1:1" s="287" customFormat="1" ht="12" hidden="1" customHeight="1">
      <c r="A6598" s="286"/>
    </row>
    <row r="6599" spans="1:1" s="287" customFormat="1" ht="12" hidden="1" customHeight="1">
      <c r="A6599" s="286"/>
    </row>
    <row r="6600" spans="1:1" s="287" customFormat="1" ht="12" hidden="1" customHeight="1">
      <c r="A6600" s="286"/>
    </row>
    <row r="6601" spans="1:1" s="287" customFormat="1" ht="12" hidden="1" customHeight="1">
      <c r="A6601" s="286"/>
    </row>
    <row r="6602" spans="1:1" s="287" customFormat="1" ht="12" hidden="1" customHeight="1">
      <c r="A6602" s="286"/>
    </row>
    <row r="6603" spans="1:1" s="287" customFormat="1" ht="12" hidden="1" customHeight="1">
      <c r="A6603" s="286"/>
    </row>
    <row r="6604" spans="1:1" s="287" customFormat="1" ht="12" hidden="1" customHeight="1">
      <c r="A6604" s="286"/>
    </row>
    <row r="6605" spans="1:1" s="287" customFormat="1" ht="12" hidden="1" customHeight="1">
      <c r="A6605" s="286"/>
    </row>
    <row r="6606" spans="1:1" s="287" customFormat="1" ht="12" hidden="1" customHeight="1">
      <c r="A6606" s="286"/>
    </row>
    <row r="6607" spans="1:1" s="287" customFormat="1" ht="12" hidden="1" customHeight="1">
      <c r="A6607" s="286"/>
    </row>
    <row r="6608" spans="1:1" s="287" customFormat="1" ht="12" hidden="1" customHeight="1">
      <c r="A6608" s="286"/>
    </row>
    <row r="6609" spans="1:1" s="287" customFormat="1" ht="12" hidden="1" customHeight="1">
      <c r="A6609" s="286"/>
    </row>
    <row r="6610" spans="1:1" s="287" customFormat="1" ht="12" hidden="1" customHeight="1">
      <c r="A6610" s="286"/>
    </row>
    <row r="6611" spans="1:1" s="287" customFormat="1" ht="12" hidden="1" customHeight="1">
      <c r="A6611" s="286"/>
    </row>
    <row r="6612" spans="1:1" s="287" customFormat="1" ht="12" hidden="1" customHeight="1">
      <c r="A6612" s="286"/>
    </row>
    <row r="6613" spans="1:1" s="287" customFormat="1" ht="12" hidden="1" customHeight="1">
      <c r="A6613" s="286"/>
    </row>
    <row r="6614" spans="1:1" s="287" customFormat="1" ht="12" hidden="1" customHeight="1">
      <c r="A6614" s="286"/>
    </row>
    <row r="6615" spans="1:1" s="287" customFormat="1" ht="12" hidden="1" customHeight="1">
      <c r="A6615" s="286"/>
    </row>
    <row r="6616" spans="1:1" s="287" customFormat="1" ht="12" hidden="1" customHeight="1">
      <c r="A6616" s="286"/>
    </row>
    <row r="6617" spans="1:1" s="287" customFormat="1" ht="12" hidden="1" customHeight="1">
      <c r="A6617" s="286"/>
    </row>
    <row r="6618" spans="1:1" s="287" customFormat="1" ht="12" hidden="1" customHeight="1">
      <c r="A6618" s="286"/>
    </row>
    <row r="6619" spans="1:1" s="287" customFormat="1" ht="12" hidden="1" customHeight="1">
      <c r="A6619" s="286"/>
    </row>
    <row r="6620" spans="1:1" s="287" customFormat="1" ht="12" hidden="1" customHeight="1">
      <c r="A6620" s="286"/>
    </row>
    <row r="6621" spans="1:1" s="287" customFormat="1" ht="12" hidden="1" customHeight="1">
      <c r="A6621" s="286"/>
    </row>
    <row r="6622" spans="1:1" s="287" customFormat="1" ht="12" hidden="1" customHeight="1">
      <c r="A6622" s="286"/>
    </row>
    <row r="6623" spans="1:1" s="287" customFormat="1" ht="12" hidden="1" customHeight="1">
      <c r="A6623" s="286"/>
    </row>
    <row r="6624" spans="1:1" s="287" customFormat="1" ht="12" hidden="1" customHeight="1">
      <c r="A6624" s="286"/>
    </row>
    <row r="6625" spans="1:1" s="287" customFormat="1" ht="12" hidden="1" customHeight="1">
      <c r="A6625" s="286"/>
    </row>
    <row r="6626" spans="1:1" s="287" customFormat="1" ht="12" hidden="1" customHeight="1">
      <c r="A6626" s="286"/>
    </row>
    <row r="6627" spans="1:1" s="287" customFormat="1" ht="12" hidden="1" customHeight="1">
      <c r="A6627" s="286"/>
    </row>
    <row r="6628" spans="1:1" s="287" customFormat="1" ht="12" hidden="1" customHeight="1">
      <c r="A6628" s="286"/>
    </row>
    <row r="6629" spans="1:1" s="287" customFormat="1" ht="12" hidden="1" customHeight="1">
      <c r="A6629" s="286"/>
    </row>
    <row r="6630" spans="1:1" s="287" customFormat="1" ht="12" hidden="1" customHeight="1">
      <c r="A6630" s="286"/>
    </row>
    <row r="6631" spans="1:1" s="287" customFormat="1" ht="12" hidden="1" customHeight="1">
      <c r="A6631" s="286"/>
    </row>
    <row r="6632" spans="1:1" s="287" customFormat="1" ht="12" hidden="1" customHeight="1">
      <c r="A6632" s="286"/>
    </row>
    <row r="6633" spans="1:1" s="287" customFormat="1" ht="12" hidden="1" customHeight="1">
      <c r="A6633" s="286"/>
    </row>
    <row r="6634" spans="1:1" s="287" customFormat="1" ht="12" hidden="1" customHeight="1">
      <c r="A6634" s="286"/>
    </row>
    <row r="6635" spans="1:1" s="287" customFormat="1" ht="12" hidden="1" customHeight="1">
      <c r="A6635" s="286"/>
    </row>
    <row r="6636" spans="1:1" s="287" customFormat="1" ht="12" hidden="1" customHeight="1">
      <c r="A6636" s="286"/>
    </row>
    <row r="6637" spans="1:1" s="287" customFormat="1" ht="12" hidden="1" customHeight="1">
      <c r="A6637" s="286"/>
    </row>
    <row r="6638" spans="1:1" s="287" customFormat="1" ht="12" hidden="1" customHeight="1">
      <c r="A6638" s="286"/>
    </row>
    <row r="6639" spans="1:1" s="287" customFormat="1" ht="12" hidden="1" customHeight="1">
      <c r="A6639" s="286"/>
    </row>
    <row r="6640" spans="1:1" s="287" customFormat="1" ht="12" hidden="1" customHeight="1">
      <c r="A6640" s="286"/>
    </row>
    <row r="6641" spans="1:1" s="287" customFormat="1" ht="12" hidden="1" customHeight="1">
      <c r="A6641" s="286"/>
    </row>
    <row r="6642" spans="1:1" s="287" customFormat="1" ht="12" hidden="1" customHeight="1">
      <c r="A6642" s="286"/>
    </row>
    <row r="6643" spans="1:1" s="287" customFormat="1" ht="12" hidden="1" customHeight="1">
      <c r="A6643" s="286"/>
    </row>
    <row r="6644" spans="1:1" s="287" customFormat="1" ht="12" hidden="1" customHeight="1">
      <c r="A6644" s="286"/>
    </row>
    <row r="6645" spans="1:1" s="287" customFormat="1" ht="12" hidden="1" customHeight="1">
      <c r="A6645" s="286"/>
    </row>
    <row r="6646" spans="1:1" s="287" customFormat="1" ht="12" hidden="1" customHeight="1">
      <c r="A6646" s="286"/>
    </row>
    <row r="6647" spans="1:1" s="287" customFormat="1" ht="12" hidden="1" customHeight="1">
      <c r="A6647" s="286"/>
    </row>
    <row r="6648" spans="1:1" s="287" customFormat="1" ht="12" hidden="1" customHeight="1">
      <c r="A6648" s="286"/>
    </row>
    <row r="6649" spans="1:1" s="287" customFormat="1" ht="12" hidden="1" customHeight="1">
      <c r="A6649" s="286"/>
    </row>
    <row r="6650" spans="1:1" s="287" customFormat="1" ht="12" hidden="1" customHeight="1">
      <c r="A6650" s="286"/>
    </row>
    <row r="6651" spans="1:1" s="287" customFormat="1" ht="12" hidden="1" customHeight="1">
      <c r="A6651" s="286"/>
    </row>
    <row r="6652" spans="1:1" s="287" customFormat="1" ht="12" hidden="1" customHeight="1">
      <c r="A6652" s="286"/>
    </row>
    <row r="6653" spans="1:1" s="287" customFormat="1" ht="12" hidden="1" customHeight="1">
      <c r="A6653" s="286"/>
    </row>
    <row r="6654" spans="1:1" s="287" customFormat="1" ht="12" hidden="1" customHeight="1">
      <c r="A6654" s="286"/>
    </row>
    <row r="6655" spans="1:1" s="287" customFormat="1" ht="12" hidden="1" customHeight="1">
      <c r="A6655" s="286"/>
    </row>
    <row r="6656" spans="1:1" s="287" customFormat="1" ht="12" hidden="1" customHeight="1">
      <c r="A6656" s="286"/>
    </row>
    <row r="6657" spans="1:1" s="287" customFormat="1" ht="12" hidden="1" customHeight="1">
      <c r="A6657" s="286"/>
    </row>
    <row r="6658" spans="1:1" s="287" customFormat="1" ht="12" hidden="1" customHeight="1">
      <c r="A6658" s="286"/>
    </row>
    <row r="6659" spans="1:1" s="287" customFormat="1" ht="12" hidden="1" customHeight="1">
      <c r="A6659" s="286"/>
    </row>
    <row r="6660" spans="1:1" s="287" customFormat="1" ht="12" hidden="1" customHeight="1">
      <c r="A6660" s="286"/>
    </row>
    <row r="6661" spans="1:1" s="287" customFormat="1" ht="12" hidden="1" customHeight="1">
      <c r="A6661" s="286"/>
    </row>
    <row r="6662" spans="1:1" s="287" customFormat="1" ht="12" hidden="1" customHeight="1">
      <c r="A6662" s="286"/>
    </row>
    <row r="6663" spans="1:1" s="287" customFormat="1" ht="12" hidden="1" customHeight="1">
      <c r="A6663" s="286"/>
    </row>
    <row r="6664" spans="1:1" s="287" customFormat="1" ht="12" hidden="1" customHeight="1">
      <c r="A6664" s="286"/>
    </row>
    <row r="6665" spans="1:1" s="287" customFormat="1" ht="12" hidden="1" customHeight="1">
      <c r="A6665" s="286"/>
    </row>
    <row r="6666" spans="1:1" s="287" customFormat="1" ht="12" hidden="1" customHeight="1">
      <c r="A6666" s="286"/>
    </row>
    <row r="6667" spans="1:1" s="287" customFormat="1" ht="12" hidden="1" customHeight="1">
      <c r="A6667" s="286"/>
    </row>
    <row r="6668" spans="1:1" s="287" customFormat="1" ht="12" hidden="1" customHeight="1">
      <c r="A6668" s="286"/>
    </row>
    <row r="6669" spans="1:1" s="287" customFormat="1" ht="12" hidden="1" customHeight="1">
      <c r="A6669" s="286"/>
    </row>
    <row r="6670" spans="1:1" s="287" customFormat="1" ht="12" hidden="1" customHeight="1">
      <c r="A6670" s="286"/>
    </row>
    <row r="6671" spans="1:1" s="287" customFormat="1" ht="12" hidden="1" customHeight="1">
      <c r="A6671" s="286"/>
    </row>
    <row r="6672" spans="1:1" s="287" customFormat="1" ht="12" hidden="1" customHeight="1">
      <c r="A6672" s="286"/>
    </row>
    <row r="6673" spans="1:1" s="287" customFormat="1" ht="12" hidden="1" customHeight="1">
      <c r="A6673" s="286"/>
    </row>
    <row r="6674" spans="1:1" s="287" customFormat="1" ht="12" hidden="1" customHeight="1">
      <c r="A6674" s="286"/>
    </row>
    <row r="6675" spans="1:1" s="287" customFormat="1" ht="12" hidden="1" customHeight="1">
      <c r="A6675" s="286"/>
    </row>
    <row r="6676" spans="1:1" s="287" customFormat="1" ht="12" hidden="1" customHeight="1">
      <c r="A6676" s="286"/>
    </row>
    <row r="6677" spans="1:1" s="287" customFormat="1" ht="12" hidden="1" customHeight="1">
      <c r="A6677" s="286"/>
    </row>
    <row r="6678" spans="1:1" s="287" customFormat="1" ht="12" hidden="1" customHeight="1">
      <c r="A6678" s="286"/>
    </row>
    <row r="6679" spans="1:1" s="287" customFormat="1" ht="12" hidden="1" customHeight="1">
      <c r="A6679" s="286"/>
    </row>
    <row r="6680" spans="1:1" s="287" customFormat="1" ht="12" hidden="1" customHeight="1">
      <c r="A6680" s="286"/>
    </row>
    <row r="6681" spans="1:1" s="287" customFormat="1" ht="12" hidden="1" customHeight="1">
      <c r="A6681" s="286"/>
    </row>
    <row r="6682" spans="1:1" s="287" customFormat="1" ht="12" hidden="1" customHeight="1">
      <c r="A6682" s="286"/>
    </row>
    <row r="6683" spans="1:1" s="287" customFormat="1" ht="12" hidden="1" customHeight="1">
      <c r="A6683" s="286"/>
    </row>
    <row r="6684" spans="1:1" s="287" customFormat="1" ht="12" hidden="1" customHeight="1">
      <c r="A6684" s="286"/>
    </row>
    <row r="6685" spans="1:1" s="287" customFormat="1" ht="12" hidden="1" customHeight="1">
      <c r="A6685" s="286"/>
    </row>
    <row r="6686" spans="1:1" s="287" customFormat="1" ht="12" hidden="1" customHeight="1">
      <c r="A6686" s="286"/>
    </row>
    <row r="6687" spans="1:1" s="287" customFormat="1" ht="12" hidden="1" customHeight="1">
      <c r="A6687" s="286"/>
    </row>
    <row r="6688" spans="1:1" s="287" customFormat="1" ht="12" hidden="1" customHeight="1">
      <c r="A6688" s="286"/>
    </row>
    <row r="6689" spans="1:1" s="287" customFormat="1" ht="12" hidden="1" customHeight="1">
      <c r="A6689" s="286"/>
    </row>
    <row r="6690" spans="1:1" s="287" customFormat="1" ht="12" hidden="1" customHeight="1">
      <c r="A6690" s="286"/>
    </row>
    <row r="6691" spans="1:1" s="287" customFormat="1" ht="12" hidden="1" customHeight="1">
      <c r="A6691" s="286"/>
    </row>
    <row r="6692" spans="1:1" s="287" customFormat="1" ht="12" hidden="1" customHeight="1">
      <c r="A6692" s="286"/>
    </row>
    <row r="6693" spans="1:1" s="287" customFormat="1" ht="12" hidden="1" customHeight="1">
      <c r="A6693" s="286"/>
    </row>
    <row r="6694" spans="1:1" s="287" customFormat="1" ht="12" hidden="1" customHeight="1">
      <c r="A6694" s="286"/>
    </row>
    <row r="6695" spans="1:1" s="287" customFormat="1" ht="12" hidden="1" customHeight="1">
      <c r="A6695" s="286"/>
    </row>
    <row r="6696" spans="1:1" s="287" customFormat="1" ht="12" hidden="1" customHeight="1">
      <c r="A6696" s="286"/>
    </row>
    <row r="6697" spans="1:1" s="287" customFormat="1" ht="12" hidden="1" customHeight="1">
      <c r="A6697" s="286"/>
    </row>
    <row r="6698" spans="1:1" s="287" customFormat="1" ht="12" hidden="1" customHeight="1">
      <c r="A6698" s="286"/>
    </row>
    <row r="6699" spans="1:1" s="287" customFormat="1" ht="12" hidden="1" customHeight="1">
      <c r="A6699" s="286"/>
    </row>
    <row r="6700" spans="1:1" s="287" customFormat="1" ht="12" hidden="1" customHeight="1">
      <c r="A6700" s="286"/>
    </row>
    <row r="6701" spans="1:1" s="287" customFormat="1" ht="12" hidden="1" customHeight="1">
      <c r="A6701" s="286"/>
    </row>
    <row r="6702" spans="1:1" s="287" customFormat="1" ht="12" hidden="1" customHeight="1">
      <c r="A6702" s="286"/>
    </row>
    <row r="6703" spans="1:1" s="287" customFormat="1" ht="12" hidden="1" customHeight="1">
      <c r="A6703" s="286"/>
    </row>
    <row r="6704" spans="1:1" s="287" customFormat="1" ht="12" hidden="1" customHeight="1">
      <c r="A6704" s="286"/>
    </row>
    <row r="6705" spans="1:1" s="287" customFormat="1" ht="12" hidden="1" customHeight="1">
      <c r="A6705" s="286"/>
    </row>
    <row r="6706" spans="1:1" s="287" customFormat="1" ht="12" hidden="1" customHeight="1">
      <c r="A6706" s="286"/>
    </row>
    <row r="6707" spans="1:1" s="287" customFormat="1" ht="12" hidden="1" customHeight="1">
      <c r="A6707" s="286"/>
    </row>
    <row r="6708" spans="1:1" s="287" customFormat="1" ht="12" hidden="1" customHeight="1">
      <c r="A6708" s="286"/>
    </row>
    <row r="6709" spans="1:1" s="287" customFormat="1" ht="12" hidden="1" customHeight="1">
      <c r="A6709" s="286"/>
    </row>
    <row r="6710" spans="1:1" s="287" customFormat="1" ht="12" hidden="1" customHeight="1">
      <c r="A6710" s="286"/>
    </row>
    <row r="6711" spans="1:1" s="287" customFormat="1" ht="12" hidden="1" customHeight="1">
      <c r="A6711" s="286"/>
    </row>
    <row r="6712" spans="1:1" s="287" customFormat="1" ht="12" hidden="1" customHeight="1">
      <c r="A6712" s="286"/>
    </row>
    <row r="6713" spans="1:1" s="287" customFormat="1" ht="12" hidden="1" customHeight="1">
      <c r="A6713" s="286"/>
    </row>
    <row r="6714" spans="1:1" s="287" customFormat="1" ht="12" hidden="1" customHeight="1">
      <c r="A6714" s="286"/>
    </row>
    <row r="6715" spans="1:1" s="287" customFormat="1" ht="12" hidden="1" customHeight="1">
      <c r="A6715" s="286"/>
    </row>
    <row r="6716" spans="1:1" s="287" customFormat="1" ht="12" hidden="1" customHeight="1">
      <c r="A6716" s="286"/>
    </row>
    <row r="6717" spans="1:1" s="287" customFormat="1" ht="12" hidden="1" customHeight="1">
      <c r="A6717" s="286"/>
    </row>
    <row r="6718" spans="1:1" s="287" customFormat="1" ht="12" hidden="1" customHeight="1">
      <c r="A6718" s="286"/>
    </row>
    <row r="6719" spans="1:1" s="287" customFormat="1" ht="12" hidden="1" customHeight="1">
      <c r="A6719" s="286"/>
    </row>
    <row r="6720" spans="1:1" s="287" customFormat="1" ht="12" hidden="1" customHeight="1">
      <c r="A6720" s="286"/>
    </row>
    <row r="6721" spans="1:1" s="287" customFormat="1" ht="12" hidden="1" customHeight="1">
      <c r="A6721" s="286"/>
    </row>
    <row r="6722" spans="1:1" s="287" customFormat="1" ht="12" hidden="1" customHeight="1">
      <c r="A6722" s="286"/>
    </row>
    <row r="6723" spans="1:1" s="287" customFormat="1" ht="12" hidden="1" customHeight="1">
      <c r="A6723" s="286"/>
    </row>
    <row r="6724" spans="1:1" s="287" customFormat="1" ht="12" hidden="1" customHeight="1">
      <c r="A6724" s="286"/>
    </row>
    <row r="6725" spans="1:1" s="287" customFormat="1" ht="12" hidden="1" customHeight="1">
      <c r="A6725" s="286"/>
    </row>
    <row r="6726" spans="1:1" s="287" customFormat="1" ht="12" hidden="1" customHeight="1">
      <c r="A6726" s="286"/>
    </row>
    <row r="6727" spans="1:1" s="287" customFormat="1" ht="12" hidden="1" customHeight="1">
      <c r="A6727" s="286"/>
    </row>
    <row r="6728" spans="1:1" s="287" customFormat="1" ht="12" hidden="1" customHeight="1">
      <c r="A6728" s="286"/>
    </row>
    <row r="6729" spans="1:1" s="287" customFormat="1" ht="12" hidden="1" customHeight="1">
      <c r="A6729" s="286"/>
    </row>
    <row r="6730" spans="1:1" s="287" customFormat="1" ht="12" hidden="1" customHeight="1">
      <c r="A6730" s="286"/>
    </row>
    <row r="6731" spans="1:1" s="287" customFormat="1" ht="12" hidden="1" customHeight="1">
      <c r="A6731" s="286"/>
    </row>
    <row r="6732" spans="1:1" s="287" customFormat="1" ht="12" hidden="1" customHeight="1">
      <c r="A6732" s="286"/>
    </row>
    <row r="6733" spans="1:1" s="287" customFormat="1" ht="12" hidden="1" customHeight="1">
      <c r="A6733" s="286"/>
    </row>
    <row r="6734" spans="1:1" s="287" customFormat="1" ht="12" hidden="1" customHeight="1">
      <c r="A6734" s="286"/>
    </row>
    <row r="6735" spans="1:1" s="287" customFormat="1" ht="12" hidden="1" customHeight="1">
      <c r="A6735" s="286"/>
    </row>
    <row r="6736" spans="1:1" s="287" customFormat="1" ht="12" hidden="1" customHeight="1">
      <c r="A6736" s="286"/>
    </row>
    <row r="6737" spans="1:1" s="287" customFormat="1" ht="12" hidden="1" customHeight="1">
      <c r="A6737" s="286"/>
    </row>
    <row r="6738" spans="1:1" s="287" customFormat="1" ht="12" hidden="1" customHeight="1">
      <c r="A6738" s="286"/>
    </row>
    <row r="6739" spans="1:1" s="287" customFormat="1" ht="12" hidden="1" customHeight="1">
      <c r="A6739" s="286"/>
    </row>
    <row r="6740" spans="1:1" s="287" customFormat="1" ht="12" hidden="1" customHeight="1">
      <c r="A6740" s="286"/>
    </row>
    <row r="6741" spans="1:1" s="287" customFormat="1" ht="12" hidden="1" customHeight="1">
      <c r="A6741" s="286"/>
    </row>
    <row r="6742" spans="1:1" s="287" customFormat="1" ht="12" hidden="1" customHeight="1">
      <c r="A6742" s="286"/>
    </row>
    <row r="6743" spans="1:1" s="287" customFormat="1" ht="12" hidden="1" customHeight="1">
      <c r="A6743" s="286"/>
    </row>
    <row r="6744" spans="1:1" s="287" customFormat="1" ht="12" hidden="1" customHeight="1">
      <c r="A6744" s="286"/>
    </row>
    <row r="6745" spans="1:1" s="287" customFormat="1" ht="12" hidden="1" customHeight="1">
      <c r="A6745" s="286"/>
    </row>
    <row r="6746" spans="1:1" s="287" customFormat="1" ht="12" hidden="1" customHeight="1">
      <c r="A6746" s="286"/>
    </row>
    <row r="6747" spans="1:1" s="287" customFormat="1" ht="12" hidden="1" customHeight="1">
      <c r="A6747" s="286"/>
    </row>
    <row r="6748" spans="1:1" s="287" customFormat="1" ht="12" hidden="1" customHeight="1">
      <c r="A6748" s="286"/>
    </row>
    <row r="6749" spans="1:1" s="287" customFormat="1" ht="12" hidden="1" customHeight="1">
      <c r="A6749" s="286"/>
    </row>
    <row r="6750" spans="1:1" s="287" customFormat="1" ht="12" hidden="1" customHeight="1">
      <c r="A6750" s="286"/>
    </row>
    <row r="6751" spans="1:1" s="287" customFormat="1" ht="12" hidden="1" customHeight="1">
      <c r="A6751" s="286"/>
    </row>
    <row r="6752" spans="1:1" s="287" customFormat="1" ht="12" hidden="1" customHeight="1">
      <c r="A6752" s="286"/>
    </row>
    <row r="6753" spans="1:1" s="287" customFormat="1" ht="12" hidden="1" customHeight="1">
      <c r="A6753" s="286"/>
    </row>
    <row r="6754" spans="1:1" s="287" customFormat="1" ht="12" hidden="1" customHeight="1">
      <c r="A6754" s="286"/>
    </row>
    <row r="6755" spans="1:1" s="287" customFormat="1" ht="12" hidden="1" customHeight="1">
      <c r="A6755" s="286"/>
    </row>
    <row r="6756" spans="1:1" s="287" customFormat="1" ht="12" hidden="1" customHeight="1">
      <c r="A6756" s="286"/>
    </row>
    <row r="6757" spans="1:1" s="287" customFormat="1" ht="12" hidden="1" customHeight="1">
      <c r="A6757" s="286"/>
    </row>
    <row r="6758" spans="1:1" s="287" customFormat="1" ht="12" hidden="1" customHeight="1">
      <c r="A6758" s="286"/>
    </row>
    <row r="6759" spans="1:1" s="287" customFormat="1" ht="12" hidden="1" customHeight="1">
      <c r="A6759" s="286"/>
    </row>
    <row r="6760" spans="1:1" s="287" customFormat="1" ht="12" hidden="1" customHeight="1">
      <c r="A6760" s="286"/>
    </row>
    <row r="6761" spans="1:1" s="287" customFormat="1" ht="12" hidden="1" customHeight="1">
      <c r="A6761" s="286"/>
    </row>
    <row r="6762" spans="1:1" s="287" customFormat="1" ht="12" hidden="1" customHeight="1">
      <c r="A6762" s="286"/>
    </row>
    <row r="6763" spans="1:1" s="287" customFormat="1" ht="12" hidden="1" customHeight="1">
      <c r="A6763" s="286"/>
    </row>
    <row r="6764" spans="1:1" s="287" customFormat="1" ht="12" hidden="1" customHeight="1">
      <c r="A6764" s="286"/>
    </row>
    <row r="6765" spans="1:1" s="287" customFormat="1" ht="12" hidden="1" customHeight="1">
      <c r="A6765" s="286"/>
    </row>
    <row r="6766" spans="1:1" s="287" customFormat="1" ht="12" hidden="1" customHeight="1">
      <c r="A6766" s="286"/>
    </row>
    <row r="6767" spans="1:1" s="287" customFormat="1" ht="12" hidden="1" customHeight="1">
      <c r="A6767" s="286"/>
    </row>
    <row r="6768" spans="1:1" s="287" customFormat="1" ht="12" hidden="1" customHeight="1">
      <c r="A6768" s="286"/>
    </row>
    <row r="6769" spans="1:1" s="287" customFormat="1" ht="12" hidden="1" customHeight="1">
      <c r="A6769" s="286"/>
    </row>
    <row r="6770" spans="1:1" s="287" customFormat="1" ht="12" hidden="1" customHeight="1">
      <c r="A6770" s="286"/>
    </row>
    <row r="6771" spans="1:1" s="287" customFormat="1" ht="12" hidden="1" customHeight="1">
      <c r="A6771" s="286"/>
    </row>
    <row r="6772" spans="1:1" s="287" customFormat="1" ht="12" hidden="1" customHeight="1">
      <c r="A6772" s="286"/>
    </row>
    <row r="6773" spans="1:1" s="287" customFormat="1" ht="12" hidden="1" customHeight="1">
      <c r="A6773" s="286"/>
    </row>
    <row r="6774" spans="1:1" s="287" customFormat="1" ht="12" hidden="1" customHeight="1">
      <c r="A6774" s="286"/>
    </row>
    <row r="6775" spans="1:1" s="287" customFormat="1" ht="12" hidden="1" customHeight="1">
      <c r="A6775" s="286"/>
    </row>
    <row r="6776" spans="1:1" s="287" customFormat="1" ht="12" hidden="1" customHeight="1">
      <c r="A6776" s="286"/>
    </row>
    <row r="6777" spans="1:1" s="287" customFormat="1" ht="12" hidden="1" customHeight="1">
      <c r="A6777" s="286"/>
    </row>
    <row r="6778" spans="1:1" s="287" customFormat="1" ht="12" hidden="1" customHeight="1">
      <c r="A6778" s="286"/>
    </row>
    <row r="6779" spans="1:1" s="287" customFormat="1" ht="12" hidden="1" customHeight="1">
      <c r="A6779" s="286"/>
    </row>
    <row r="6780" spans="1:1" s="287" customFormat="1" ht="12" hidden="1" customHeight="1">
      <c r="A6780" s="286"/>
    </row>
    <row r="6781" spans="1:1" s="287" customFormat="1" ht="12" hidden="1" customHeight="1">
      <c r="A6781" s="286"/>
    </row>
    <row r="6782" spans="1:1" s="287" customFormat="1" ht="12" hidden="1" customHeight="1">
      <c r="A6782" s="286"/>
    </row>
    <row r="6783" spans="1:1" s="287" customFormat="1" ht="12" hidden="1" customHeight="1">
      <c r="A6783" s="286"/>
    </row>
    <row r="6784" spans="1:1" s="287" customFormat="1" ht="12" hidden="1" customHeight="1">
      <c r="A6784" s="286"/>
    </row>
    <row r="6785" spans="1:1" s="287" customFormat="1" ht="12" hidden="1" customHeight="1">
      <c r="A6785" s="286"/>
    </row>
    <row r="6786" spans="1:1" s="287" customFormat="1" ht="12" hidden="1" customHeight="1">
      <c r="A6786" s="286"/>
    </row>
    <row r="6787" spans="1:1" s="287" customFormat="1" ht="12" hidden="1" customHeight="1">
      <c r="A6787" s="286"/>
    </row>
    <row r="6788" spans="1:1" s="287" customFormat="1" ht="12" hidden="1" customHeight="1">
      <c r="A6788" s="286"/>
    </row>
    <row r="6789" spans="1:1" s="287" customFormat="1" ht="12" hidden="1" customHeight="1">
      <c r="A6789" s="286"/>
    </row>
    <row r="6790" spans="1:1" s="287" customFormat="1" ht="12" hidden="1" customHeight="1">
      <c r="A6790" s="286"/>
    </row>
    <row r="6791" spans="1:1" s="287" customFormat="1" ht="12" hidden="1" customHeight="1">
      <c r="A6791" s="286"/>
    </row>
    <row r="6792" spans="1:1" s="287" customFormat="1" ht="12" hidden="1" customHeight="1">
      <c r="A6792" s="286"/>
    </row>
    <row r="6793" spans="1:1" s="287" customFormat="1" ht="12" hidden="1" customHeight="1">
      <c r="A6793" s="286"/>
    </row>
    <row r="6794" spans="1:1" s="287" customFormat="1" ht="12" hidden="1" customHeight="1">
      <c r="A6794" s="286"/>
    </row>
    <row r="6795" spans="1:1" s="287" customFormat="1" ht="12" hidden="1" customHeight="1">
      <c r="A6795" s="286"/>
    </row>
    <row r="6796" spans="1:1" s="287" customFormat="1" ht="12" hidden="1" customHeight="1">
      <c r="A6796" s="286"/>
    </row>
    <row r="6797" spans="1:1" s="287" customFormat="1" ht="12" hidden="1" customHeight="1">
      <c r="A6797" s="286"/>
    </row>
    <row r="6798" spans="1:1" s="287" customFormat="1" ht="12" hidden="1" customHeight="1">
      <c r="A6798" s="286"/>
    </row>
    <row r="6799" spans="1:1" s="287" customFormat="1" ht="12" hidden="1" customHeight="1">
      <c r="A6799" s="286"/>
    </row>
    <row r="6800" spans="1:1" s="287" customFormat="1" ht="12" hidden="1" customHeight="1">
      <c r="A6800" s="286"/>
    </row>
    <row r="6801" spans="1:1" s="287" customFormat="1" ht="12" hidden="1" customHeight="1">
      <c r="A6801" s="286"/>
    </row>
    <row r="6802" spans="1:1" s="287" customFormat="1" ht="12" hidden="1" customHeight="1">
      <c r="A6802" s="286"/>
    </row>
    <row r="6803" spans="1:1" s="287" customFormat="1" ht="12" hidden="1" customHeight="1">
      <c r="A6803" s="286"/>
    </row>
    <row r="6804" spans="1:1" s="287" customFormat="1" ht="12" hidden="1" customHeight="1">
      <c r="A6804" s="286"/>
    </row>
    <row r="6805" spans="1:1" s="287" customFormat="1" ht="12" hidden="1" customHeight="1">
      <c r="A6805" s="286"/>
    </row>
    <row r="6806" spans="1:1" s="287" customFormat="1" ht="12" hidden="1" customHeight="1">
      <c r="A6806" s="286"/>
    </row>
    <row r="6807" spans="1:1" s="287" customFormat="1" ht="12" hidden="1" customHeight="1">
      <c r="A6807" s="286"/>
    </row>
    <row r="6808" spans="1:1" s="287" customFormat="1" ht="12" hidden="1" customHeight="1">
      <c r="A6808" s="286"/>
    </row>
    <row r="6809" spans="1:1" s="287" customFormat="1" ht="12" hidden="1" customHeight="1">
      <c r="A6809" s="286"/>
    </row>
    <row r="6810" spans="1:1" s="287" customFormat="1" ht="12" hidden="1" customHeight="1">
      <c r="A6810" s="286"/>
    </row>
    <row r="6811" spans="1:1" s="287" customFormat="1" ht="12" hidden="1" customHeight="1">
      <c r="A6811" s="286"/>
    </row>
    <row r="6812" spans="1:1" s="287" customFormat="1" ht="12" hidden="1" customHeight="1">
      <c r="A6812" s="286"/>
    </row>
    <row r="6813" spans="1:1" s="287" customFormat="1" ht="12" hidden="1" customHeight="1">
      <c r="A6813" s="286"/>
    </row>
    <row r="6814" spans="1:1" s="287" customFormat="1" ht="12" hidden="1" customHeight="1">
      <c r="A6814" s="286"/>
    </row>
    <row r="6815" spans="1:1" s="287" customFormat="1" ht="12" hidden="1" customHeight="1">
      <c r="A6815" s="286"/>
    </row>
    <row r="6816" spans="1:1" s="287" customFormat="1" ht="12" hidden="1" customHeight="1">
      <c r="A6816" s="286"/>
    </row>
    <row r="6817" spans="1:1" s="287" customFormat="1" ht="12" hidden="1" customHeight="1">
      <c r="A6817" s="286"/>
    </row>
    <row r="6818" spans="1:1" s="287" customFormat="1" ht="12" hidden="1" customHeight="1">
      <c r="A6818" s="286"/>
    </row>
    <row r="6819" spans="1:1" s="287" customFormat="1" ht="12" hidden="1" customHeight="1">
      <c r="A6819" s="286"/>
    </row>
    <row r="6820" spans="1:1" s="287" customFormat="1" ht="12" hidden="1" customHeight="1">
      <c r="A6820" s="286"/>
    </row>
    <row r="6821" spans="1:1" s="287" customFormat="1" ht="12" hidden="1" customHeight="1">
      <c r="A6821" s="286"/>
    </row>
    <row r="6822" spans="1:1" s="287" customFormat="1" ht="12" hidden="1" customHeight="1">
      <c r="A6822" s="286"/>
    </row>
    <row r="6823" spans="1:1" s="287" customFormat="1" ht="12" hidden="1" customHeight="1">
      <c r="A6823" s="286"/>
    </row>
    <row r="6824" spans="1:1" s="287" customFormat="1" ht="12" hidden="1" customHeight="1">
      <c r="A6824" s="286"/>
    </row>
    <row r="6825" spans="1:1" s="287" customFormat="1" ht="12" hidden="1" customHeight="1">
      <c r="A6825" s="286"/>
    </row>
    <row r="6826" spans="1:1" s="287" customFormat="1" ht="12" hidden="1" customHeight="1">
      <c r="A6826" s="286"/>
    </row>
    <row r="6827" spans="1:1" s="287" customFormat="1" ht="12" hidden="1" customHeight="1">
      <c r="A6827" s="286"/>
    </row>
    <row r="6828" spans="1:1" s="287" customFormat="1" ht="12" hidden="1" customHeight="1">
      <c r="A6828" s="286"/>
    </row>
    <row r="6829" spans="1:1" s="287" customFormat="1" ht="12" hidden="1" customHeight="1">
      <c r="A6829" s="286"/>
    </row>
    <row r="6830" spans="1:1" s="287" customFormat="1" ht="12" hidden="1" customHeight="1">
      <c r="A6830" s="286"/>
    </row>
    <row r="6831" spans="1:1" s="287" customFormat="1" ht="12" hidden="1" customHeight="1">
      <c r="A6831" s="286"/>
    </row>
    <row r="6832" spans="1:1" s="287" customFormat="1" ht="12" hidden="1" customHeight="1">
      <c r="A6832" s="286"/>
    </row>
    <row r="6833" spans="1:1" s="287" customFormat="1" ht="12" hidden="1" customHeight="1">
      <c r="A6833" s="286"/>
    </row>
    <row r="6834" spans="1:1" s="287" customFormat="1" ht="12" hidden="1" customHeight="1">
      <c r="A6834" s="286"/>
    </row>
    <row r="6835" spans="1:1" s="287" customFormat="1" ht="12" hidden="1" customHeight="1">
      <c r="A6835" s="286"/>
    </row>
    <row r="6836" spans="1:1" s="287" customFormat="1" ht="12" hidden="1" customHeight="1">
      <c r="A6836" s="286"/>
    </row>
    <row r="6837" spans="1:1" s="287" customFormat="1" ht="12" hidden="1" customHeight="1">
      <c r="A6837" s="286"/>
    </row>
    <row r="6838" spans="1:1" s="287" customFormat="1" ht="12" hidden="1" customHeight="1">
      <c r="A6838" s="286"/>
    </row>
    <row r="6839" spans="1:1" s="287" customFormat="1" ht="12" hidden="1" customHeight="1">
      <c r="A6839" s="286"/>
    </row>
    <row r="6840" spans="1:1" s="287" customFormat="1" ht="12" hidden="1" customHeight="1">
      <c r="A6840" s="286"/>
    </row>
    <row r="6841" spans="1:1" s="287" customFormat="1" ht="12" hidden="1" customHeight="1">
      <c r="A6841" s="286"/>
    </row>
    <row r="6842" spans="1:1" s="287" customFormat="1" ht="12" hidden="1" customHeight="1">
      <c r="A6842" s="286"/>
    </row>
    <row r="6843" spans="1:1" s="287" customFormat="1" ht="12" hidden="1" customHeight="1">
      <c r="A6843" s="286"/>
    </row>
    <row r="6844" spans="1:1" s="287" customFormat="1" ht="12" hidden="1" customHeight="1">
      <c r="A6844" s="286"/>
    </row>
    <row r="6845" spans="1:1" s="287" customFormat="1" ht="12" hidden="1" customHeight="1">
      <c r="A6845" s="286"/>
    </row>
    <row r="6846" spans="1:1" s="287" customFormat="1" ht="12" hidden="1" customHeight="1">
      <c r="A6846" s="286"/>
    </row>
    <row r="6847" spans="1:1" s="287" customFormat="1" ht="12" hidden="1" customHeight="1">
      <c r="A6847" s="286"/>
    </row>
    <row r="6848" spans="1:1" s="287" customFormat="1" ht="12" hidden="1" customHeight="1">
      <c r="A6848" s="286"/>
    </row>
    <row r="6849" spans="1:1" s="287" customFormat="1" ht="12" hidden="1" customHeight="1">
      <c r="A6849" s="286"/>
    </row>
    <row r="6850" spans="1:1" s="287" customFormat="1" ht="12" hidden="1" customHeight="1">
      <c r="A6850" s="286"/>
    </row>
    <row r="6851" spans="1:1" s="287" customFormat="1" ht="12" hidden="1" customHeight="1">
      <c r="A6851" s="286"/>
    </row>
    <row r="6852" spans="1:1" s="287" customFormat="1" ht="12" hidden="1" customHeight="1">
      <c r="A6852" s="286"/>
    </row>
    <row r="6853" spans="1:1" s="287" customFormat="1" ht="12" hidden="1" customHeight="1">
      <c r="A6853" s="286"/>
    </row>
    <row r="6854" spans="1:1" s="287" customFormat="1" ht="12" hidden="1" customHeight="1">
      <c r="A6854" s="286"/>
    </row>
    <row r="6855" spans="1:1" s="287" customFormat="1" ht="12" hidden="1" customHeight="1">
      <c r="A6855" s="286"/>
    </row>
    <row r="6856" spans="1:1" s="287" customFormat="1" ht="12" hidden="1" customHeight="1">
      <c r="A6856" s="286"/>
    </row>
    <row r="6857" spans="1:1" s="287" customFormat="1" ht="12" hidden="1" customHeight="1">
      <c r="A6857" s="286"/>
    </row>
    <row r="6858" spans="1:1" s="287" customFormat="1" ht="12" hidden="1" customHeight="1">
      <c r="A6858" s="286"/>
    </row>
    <row r="6859" spans="1:1" s="287" customFormat="1" ht="12" hidden="1" customHeight="1">
      <c r="A6859" s="286"/>
    </row>
    <row r="6860" spans="1:1" s="287" customFormat="1" ht="12" hidden="1" customHeight="1">
      <c r="A6860" s="286"/>
    </row>
    <row r="6861" spans="1:1" s="287" customFormat="1" ht="12" hidden="1" customHeight="1">
      <c r="A6861" s="286"/>
    </row>
    <row r="6862" spans="1:1" s="287" customFormat="1" ht="12" hidden="1" customHeight="1">
      <c r="A6862" s="286"/>
    </row>
    <row r="6863" spans="1:1" s="287" customFormat="1" ht="12" hidden="1" customHeight="1">
      <c r="A6863" s="286"/>
    </row>
    <row r="6864" spans="1:1" s="287" customFormat="1" ht="12" hidden="1" customHeight="1">
      <c r="A6864" s="286"/>
    </row>
    <row r="6865" spans="1:1" s="287" customFormat="1" ht="12" hidden="1" customHeight="1">
      <c r="A6865" s="286"/>
    </row>
    <row r="6866" spans="1:1" s="287" customFormat="1" ht="12" hidden="1" customHeight="1">
      <c r="A6866" s="286"/>
    </row>
    <row r="6867" spans="1:1" s="287" customFormat="1" ht="12" hidden="1" customHeight="1">
      <c r="A6867" s="286"/>
    </row>
    <row r="6868" spans="1:1" s="287" customFormat="1" ht="12" hidden="1" customHeight="1">
      <c r="A6868" s="286"/>
    </row>
    <row r="6869" spans="1:1" s="287" customFormat="1" ht="12" hidden="1" customHeight="1">
      <c r="A6869" s="286"/>
    </row>
    <row r="6870" spans="1:1" s="287" customFormat="1" ht="12" hidden="1" customHeight="1">
      <c r="A6870" s="286"/>
    </row>
    <row r="6871" spans="1:1" s="287" customFormat="1" ht="12" hidden="1" customHeight="1">
      <c r="A6871" s="286"/>
    </row>
    <row r="6872" spans="1:1" s="287" customFormat="1" ht="12" hidden="1" customHeight="1">
      <c r="A6872" s="286"/>
    </row>
    <row r="6873" spans="1:1" s="287" customFormat="1" ht="12" hidden="1" customHeight="1">
      <c r="A6873" s="286"/>
    </row>
    <row r="6874" spans="1:1" s="287" customFormat="1" ht="12" hidden="1" customHeight="1">
      <c r="A6874" s="286"/>
    </row>
    <row r="6875" spans="1:1" s="287" customFormat="1" ht="12" hidden="1" customHeight="1">
      <c r="A6875" s="286"/>
    </row>
    <row r="6876" spans="1:1" s="287" customFormat="1" ht="12" hidden="1" customHeight="1">
      <c r="A6876" s="286"/>
    </row>
    <row r="6877" spans="1:1" s="287" customFormat="1" ht="12" hidden="1" customHeight="1">
      <c r="A6877" s="286"/>
    </row>
    <row r="6878" spans="1:1" s="287" customFormat="1" ht="12" hidden="1" customHeight="1">
      <c r="A6878" s="286"/>
    </row>
    <row r="6879" spans="1:1" s="287" customFormat="1" ht="12" hidden="1" customHeight="1">
      <c r="A6879" s="286"/>
    </row>
    <row r="6880" spans="1:1" s="287" customFormat="1" ht="12" hidden="1" customHeight="1">
      <c r="A6880" s="286"/>
    </row>
    <row r="6881" spans="1:1" s="287" customFormat="1" ht="12" hidden="1" customHeight="1">
      <c r="A6881" s="286"/>
    </row>
    <row r="6882" spans="1:1" s="287" customFormat="1" ht="12" hidden="1" customHeight="1">
      <c r="A6882" s="286"/>
    </row>
    <row r="6883" spans="1:1" s="287" customFormat="1" ht="12" hidden="1" customHeight="1">
      <c r="A6883" s="286"/>
    </row>
    <row r="6884" spans="1:1" s="287" customFormat="1" ht="12" hidden="1" customHeight="1">
      <c r="A6884" s="286"/>
    </row>
    <row r="6885" spans="1:1" s="287" customFormat="1" ht="12" hidden="1" customHeight="1">
      <c r="A6885" s="286"/>
    </row>
    <row r="6886" spans="1:1" s="287" customFormat="1" ht="12" hidden="1" customHeight="1">
      <c r="A6886" s="286"/>
    </row>
    <row r="6887" spans="1:1" s="287" customFormat="1" ht="12" hidden="1" customHeight="1">
      <c r="A6887" s="286"/>
    </row>
    <row r="6888" spans="1:1" s="287" customFormat="1" ht="12" hidden="1" customHeight="1">
      <c r="A6888" s="286"/>
    </row>
    <row r="6889" spans="1:1" s="287" customFormat="1" ht="12" hidden="1" customHeight="1">
      <c r="A6889" s="286"/>
    </row>
    <row r="6890" spans="1:1" s="287" customFormat="1" ht="12" hidden="1" customHeight="1">
      <c r="A6890" s="286"/>
    </row>
    <row r="6891" spans="1:1" s="287" customFormat="1" ht="12" hidden="1" customHeight="1">
      <c r="A6891" s="286"/>
    </row>
    <row r="6892" spans="1:1" s="287" customFormat="1" ht="12" hidden="1" customHeight="1">
      <c r="A6892" s="286"/>
    </row>
    <row r="6893" spans="1:1" s="287" customFormat="1" ht="12" hidden="1" customHeight="1">
      <c r="A6893" s="286"/>
    </row>
    <row r="6894" spans="1:1" s="287" customFormat="1" ht="12" hidden="1" customHeight="1">
      <c r="A6894" s="286"/>
    </row>
    <row r="6895" spans="1:1" s="287" customFormat="1" ht="12" hidden="1" customHeight="1">
      <c r="A6895" s="286"/>
    </row>
    <row r="6896" spans="1:1" s="287" customFormat="1" ht="12" hidden="1" customHeight="1">
      <c r="A6896" s="286"/>
    </row>
    <row r="6897" spans="1:1" s="287" customFormat="1" ht="12" hidden="1" customHeight="1">
      <c r="A6897" s="286"/>
    </row>
    <row r="6898" spans="1:1" s="287" customFormat="1" ht="12" hidden="1" customHeight="1">
      <c r="A6898" s="286"/>
    </row>
    <row r="6899" spans="1:1" s="287" customFormat="1" ht="12" hidden="1" customHeight="1">
      <c r="A6899" s="286"/>
    </row>
    <row r="6900" spans="1:1" s="287" customFormat="1" ht="12" hidden="1" customHeight="1">
      <c r="A6900" s="286"/>
    </row>
    <row r="6901" spans="1:1" s="287" customFormat="1" ht="12" hidden="1" customHeight="1">
      <c r="A6901" s="286"/>
    </row>
    <row r="6902" spans="1:1" s="287" customFormat="1" ht="12" hidden="1" customHeight="1">
      <c r="A6902" s="286"/>
    </row>
    <row r="6903" spans="1:1" s="287" customFormat="1" ht="12" hidden="1" customHeight="1">
      <c r="A6903" s="286"/>
    </row>
    <row r="6904" spans="1:1" s="287" customFormat="1" ht="12" hidden="1" customHeight="1">
      <c r="A6904" s="286"/>
    </row>
    <row r="6905" spans="1:1" s="287" customFormat="1" ht="12" hidden="1" customHeight="1">
      <c r="A6905" s="286"/>
    </row>
    <row r="6906" spans="1:1" s="287" customFormat="1" ht="12" hidden="1" customHeight="1">
      <c r="A6906" s="286"/>
    </row>
    <row r="6907" spans="1:1" s="287" customFormat="1" ht="12" hidden="1" customHeight="1">
      <c r="A6907" s="286"/>
    </row>
    <row r="6908" spans="1:1" s="287" customFormat="1" ht="12" hidden="1" customHeight="1">
      <c r="A6908" s="286"/>
    </row>
    <row r="6909" spans="1:1" s="287" customFormat="1" ht="12" hidden="1" customHeight="1">
      <c r="A6909" s="286"/>
    </row>
    <row r="6910" spans="1:1" s="287" customFormat="1" ht="12" hidden="1" customHeight="1">
      <c r="A6910" s="286"/>
    </row>
    <row r="6911" spans="1:1" s="287" customFormat="1" ht="12" hidden="1" customHeight="1">
      <c r="A6911" s="286"/>
    </row>
    <row r="6912" spans="1:1" s="287" customFormat="1" ht="12" hidden="1" customHeight="1">
      <c r="A6912" s="286"/>
    </row>
    <row r="6913" spans="1:1" s="287" customFormat="1" ht="12" hidden="1" customHeight="1">
      <c r="A6913" s="286"/>
    </row>
    <row r="6914" spans="1:1" s="287" customFormat="1" ht="12" hidden="1" customHeight="1">
      <c r="A6914" s="286"/>
    </row>
    <row r="6915" spans="1:1" s="287" customFormat="1" ht="12" hidden="1" customHeight="1">
      <c r="A6915" s="286"/>
    </row>
    <row r="6916" spans="1:1" s="287" customFormat="1" ht="12" hidden="1" customHeight="1">
      <c r="A6916" s="286"/>
    </row>
    <row r="6917" spans="1:1" s="287" customFormat="1" ht="12" hidden="1" customHeight="1">
      <c r="A6917" s="286"/>
    </row>
    <row r="6918" spans="1:1" s="287" customFormat="1" ht="12" hidden="1" customHeight="1">
      <c r="A6918" s="286"/>
    </row>
    <row r="6919" spans="1:1" s="287" customFormat="1" ht="12" hidden="1" customHeight="1">
      <c r="A6919" s="286"/>
    </row>
    <row r="6920" spans="1:1" s="287" customFormat="1" ht="12" hidden="1" customHeight="1">
      <c r="A6920" s="286"/>
    </row>
    <row r="6921" spans="1:1" s="287" customFormat="1" ht="12" hidden="1" customHeight="1">
      <c r="A6921" s="286"/>
    </row>
    <row r="6922" spans="1:1" s="287" customFormat="1" ht="12" hidden="1" customHeight="1">
      <c r="A6922" s="286"/>
    </row>
    <row r="6923" spans="1:1" s="287" customFormat="1" ht="12" hidden="1" customHeight="1">
      <c r="A6923" s="286"/>
    </row>
    <row r="6924" spans="1:1" s="287" customFormat="1" ht="12" hidden="1" customHeight="1">
      <c r="A6924" s="286"/>
    </row>
    <row r="6925" spans="1:1" s="287" customFormat="1" ht="12" hidden="1" customHeight="1">
      <c r="A6925" s="286"/>
    </row>
    <row r="6926" spans="1:1" s="287" customFormat="1" ht="12" hidden="1" customHeight="1">
      <c r="A6926" s="286"/>
    </row>
    <row r="6927" spans="1:1" s="287" customFormat="1" ht="12" hidden="1" customHeight="1">
      <c r="A6927" s="286"/>
    </row>
    <row r="6928" spans="1:1" s="287" customFormat="1" ht="12" hidden="1" customHeight="1">
      <c r="A6928" s="286"/>
    </row>
    <row r="6929" spans="1:1" s="287" customFormat="1" ht="12" hidden="1" customHeight="1">
      <c r="A6929" s="286"/>
    </row>
    <row r="6930" spans="1:1" s="287" customFormat="1" ht="12" hidden="1" customHeight="1">
      <c r="A6930" s="286"/>
    </row>
    <row r="6931" spans="1:1" s="287" customFormat="1" ht="12" hidden="1" customHeight="1">
      <c r="A6931" s="286"/>
    </row>
    <row r="6932" spans="1:1" s="287" customFormat="1" ht="12" hidden="1" customHeight="1">
      <c r="A6932" s="286"/>
    </row>
    <row r="6933" spans="1:1" s="287" customFormat="1" ht="12" hidden="1" customHeight="1">
      <c r="A6933" s="286"/>
    </row>
    <row r="6934" spans="1:1" s="287" customFormat="1" ht="12" hidden="1" customHeight="1">
      <c r="A6934" s="286"/>
    </row>
    <row r="6935" spans="1:1" s="287" customFormat="1" ht="12" hidden="1" customHeight="1">
      <c r="A6935" s="286"/>
    </row>
    <row r="6936" spans="1:1" s="287" customFormat="1" ht="12" hidden="1" customHeight="1">
      <c r="A6936" s="286"/>
    </row>
    <row r="6937" spans="1:1" s="287" customFormat="1" ht="12" hidden="1" customHeight="1">
      <c r="A6937" s="286"/>
    </row>
    <row r="6938" spans="1:1" s="287" customFormat="1" ht="12" hidden="1" customHeight="1">
      <c r="A6938" s="286"/>
    </row>
    <row r="6939" spans="1:1" s="287" customFormat="1" ht="12" hidden="1" customHeight="1">
      <c r="A6939" s="286"/>
    </row>
    <row r="6940" spans="1:1" s="287" customFormat="1" ht="12" hidden="1" customHeight="1">
      <c r="A6940" s="286"/>
    </row>
    <row r="6941" spans="1:1" s="287" customFormat="1" ht="12" hidden="1" customHeight="1">
      <c r="A6941" s="286"/>
    </row>
    <row r="6942" spans="1:1" s="287" customFormat="1" ht="12" hidden="1" customHeight="1">
      <c r="A6942" s="286"/>
    </row>
    <row r="6943" spans="1:1" s="287" customFormat="1" ht="12" hidden="1" customHeight="1">
      <c r="A6943" s="286"/>
    </row>
    <row r="6944" spans="1:1" s="287" customFormat="1" ht="12" hidden="1" customHeight="1">
      <c r="A6944" s="286"/>
    </row>
    <row r="6945" spans="1:1" s="287" customFormat="1" ht="12" hidden="1" customHeight="1">
      <c r="A6945" s="286"/>
    </row>
    <row r="6946" spans="1:1" s="287" customFormat="1" ht="12" hidden="1" customHeight="1">
      <c r="A6946" s="286"/>
    </row>
    <row r="6947" spans="1:1" s="287" customFormat="1" ht="12" hidden="1" customHeight="1">
      <c r="A6947" s="286"/>
    </row>
    <row r="6948" spans="1:1" s="287" customFormat="1" ht="12" hidden="1" customHeight="1">
      <c r="A6948" s="286"/>
    </row>
    <row r="6949" spans="1:1" s="287" customFormat="1" ht="12" hidden="1" customHeight="1">
      <c r="A6949" s="286"/>
    </row>
    <row r="6950" spans="1:1" s="287" customFormat="1" ht="12" hidden="1" customHeight="1">
      <c r="A6950" s="286"/>
    </row>
    <row r="6951" spans="1:1" s="287" customFormat="1" ht="12" hidden="1" customHeight="1">
      <c r="A6951" s="286"/>
    </row>
    <row r="6952" spans="1:1" s="287" customFormat="1" ht="12" hidden="1" customHeight="1">
      <c r="A6952" s="286"/>
    </row>
    <row r="6953" spans="1:1" s="287" customFormat="1" ht="12" hidden="1" customHeight="1">
      <c r="A6953" s="286"/>
    </row>
    <row r="6954" spans="1:1" s="287" customFormat="1" ht="12" hidden="1" customHeight="1">
      <c r="A6954" s="286"/>
    </row>
    <row r="6955" spans="1:1" s="287" customFormat="1" ht="12" hidden="1" customHeight="1">
      <c r="A6955" s="286"/>
    </row>
    <row r="6956" spans="1:1" s="287" customFormat="1" ht="12" hidden="1" customHeight="1">
      <c r="A6956" s="286"/>
    </row>
    <row r="6957" spans="1:1" s="287" customFormat="1" ht="12" hidden="1" customHeight="1">
      <c r="A6957" s="286"/>
    </row>
    <row r="6958" spans="1:1" s="287" customFormat="1" ht="12" hidden="1" customHeight="1">
      <c r="A6958" s="286"/>
    </row>
    <row r="6959" spans="1:1" s="287" customFormat="1" ht="12" hidden="1" customHeight="1">
      <c r="A6959" s="286"/>
    </row>
    <row r="6960" spans="1:1" s="287" customFormat="1" ht="12" hidden="1" customHeight="1">
      <c r="A6960" s="286"/>
    </row>
    <row r="6961" spans="1:1" s="287" customFormat="1" ht="12" hidden="1" customHeight="1">
      <c r="A6961" s="286"/>
    </row>
    <row r="6962" spans="1:1" s="287" customFormat="1" ht="12" hidden="1" customHeight="1">
      <c r="A6962" s="286"/>
    </row>
    <row r="6963" spans="1:1" s="287" customFormat="1" ht="12" hidden="1" customHeight="1">
      <c r="A6963" s="286"/>
    </row>
    <row r="6964" spans="1:1" s="287" customFormat="1" ht="12" hidden="1" customHeight="1">
      <c r="A6964" s="286"/>
    </row>
    <row r="6965" spans="1:1" s="287" customFormat="1" ht="12" hidden="1" customHeight="1">
      <c r="A6965" s="286"/>
    </row>
    <row r="6966" spans="1:1" s="287" customFormat="1" ht="12" hidden="1" customHeight="1">
      <c r="A6966" s="286"/>
    </row>
    <row r="6967" spans="1:1" s="287" customFormat="1" ht="12" hidden="1" customHeight="1">
      <c r="A6967" s="286"/>
    </row>
    <row r="6968" spans="1:1" s="287" customFormat="1" ht="12" hidden="1" customHeight="1">
      <c r="A6968" s="286"/>
    </row>
    <row r="6969" spans="1:1" s="287" customFormat="1" ht="12" hidden="1" customHeight="1">
      <c r="A6969" s="286"/>
    </row>
    <row r="6970" spans="1:1" s="287" customFormat="1" ht="12" hidden="1" customHeight="1">
      <c r="A6970" s="286"/>
    </row>
    <row r="6971" spans="1:1" s="287" customFormat="1" ht="12" hidden="1" customHeight="1">
      <c r="A6971" s="286"/>
    </row>
    <row r="6972" spans="1:1" s="287" customFormat="1" ht="12" hidden="1" customHeight="1">
      <c r="A6972" s="286"/>
    </row>
    <row r="6973" spans="1:1" s="287" customFormat="1" ht="12" hidden="1" customHeight="1">
      <c r="A6973" s="286"/>
    </row>
    <row r="6974" spans="1:1" s="287" customFormat="1" ht="12" hidden="1" customHeight="1">
      <c r="A6974" s="286"/>
    </row>
    <row r="6975" spans="1:1" s="287" customFormat="1" ht="12" hidden="1" customHeight="1">
      <c r="A6975" s="286"/>
    </row>
    <row r="6976" spans="1:1" s="287" customFormat="1" ht="12" hidden="1" customHeight="1">
      <c r="A6976" s="286"/>
    </row>
    <row r="6977" spans="1:1" s="287" customFormat="1" ht="12" hidden="1" customHeight="1">
      <c r="A6977" s="286"/>
    </row>
    <row r="6978" spans="1:1" s="287" customFormat="1" ht="12" hidden="1" customHeight="1">
      <c r="A6978" s="286"/>
    </row>
    <row r="6979" spans="1:1" s="287" customFormat="1" ht="12" hidden="1" customHeight="1">
      <c r="A6979" s="286"/>
    </row>
    <row r="6980" spans="1:1" s="287" customFormat="1" ht="12" hidden="1" customHeight="1">
      <c r="A6980" s="286"/>
    </row>
    <row r="6981" spans="1:1" s="287" customFormat="1" ht="12" hidden="1" customHeight="1">
      <c r="A6981" s="286"/>
    </row>
    <row r="6982" spans="1:1" s="287" customFormat="1" ht="12" hidden="1" customHeight="1">
      <c r="A6982" s="286"/>
    </row>
    <row r="6983" spans="1:1" s="287" customFormat="1" ht="12" hidden="1" customHeight="1">
      <c r="A6983" s="286"/>
    </row>
    <row r="6984" spans="1:1" s="287" customFormat="1" ht="12" hidden="1" customHeight="1">
      <c r="A6984" s="286"/>
    </row>
    <row r="6985" spans="1:1" s="287" customFormat="1" ht="12" hidden="1" customHeight="1">
      <c r="A6985" s="286"/>
    </row>
    <row r="6986" spans="1:1" s="287" customFormat="1" ht="12" hidden="1" customHeight="1">
      <c r="A6986" s="286"/>
    </row>
    <row r="6987" spans="1:1" s="287" customFormat="1" ht="12" hidden="1" customHeight="1">
      <c r="A6987" s="286"/>
    </row>
    <row r="6988" spans="1:1" s="287" customFormat="1" ht="12" hidden="1" customHeight="1">
      <c r="A6988" s="286"/>
    </row>
    <row r="6989" spans="1:1" s="287" customFormat="1" ht="12" hidden="1" customHeight="1">
      <c r="A6989" s="286"/>
    </row>
    <row r="6990" spans="1:1" s="287" customFormat="1" ht="12" hidden="1" customHeight="1">
      <c r="A6990" s="286"/>
    </row>
    <row r="6991" spans="1:1" s="287" customFormat="1" ht="12" hidden="1" customHeight="1">
      <c r="A6991" s="286"/>
    </row>
    <row r="6992" spans="1:1" s="287" customFormat="1" ht="12" hidden="1" customHeight="1">
      <c r="A6992" s="286"/>
    </row>
    <row r="6993" spans="1:1" s="287" customFormat="1" ht="12" hidden="1" customHeight="1">
      <c r="A6993" s="286"/>
    </row>
    <row r="6994" spans="1:1" s="287" customFormat="1" ht="12" hidden="1" customHeight="1">
      <c r="A6994" s="286"/>
    </row>
    <row r="6995" spans="1:1" s="287" customFormat="1" ht="12" hidden="1" customHeight="1">
      <c r="A6995" s="286"/>
    </row>
    <row r="6996" spans="1:1" s="287" customFormat="1" ht="12" hidden="1" customHeight="1">
      <c r="A6996" s="286"/>
    </row>
    <row r="6997" spans="1:1" s="287" customFormat="1" ht="12" hidden="1" customHeight="1">
      <c r="A6997" s="286"/>
    </row>
    <row r="6998" spans="1:1" s="287" customFormat="1" ht="12" hidden="1" customHeight="1">
      <c r="A6998" s="286"/>
    </row>
    <row r="6999" spans="1:1" s="287" customFormat="1" ht="12" hidden="1" customHeight="1">
      <c r="A6999" s="286"/>
    </row>
    <row r="7000" spans="1:1" s="287" customFormat="1" ht="12" hidden="1" customHeight="1">
      <c r="A7000" s="286"/>
    </row>
    <row r="7001" spans="1:1" s="287" customFormat="1" ht="12" hidden="1" customHeight="1">
      <c r="A7001" s="286"/>
    </row>
    <row r="7002" spans="1:1" s="287" customFormat="1" ht="12" hidden="1" customHeight="1">
      <c r="A7002" s="286"/>
    </row>
    <row r="7003" spans="1:1" s="287" customFormat="1" ht="12" hidden="1" customHeight="1">
      <c r="A7003" s="286"/>
    </row>
    <row r="7004" spans="1:1" s="287" customFormat="1" ht="12" hidden="1" customHeight="1">
      <c r="A7004" s="286"/>
    </row>
    <row r="7005" spans="1:1" s="287" customFormat="1" ht="12" hidden="1" customHeight="1">
      <c r="A7005" s="286"/>
    </row>
    <row r="7006" spans="1:1" s="287" customFormat="1" ht="12" hidden="1" customHeight="1">
      <c r="A7006" s="286"/>
    </row>
    <row r="7007" spans="1:1" s="287" customFormat="1" ht="12" hidden="1" customHeight="1">
      <c r="A7007" s="286"/>
    </row>
    <row r="7008" spans="1:1" s="287" customFormat="1" ht="12" hidden="1" customHeight="1">
      <c r="A7008" s="286"/>
    </row>
    <row r="7009" spans="1:1" s="287" customFormat="1" ht="12" hidden="1" customHeight="1">
      <c r="A7009" s="286"/>
    </row>
    <row r="7010" spans="1:1" s="287" customFormat="1" ht="12" hidden="1" customHeight="1">
      <c r="A7010" s="286"/>
    </row>
    <row r="7011" spans="1:1" s="287" customFormat="1" ht="12" hidden="1" customHeight="1">
      <c r="A7011" s="286"/>
    </row>
    <row r="7012" spans="1:1" s="287" customFormat="1" ht="12" hidden="1" customHeight="1">
      <c r="A7012" s="286"/>
    </row>
    <row r="7013" spans="1:1" s="287" customFormat="1" ht="12" hidden="1" customHeight="1">
      <c r="A7013" s="286"/>
    </row>
    <row r="7014" spans="1:1" s="287" customFormat="1" ht="12" hidden="1" customHeight="1">
      <c r="A7014" s="286"/>
    </row>
    <row r="7015" spans="1:1" s="287" customFormat="1" ht="12" hidden="1" customHeight="1">
      <c r="A7015" s="286"/>
    </row>
    <row r="7016" spans="1:1" s="287" customFormat="1" ht="12" hidden="1" customHeight="1">
      <c r="A7016" s="286"/>
    </row>
    <row r="7017" spans="1:1" s="287" customFormat="1" ht="12" hidden="1" customHeight="1">
      <c r="A7017" s="286"/>
    </row>
    <row r="7018" spans="1:1" s="287" customFormat="1" ht="12" hidden="1" customHeight="1">
      <c r="A7018" s="286"/>
    </row>
    <row r="7019" spans="1:1" s="287" customFormat="1" ht="12" hidden="1" customHeight="1">
      <c r="A7019" s="286"/>
    </row>
    <row r="7020" spans="1:1" s="287" customFormat="1" ht="12" hidden="1" customHeight="1">
      <c r="A7020" s="286"/>
    </row>
    <row r="7021" spans="1:1" s="287" customFormat="1" ht="12" hidden="1" customHeight="1">
      <c r="A7021" s="286"/>
    </row>
    <row r="7022" spans="1:1" s="287" customFormat="1" ht="12" hidden="1" customHeight="1">
      <c r="A7022" s="286"/>
    </row>
    <row r="7023" spans="1:1" s="287" customFormat="1" ht="12" hidden="1" customHeight="1">
      <c r="A7023" s="286"/>
    </row>
    <row r="7024" spans="1:1" s="287" customFormat="1" ht="12" hidden="1" customHeight="1">
      <c r="A7024" s="286"/>
    </row>
    <row r="7025" spans="1:1" s="287" customFormat="1" ht="12" hidden="1" customHeight="1">
      <c r="A7025" s="286"/>
    </row>
    <row r="7026" spans="1:1" s="287" customFormat="1" ht="12" hidden="1" customHeight="1">
      <c r="A7026" s="286"/>
    </row>
    <row r="7027" spans="1:1" s="287" customFormat="1" ht="12" hidden="1" customHeight="1">
      <c r="A7027" s="286"/>
    </row>
    <row r="7028" spans="1:1" s="287" customFormat="1" ht="12" hidden="1" customHeight="1">
      <c r="A7028" s="286"/>
    </row>
    <row r="7029" spans="1:1" s="287" customFormat="1" ht="12" hidden="1" customHeight="1">
      <c r="A7029" s="286"/>
    </row>
    <row r="7030" spans="1:1" s="287" customFormat="1" ht="12" hidden="1" customHeight="1">
      <c r="A7030" s="286"/>
    </row>
    <row r="7031" spans="1:1" s="287" customFormat="1" ht="12" hidden="1" customHeight="1">
      <c r="A7031" s="286"/>
    </row>
    <row r="7032" spans="1:1" s="287" customFormat="1" ht="12" hidden="1" customHeight="1">
      <c r="A7032" s="286"/>
    </row>
    <row r="7033" spans="1:1" s="287" customFormat="1" ht="12" hidden="1" customHeight="1">
      <c r="A7033" s="286"/>
    </row>
    <row r="7034" spans="1:1" s="287" customFormat="1" ht="12" hidden="1" customHeight="1">
      <c r="A7034" s="286"/>
    </row>
    <row r="7035" spans="1:1" s="287" customFormat="1" ht="12" hidden="1" customHeight="1">
      <c r="A7035" s="286"/>
    </row>
    <row r="7036" spans="1:1" s="287" customFormat="1" ht="12" hidden="1" customHeight="1">
      <c r="A7036" s="286"/>
    </row>
    <row r="7037" spans="1:1" s="287" customFormat="1" ht="12" hidden="1" customHeight="1">
      <c r="A7037" s="286"/>
    </row>
    <row r="7038" spans="1:1" s="287" customFormat="1" ht="12" hidden="1" customHeight="1">
      <c r="A7038" s="286"/>
    </row>
    <row r="7039" spans="1:1" s="287" customFormat="1" ht="12" hidden="1" customHeight="1">
      <c r="A7039" s="286"/>
    </row>
    <row r="7040" spans="1:1" s="287" customFormat="1" ht="12" hidden="1" customHeight="1">
      <c r="A7040" s="286"/>
    </row>
    <row r="7041" spans="1:1" s="287" customFormat="1" ht="12" hidden="1" customHeight="1">
      <c r="A7041" s="286"/>
    </row>
    <row r="7042" spans="1:1" s="287" customFormat="1" ht="12" hidden="1" customHeight="1">
      <c r="A7042" s="286"/>
    </row>
    <row r="7043" spans="1:1" s="287" customFormat="1" ht="12" hidden="1" customHeight="1">
      <c r="A7043" s="286"/>
    </row>
    <row r="7044" spans="1:1" s="287" customFormat="1" ht="12" hidden="1" customHeight="1">
      <c r="A7044" s="286"/>
    </row>
    <row r="7045" spans="1:1" s="287" customFormat="1" ht="12" hidden="1" customHeight="1">
      <c r="A7045" s="286"/>
    </row>
    <row r="7046" spans="1:1" s="287" customFormat="1" ht="12" hidden="1" customHeight="1">
      <c r="A7046" s="286"/>
    </row>
    <row r="7047" spans="1:1" s="287" customFormat="1" ht="12" hidden="1" customHeight="1">
      <c r="A7047" s="286"/>
    </row>
    <row r="7048" spans="1:1" s="287" customFormat="1" ht="12" hidden="1" customHeight="1">
      <c r="A7048" s="286"/>
    </row>
    <row r="7049" spans="1:1" s="287" customFormat="1" ht="12" hidden="1" customHeight="1">
      <c r="A7049" s="286"/>
    </row>
    <row r="7050" spans="1:1" s="287" customFormat="1" ht="12" hidden="1" customHeight="1">
      <c r="A7050" s="286"/>
    </row>
    <row r="7051" spans="1:1" s="287" customFormat="1" ht="12" hidden="1" customHeight="1">
      <c r="A7051" s="286"/>
    </row>
    <row r="7052" spans="1:1" s="287" customFormat="1" ht="12" hidden="1" customHeight="1">
      <c r="A7052" s="286"/>
    </row>
    <row r="7053" spans="1:1" s="287" customFormat="1" ht="12" hidden="1" customHeight="1">
      <c r="A7053" s="286"/>
    </row>
    <row r="7054" spans="1:1" s="287" customFormat="1" ht="12" hidden="1" customHeight="1">
      <c r="A7054" s="286"/>
    </row>
    <row r="7055" spans="1:1" s="287" customFormat="1" ht="12" hidden="1" customHeight="1">
      <c r="A7055" s="286"/>
    </row>
    <row r="7056" spans="1:1" s="287" customFormat="1" ht="12" hidden="1" customHeight="1">
      <c r="A7056" s="286"/>
    </row>
    <row r="7057" spans="1:1" s="287" customFormat="1" ht="12" hidden="1" customHeight="1">
      <c r="A7057" s="286"/>
    </row>
    <row r="7058" spans="1:1" s="287" customFormat="1" ht="12" hidden="1" customHeight="1">
      <c r="A7058" s="286"/>
    </row>
    <row r="7059" spans="1:1" s="287" customFormat="1" ht="12" hidden="1" customHeight="1">
      <c r="A7059" s="286"/>
    </row>
    <row r="7060" spans="1:1" s="287" customFormat="1" ht="12" hidden="1" customHeight="1">
      <c r="A7060" s="286"/>
    </row>
    <row r="7061" spans="1:1" s="287" customFormat="1" ht="12" hidden="1" customHeight="1">
      <c r="A7061" s="286"/>
    </row>
    <row r="7062" spans="1:1" s="287" customFormat="1" ht="12" hidden="1" customHeight="1">
      <c r="A7062" s="286"/>
    </row>
    <row r="7063" spans="1:1" s="287" customFormat="1" ht="12" hidden="1" customHeight="1">
      <c r="A7063" s="286"/>
    </row>
    <row r="7064" spans="1:1" s="287" customFormat="1" ht="12" hidden="1" customHeight="1">
      <c r="A7064" s="286"/>
    </row>
    <row r="7065" spans="1:1" s="287" customFormat="1" ht="12" hidden="1" customHeight="1">
      <c r="A7065" s="286"/>
    </row>
    <row r="7066" spans="1:1" s="287" customFormat="1" ht="12" hidden="1" customHeight="1">
      <c r="A7066" s="286"/>
    </row>
    <row r="7067" spans="1:1" s="287" customFormat="1" ht="12" hidden="1" customHeight="1">
      <c r="A7067" s="286"/>
    </row>
    <row r="7068" spans="1:1" s="287" customFormat="1" ht="12" hidden="1" customHeight="1">
      <c r="A7068" s="286"/>
    </row>
    <row r="7069" spans="1:1" s="287" customFormat="1" ht="12" hidden="1" customHeight="1">
      <c r="A7069" s="286"/>
    </row>
    <row r="7070" spans="1:1" s="287" customFormat="1" ht="12" hidden="1" customHeight="1">
      <c r="A7070" s="286"/>
    </row>
    <row r="7071" spans="1:1" s="287" customFormat="1" ht="12" hidden="1" customHeight="1">
      <c r="A7071" s="286"/>
    </row>
    <row r="7072" spans="1:1" s="287" customFormat="1" ht="12" hidden="1" customHeight="1">
      <c r="A7072" s="286"/>
    </row>
    <row r="7073" spans="1:1" s="287" customFormat="1" ht="12" hidden="1" customHeight="1">
      <c r="A7073" s="286"/>
    </row>
    <row r="7074" spans="1:1" s="287" customFormat="1" ht="12" hidden="1" customHeight="1">
      <c r="A7074" s="286"/>
    </row>
    <row r="7075" spans="1:1" s="287" customFormat="1" ht="12" hidden="1" customHeight="1">
      <c r="A7075" s="286"/>
    </row>
    <row r="7076" spans="1:1" s="287" customFormat="1" ht="12" hidden="1" customHeight="1">
      <c r="A7076" s="286"/>
    </row>
    <row r="7077" spans="1:1" s="287" customFormat="1" ht="12" hidden="1" customHeight="1">
      <c r="A7077" s="286"/>
    </row>
    <row r="7078" spans="1:1" s="287" customFormat="1" ht="12" hidden="1" customHeight="1">
      <c r="A7078" s="286"/>
    </row>
    <row r="7079" spans="1:1" s="287" customFormat="1" ht="12" hidden="1" customHeight="1">
      <c r="A7079" s="286"/>
    </row>
    <row r="7080" spans="1:1" s="287" customFormat="1" ht="12" hidden="1" customHeight="1">
      <c r="A7080" s="286"/>
    </row>
    <row r="7081" spans="1:1" s="287" customFormat="1" ht="12" hidden="1" customHeight="1">
      <c r="A7081" s="286"/>
    </row>
    <row r="7082" spans="1:1" s="287" customFormat="1" ht="12" hidden="1" customHeight="1">
      <c r="A7082" s="286"/>
    </row>
    <row r="7083" spans="1:1" s="287" customFormat="1" ht="12" hidden="1" customHeight="1">
      <c r="A7083" s="286"/>
    </row>
    <row r="7084" spans="1:1" s="287" customFormat="1" ht="12" hidden="1" customHeight="1">
      <c r="A7084" s="286"/>
    </row>
    <row r="7085" spans="1:1" s="287" customFormat="1" ht="12" hidden="1" customHeight="1">
      <c r="A7085" s="286"/>
    </row>
    <row r="7086" spans="1:1" s="287" customFormat="1" ht="12" hidden="1" customHeight="1">
      <c r="A7086" s="286"/>
    </row>
    <row r="7087" spans="1:1" s="287" customFormat="1" ht="12" hidden="1" customHeight="1">
      <c r="A7087" s="286"/>
    </row>
    <row r="7088" spans="1:1" s="287" customFormat="1" ht="12" hidden="1" customHeight="1">
      <c r="A7088" s="286"/>
    </row>
    <row r="7089" spans="1:1" s="287" customFormat="1" ht="12" hidden="1" customHeight="1">
      <c r="A7089" s="286"/>
    </row>
    <row r="7090" spans="1:1" s="287" customFormat="1" ht="12" hidden="1" customHeight="1">
      <c r="A7090" s="286"/>
    </row>
    <row r="7091" spans="1:1" s="287" customFormat="1" ht="12" hidden="1" customHeight="1">
      <c r="A7091" s="286"/>
    </row>
    <row r="7092" spans="1:1" s="287" customFormat="1" ht="12" hidden="1" customHeight="1">
      <c r="A7092" s="286"/>
    </row>
    <row r="7093" spans="1:1" s="287" customFormat="1" ht="12" hidden="1" customHeight="1">
      <c r="A7093" s="286"/>
    </row>
    <row r="7094" spans="1:1" s="287" customFormat="1" ht="12" hidden="1" customHeight="1">
      <c r="A7094" s="286"/>
    </row>
    <row r="7095" spans="1:1" s="287" customFormat="1" ht="12" hidden="1" customHeight="1">
      <c r="A7095" s="286"/>
    </row>
    <row r="7096" spans="1:1" s="287" customFormat="1" ht="12" hidden="1" customHeight="1">
      <c r="A7096" s="286"/>
    </row>
    <row r="7097" spans="1:1" s="287" customFormat="1" ht="12" hidden="1" customHeight="1">
      <c r="A7097" s="286"/>
    </row>
    <row r="7098" spans="1:1" s="287" customFormat="1" ht="12" hidden="1" customHeight="1">
      <c r="A7098" s="286"/>
    </row>
    <row r="7099" spans="1:1" s="287" customFormat="1" ht="12" hidden="1" customHeight="1">
      <c r="A7099" s="286"/>
    </row>
    <row r="7100" spans="1:1" s="287" customFormat="1" ht="12" hidden="1" customHeight="1">
      <c r="A7100" s="286"/>
    </row>
    <row r="7101" spans="1:1" s="287" customFormat="1" ht="12" hidden="1" customHeight="1">
      <c r="A7101" s="286"/>
    </row>
    <row r="7102" spans="1:1" s="287" customFormat="1" ht="12" hidden="1" customHeight="1">
      <c r="A7102" s="286"/>
    </row>
    <row r="7103" spans="1:1" s="287" customFormat="1" ht="12" hidden="1" customHeight="1">
      <c r="A7103" s="286"/>
    </row>
    <row r="7104" spans="1:1" s="287" customFormat="1" ht="12" hidden="1" customHeight="1">
      <c r="A7104" s="286"/>
    </row>
    <row r="7105" spans="1:1" s="287" customFormat="1" ht="12" hidden="1" customHeight="1">
      <c r="A7105" s="286"/>
    </row>
    <row r="7106" spans="1:1" s="287" customFormat="1" ht="12" hidden="1" customHeight="1">
      <c r="A7106" s="286"/>
    </row>
    <row r="7107" spans="1:1" s="287" customFormat="1" ht="12" hidden="1" customHeight="1">
      <c r="A7107" s="286"/>
    </row>
    <row r="7108" spans="1:1" s="287" customFormat="1" ht="12" hidden="1" customHeight="1">
      <c r="A7108" s="286"/>
    </row>
    <row r="7109" spans="1:1" s="287" customFormat="1" ht="12" hidden="1" customHeight="1">
      <c r="A7109" s="286"/>
    </row>
    <row r="7110" spans="1:1" s="287" customFormat="1" ht="12" hidden="1" customHeight="1">
      <c r="A7110" s="286"/>
    </row>
    <row r="7111" spans="1:1" s="287" customFormat="1" ht="12" hidden="1" customHeight="1">
      <c r="A7111" s="286"/>
    </row>
    <row r="7112" spans="1:1" s="287" customFormat="1" ht="12" hidden="1" customHeight="1">
      <c r="A7112" s="286"/>
    </row>
    <row r="7113" spans="1:1" s="287" customFormat="1" ht="12" hidden="1" customHeight="1">
      <c r="A7113" s="286"/>
    </row>
    <row r="7114" spans="1:1" s="287" customFormat="1" ht="12" hidden="1" customHeight="1">
      <c r="A7114" s="286"/>
    </row>
    <row r="7115" spans="1:1" s="287" customFormat="1" ht="12" hidden="1" customHeight="1">
      <c r="A7115" s="286"/>
    </row>
    <row r="7116" spans="1:1" s="287" customFormat="1" ht="12" hidden="1" customHeight="1">
      <c r="A7116" s="286"/>
    </row>
    <row r="7117" spans="1:1" s="287" customFormat="1" ht="12" hidden="1" customHeight="1">
      <c r="A7117" s="286"/>
    </row>
    <row r="7118" spans="1:1" s="287" customFormat="1" ht="12" hidden="1" customHeight="1">
      <c r="A7118" s="286"/>
    </row>
    <row r="7119" spans="1:1" s="287" customFormat="1" ht="12" hidden="1" customHeight="1">
      <c r="A7119" s="286"/>
    </row>
    <row r="7120" spans="1:1" s="287" customFormat="1" ht="12" hidden="1" customHeight="1">
      <c r="A7120" s="286"/>
    </row>
    <row r="7121" spans="1:1" s="287" customFormat="1" ht="12" hidden="1" customHeight="1">
      <c r="A7121" s="286"/>
    </row>
    <row r="7122" spans="1:1" s="287" customFormat="1" ht="12" hidden="1" customHeight="1">
      <c r="A7122" s="286"/>
    </row>
    <row r="7123" spans="1:1" s="287" customFormat="1" ht="12" hidden="1" customHeight="1">
      <c r="A7123" s="286"/>
    </row>
    <row r="7124" spans="1:1" s="287" customFormat="1" ht="12" hidden="1" customHeight="1">
      <c r="A7124" s="286"/>
    </row>
    <row r="7125" spans="1:1" s="287" customFormat="1" ht="12" hidden="1" customHeight="1">
      <c r="A7125" s="286"/>
    </row>
    <row r="7126" spans="1:1" s="287" customFormat="1" ht="12" hidden="1" customHeight="1">
      <c r="A7126" s="286"/>
    </row>
    <row r="7127" spans="1:1" s="287" customFormat="1" ht="12" hidden="1" customHeight="1">
      <c r="A7127" s="286"/>
    </row>
    <row r="7128" spans="1:1" s="287" customFormat="1" ht="12" hidden="1" customHeight="1">
      <c r="A7128" s="286"/>
    </row>
    <row r="7129" spans="1:1" s="287" customFormat="1" ht="12" hidden="1" customHeight="1">
      <c r="A7129" s="286"/>
    </row>
    <row r="7130" spans="1:1" s="287" customFormat="1" ht="12" hidden="1" customHeight="1">
      <c r="A7130" s="286"/>
    </row>
    <row r="7131" spans="1:1" s="287" customFormat="1" ht="12" hidden="1" customHeight="1">
      <c r="A7131" s="286"/>
    </row>
    <row r="7132" spans="1:1" s="287" customFormat="1" ht="12" hidden="1" customHeight="1">
      <c r="A7132" s="286"/>
    </row>
    <row r="7133" spans="1:1" s="287" customFormat="1" ht="12" hidden="1" customHeight="1">
      <c r="A7133" s="286"/>
    </row>
    <row r="7134" spans="1:1" s="287" customFormat="1" ht="12" hidden="1" customHeight="1">
      <c r="A7134" s="286"/>
    </row>
    <row r="7135" spans="1:1" s="287" customFormat="1" ht="12" hidden="1" customHeight="1">
      <c r="A7135" s="286"/>
    </row>
    <row r="7136" spans="1:1" s="287" customFormat="1" ht="12" hidden="1" customHeight="1">
      <c r="A7136" s="286"/>
    </row>
    <row r="7137" spans="1:1" s="287" customFormat="1" ht="12" hidden="1" customHeight="1">
      <c r="A7137" s="286"/>
    </row>
    <row r="7138" spans="1:1" s="287" customFormat="1" ht="12" hidden="1" customHeight="1">
      <c r="A7138" s="286"/>
    </row>
    <row r="7139" spans="1:1" s="287" customFormat="1" ht="12" hidden="1" customHeight="1">
      <c r="A7139" s="286"/>
    </row>
    <row r="7140" spans="1:1" s="287" customFormat="1" ht="12" hidden="1" customHeight="1">
      <c r="A7140" s="286"/>
    </row>
    <row r="7141" spans="1:1" s="287" customFormat="1" ht="12" hidden="1" customHeight="1">
      <c r="A7141" s="286"/>
    </row>
    <row r="7142" spans="1:1" s="287" customFormat="1" ht="12" hidden="1" customHeight="1">
      <c r="A7142" s="286"/>
    </row>
    <row r="7143" spans="1:1" s="287" customFormat="1" ht="12" hidden="1" customHeight="1">
      <c r="A7143" s="286"/>
    </row>
    <row r="7144" spans="1:1" s="287" customFormat="1" ht="12" hidden="1" customHeight="1">
      <c r="A7144" s="286"/>
    </row>
    <row r="7145" spans="1:1" s="287" customFormat="1" ht="12" hidden="1" customHeight="1">
      <c r="A7145" s="286"/>
    </row>
    <row r="7146" spans="1:1" s="287" customFormat="1" ht="12" hidden="1" customHeight="1">
      <c r="A7146" s="286"/>
    </row>
    <row r="7147" spans="1:1" s="287" customFormat="1" ht="12" hidden="1" customHeight="1">
      <c r="A7147" s="286"/>
    </row>
    <row r="7148" spans="1:1" s="287" customFormat="1" ht="12" hidden="1" customHeight="1">
      <c r="A7148" s="286"/>
    </row>
    <row r="7149" spans="1:1" s="287" customFormat="1" ht="12" hidden="1" customHeight="1">
      <c r="A7149" s="286"/>
    </row>
    <row r="7150" spans="1:1" s="287" customFormat="1" ht="12" hidden="1" customHeight="1">
      <c r="A7150" s="286"/>
    </row>
    <row r="7151" spans="1:1" s="287" customFormat="1" ht="12" hidden="1" customHeight="1">
      <c r="A7151" s="286"/>
    </row>
    <row r="7152" spans="1:1" s="287" customFormat="1" ht="12" hidden="1" customHeight="1">
      <c r="A7152" s="286"/>
    </row>
    <row r="7153" spans="1:1" s="287" customFormat="1" ht="12" hidden="1" customHeight="1">
      <c r="A7153" s="286"/>
    </row>
    <row r="7154" spans="1:1" s="287" customFormat="1" ht="12" hidden="1" customHeight="1">
      <c r="A7154" s="286"/>
    </row>
    <row r="7155" spans="1:1" s="287" customFormat="1" ht="12" hidden="1" customHeight="1">
      <c r="A7155" s="286"/>
    </row>
    <row r="7156" spans="1:1" s="287" customFormat="1" ht="12" hidden="1" customHeight="1">
      <c r="A7156" s="286"/>
    </row>
    <row r="7157" spans="1:1" s="287" customFormat="1" ht="12" hidden="1" customHeight="1">
      <c r="A7157" s="286"/>
    </row>
    <row r="7158" spans="1:1" s="287" customFormat="1" ht="12" hidden="1" customHeight="1">
      <c r="A7158" s="286"/>
    </row>
    <row r="7159" spans="1:1" s="287" customFormat="1" ht="12" hidden="1" customHeight="1">
      <c r="A7159" s="286"/>
    </row>
    <row r="7160" spans="1:1" s="287" customFormat="1" ht="12" hidden="1" customHeight="1">
      <c r="A7160" s="286"/>
    </row>
    <row r="7161" spans="1:1" s="287" customFormat="1" ht="12" hidden="1" customHeight="1">
      <c r="A7161" s="286"/>
    </row>
    <row r="7162" spans="1:1" s="287" customFormat="1" ht="12" hidden="1" customHeight="1">
      <c r="A7162" s="286"/>
    </row>
    <row r="7163" spans="1:1" s="287" customFormat="1" ht="12" hidden="1" customHeight="1">
      <c r="A7163" s="286"/>
    </row>
    <row r="7164" spans="1:1" s="287" customFormat="1" ht="12" hidden="1" customHeight="1">
      <c r="A7164" s="286"/>
    </row>
    <row r="7165" spans="1:1" s="287" customFormat="1" ht="12" hidden="1" customHeight="1">
      <c r="A7165" s="286"/>
    </row>
    <row r="7166" spans="1:1" s="287" customFormat="1" ht="12" hidden="1" customHeight="1">
      <c r="A7166" s="286"/>
    </row>
    <row r="7167" spans="1:1" s="287" customFormat="1" ht="12" hidden="1" customHeight="1">
      <c r="A7167" s="286"/>
    </row>
    <row r="7168" spans="1:1" s="287" customFormat="1" ht="12" hidden="1" customHeight="1">
      <c r="A7168" s="286"/>
    </row>
    <row r="7169" spans="1:1" s="287" customFormat="1" ht="12" hidden="1" customHeight="1">
      <c r="A7169" s="286"/>
    </row>
    <row r="7170" spans="1:1" s="287" customFormat="1" ht="12" hidden="1" customHeight="1">
      <c r="A7170" s="286"/>
    </row>
    <row r="7171" spans="1:1" s="287" customFormat="1" ht="12" hidden="1" customHeight="1">
      <c r="A7171" s="286"/>
    </row>
    <row r="7172" spans="1:1" s="287" customFormat="1" ht="12" hidden="1" customHeight="1">
      <c r="A7172" s="286"/>
    </row>
    <row r="7173" spans="1:1" s="287" customFormat="1" ht="12" hidden="1" customHeight="1">
      <c r="A7173" s="286"/>
    </row>
    <row r="7174" spans="1:1" s="287" customFormat="1" ht="12" hidden="1" customHeight="1">
      <c r="A7174" s="286"/>
    </row>
    <row r="7175" spans="1:1" s="287" customFormat="1" ht="12" hidden="1" customHeight="1">
      <c r="A7175" s="286"/>
    </row>
    <row r="7176" spans="1:1" s="287" customFormat="1" ht="12" hidden="1" customHeight="1">
      <c r="A7176" s="286"/>
    </row>
    <row r="7177" spans="1:1" s="287" customFormat="1" ht="12" hidden="1" customHeight="1">
      <c r="A7177" s="286"/>
    </row>
    <row r="7178" spans="1:1" s="287" customFormat="1" ht="12" hidden="1" customHeight="1">
      <c r="A7178" s="286"/>
    </row>
    <row r="7179" spans="1:1" s="287" customFormat="1" ht="12" hidden="1" customHeight="1">
      <c r="A7179" s="286"/>
    </row>
    <row r="7180" spans="1:1" s="287" customFormat="1" ht="12" hidden="1" customHeight="1">
      <c r="A7180" s="286"/>
    </row>
    <row r="7181" spans="1:1" s="287" customFormat="1" ht="12" hidden="1" customHeight="1">
      <c r="A7181" s="286"/>
    </row>
    <row r="7182" spans="1:1" s="287" customFormat="1" ht="12" hidden="1" customHeight="1">
      <c r="A7182" s="286"/>
    </row>
    <row r="7183" spans="1:1" s="287" customFormat="1" ht="12" hidden="1" customHeight="1">
      <c r="A7183" s="286"/>
    </row>
    <row r="7184" spans="1:1" s="287" customFormat="1" ht="12" hidden="1" customHeight="1">
      <c r="A7184" s="286"/>
    </row>
    <row r="7185" spans="1:1" s="287" customFormat="1" ht="12" hidden="1" customHeight="1">
      <c r="A7185" s="286"/>
    </row>
    <row r="7186" spans="1:1" s="287" customFormat="1" ht="12" hidden="1" customHeight="1">
      <c r="A7186" s="286"/>
    </row>
    <row r="7187" spans="1:1" s="287" customFormat="1" ht="12" hidden="1" customHeight="1">
      <c r="A7187" s="286"/>
    </row>
    <row r="7188" spans="1:1" s="287" customFormat="1" ht="12" hidden="1" customHeight="1">
      <c r="A7188" s="286"/>
    </row>
    <row r="7189" spans="1:1" s="287" customFormat="1" ht="12" hidden="1" customHeight="1">
      <c r="A7189" s="286"/>
    </row>
    <row r="7190" spans="1:1" s="287" customFormat="1" ht="12" hidden="1" customHeight="1">
      <c r="A7190" s="286"/>
    </row>
    <row r="7191" spans="1:1" s="287" customFormat="1" ht="12" hidden="1" customHeight="1">
      <c r="A7191" s="286"/>
    </row>
    <row r="7192" spans="1:1" s="287" customFormat="1" ht="12" hidden="1" customHeight="1">
      <c r="A7192" s="286"/>
    </row>
    <row r="7193" spans="1:1" s="287" customFormat="1" ht="12" hidden="1" customHeight="1">
      <c r="A7193" s="286"/>
    </row>
    <row r="7194" spans="1:1" s="287" customFormat="1" ht="12" hidden="1" customHeight="1">
      <c r="A7194" s="286"/>
    </row>
    <row r="7195" spans="1:1" s="287" customFormat="1" ht="12" hidden="1" customHeight="1">
      <c r="A7195" s="286"/>
    </row>
    <row r="7196" spans="1:1" s="287" customFormat="1" ht="12" hidden="1" customHeight="1">
      <c r="A7196" s="286"/>
    </row>
    <row r="7197" spans="1:1" s="287" customFormat="1" ht="12" hidden="1" customHeight="1">
      <c r="A7197" s="286"/>
    </row>
    <row r="7198" spans="1:1" s="287" customFormat="1" ht="12" hidden="1" customHeight="1">
      <c r="A7198" s="286"/>
    </row>
    <row r="7199" spans="1:1" s="287" customFormat="1" ht="12" hidden="1" customHeight="1">
      <c r="A7199" s="286"/>
    </row>
    <row r="7200" spans="1:1" s="287" customFormat="1" ht="12" hidden="1" customHeight="1">
      <c r="A7200" s="286"/>
    </row>
    <row r="7201" spans="1:1" s="287" customFormat="1" ht="12" hidden="1" customHeight="1">
      <c r="A7201" s="286"/>
    </row>
    <row r="7202" spans="1:1" s="287" customFormat="1" ht="12" hidden="1" customHeight="1">
      <c r="A7202" s="286"/>
    </row>
    <row r="7203" spans="1:1" s="287" customFormat="1" ht="12" hidden="1" customHeight="1">
      <c r="A7203" s="286"/>
    </row>
    <row r="7204" spans="1:1" s="287" customFormat="1" ht="12" hidden="1" customHeight="1">
      <c r="A7204" s="286"/>
    </row>
    <row r="7205" spans="1:1" s="287" customFormat="1" ht="12" hidden="1" customHeight="1">
      <c r="A7205" s="286"/>
    </row>
    <row r="7206" spans="1:1" s="287" customFormat="1" ht="12" hidden="1" customHeight="1">
      <c r="A7206" s="286"/>
    </row>
    <row r="7207" spans="1:1" s="287" customFormat="1" ht="12" hidden="1" customHeight="1">
      <c r="A7207" s="286"/>
    </row>
    <row r="7208" spans="1:1" s="287" customFormat="1" ht="12" hidden="1" customHeight="1">
      <c r="A7208" s="286"/>
    </row>
    <row r="7209" spans="1:1" s="287" customFormat="1" ht="12" hidden="1" customHeight="1">
      <c r="A7209" s="286"/>
    </row>
    <row r="7210" spans="1:1" s="287" customFormat="1" ht="12" hidden="1" customHeight="1">
      <c r="A7210" s="286"/>
    </row>
    <row r="7211" spans="1:1" s="287" customFormat="1" ht="12" hidden="1" customHeight="1">
      <c r="A7211" s="286"/>
    </row>
    <row r="7212" spans="1:1" s="287" customFormat="1" ht="12" hidden="1" customHeight="1">
      <c r="A7212" s="286"/>
    </row>
    <row r="7213" spans="1:1" s="287" customFormat="1" ht="12" hidden="1" customHeight="1">
      <c r="A7213" s="286"/>
    </row>
    <row r="7214" spans="1:1" s="287" customFormat="1" ht="12" hidden="1" customHeight="1">
      <c r="A7214" s="286"/>
    </row>
    <row r="7215" spans="1:1" s="287" customFormat="1" ht="12" hidden="1" customHeight="1">
      <c r="A7215" s="286"/>
    </row>
    <row r="7216" spans="1:1" s="287" customFormat="1" ht="12" hidden="1" customHeight="1">
      <c r="A7216" s="286"/>
    </row>
    <row r="7217" spans="1:1" s="287" customFormat="1" ht="12" hidden="1" customHeight="1">
      <c r="A7217" s="286"/>
    </row>
    <row r="7218" spans="1:1" s="287" customFormat="1" ht="12" hidden="1" customHeight="1">
      <c r="A7218" s="286"/>
    </row>
    <row r="7219" spans="1:1" s="287" customFormat="1" ht="12" hidden="1" customHeight="1">
      <c r="A7219" s="286"/>
    </row>
    <row r="7220" spans="1:1" s="287" customFormat="1" ht="12" hidden="1" customHeight="1">
      <c r="A7220" s="286"/>
    </row>
    <row r="7221" spans="1:1" s="287" customFormat="1" ht="12" hidden="1" customHeight="1">
      <c r="A7221" s="286"/>
    </row>
    <row r="7222" spans="1:1" s="287" customFormat="1" ht="12" hidden="1" customHeight="1">
      <c r="A7222" s="286"/>
    </row>
    <row r="7223" spans="1:1" s="287" customFormat="1" ht="12" hidden="1" customHeight="1">
      <c r="A7223" s="286"/>
    </row>
    <row r="7224" spans="1:1" s="287" customFormat="1" ht="12" hidden="1" customHeight="1">
      <c r="A7224" s="286"/>
    </row>
    <row r="7225" spans="1:1" s="287" customFormat="1" ht="12" hidden="1" customHeight="1">
      <c r="A7225" s="286"/>
    </row>
    <row r="7226" spans="1:1" s="287" customFormat="1" ht="12" hidden="1" customHeight="1">
      <c r="A7226" s="286"/>
    </row>
    <row r="7227" spans="1:1" s="287" customFormat="1" ht="12" hidden="1" customHeight="1">
      <c r="A7227" s="286"/>
    </row>
    <row r="7228" spans="1:1" s="287" customFormat="1" ht="12" hidden="1" customHeight="1">
      <c r="A7228" s="286"/>
    </row>
    <row r="7229" spans="1:1" s="287" customFormat="1" ht="12" hidden="1" customHeight="1">
      <c r="A7229" s="286"/>
    </row>
    <row r="7230" spans="1:1" s="287" customFormat="1" ht="12" hidden="1" customHeight="1">
      <c r="A7230" s="286"/>
    </row>
    <row r="7231" spans="1:1" s="287" customFormat="1" ht="12" hidden="1" customHeight="1">
      <c r="A7231" s="286"/>
    </row>
    <row r="7232" spans="1:1" s="287" customFormat="1" ht="12" hidden="1" customHeight="1">
      <c r="A7232" s="286"/>
    </row>
    <row r="7233" spans="1:1" s="287" customFormat="1" ht="12" hidden="1" customHeight="1">
      <c r="A7233" s="286"/>
    </row>
    <row r="7234" spans="1:1" s="287" customFormat="1" ht="12" hidden="1" customHeight="1">
      <c r="A7234" s="286"/>
    </row>
    <row r="7235" spans="1:1" s="287" customFormat="1" ht="12" hidden="1" customHeight="1">
      <c r="A7235" s="286"/>
    </row>
    <row r="7236" spans="1:1" s="287" customFormat="1" ht="12" hidden="1" customHeight="1">
      <c r="A7236" s="286"/>
    </row>
    <row r="7237" spans="1:1" s="287" customFormat="1" ht="12" hidden="1" customHeight="1">
      <c r="A7237" s="286"/>
    </row>
    <row r="7238" spans="1:1" s="287" customFormat="1" ht="12" hidden="1" customHeight="1">
      <c r="A7238" s="286"/>
    </row>
    <row r="7239" spans="1:1" s="287" customFormat="1" ht="12" hidden="1" customHeight="1">
      <c r="A7239" s="286"/>
    </row>
    <row r="7240" spans="1:1" s="287" customFormat="1" ht="12" hidden="1" customHeight="1">
      <c r="A7240" s="286"/>
    </row>
    <row r="7241" spans="1:1" s="287" customFormat="1" ht="12" hidden="1" customHeight="1">
      <c r="A7241" s="286"/>
    </row>
    <row r="7242" spans="1:1" s="287" customFormat="1" ht="12" hidden="1" customHeight="1">
      <c r="A7242" s="286"/>
    </row>
    <row r="7243" spans="1:1" s="287" customFormat="1" ht="12" hidden="1" customHeight="1">
      <c r="A7243" s="286"/>
    </row>
    <row r="7244" spans="1:1" s="287" customFormat="1" ht="12" hidden="1" customHeight="1">
      <c r="A7244" s="286"/>
    </row>
    <row r="7245" spans="1:1" s="287" customFormat="1" ht="12" hidden="1" customHeight="1">
      <c r="A7245" s="286"/>
    </row>
    <row r="7246" spans="1:1" s="287" customFormat="1" ht="12" hidden="1" customHeight="1">
      <c r="A7246" s="286"/>
    </row>
    <row r="7247" spans="1:1" s="287" customFormat="1" ht="12" hidden="1" customHeight="1">
      <c r="A7247" s="286"/>
    </row>
    <row r="7248" spans="1:1" s="287" customFormat="1" ht="12" hidden="1" customHeight="1">
      <c r="A7248" s="286"/>
    </row>
    <row r="7249" spans="1:1" s="287" customFormat="1" ht="12" hidden="1" customHeight="1">
      <c r="A7249" s="286"/>
    </row>
    <row r="7250" spans="1:1" s="287" customFormat="1" ht="12" hidden="1" customHeight="1">
      <c r="A7250" s="286"/>
    </row>
    <row r="7251" spans="1:1" s="287" customFormat="1" ht="12" hidden="1" customHeight="1">
      <c r="A7251" s="286"/>
    </row>
    <row r="7252" spans="1:1" s="287" customFormat="1" ht="12" hidden="1" customHeight="1">
      <c r="A7252" s="286"/>
    </row>
    <row r="7253" spans="1:1" s="287" customFormat="1" ht="12" hidden="1" customHeight="1">
      <c r="A7253" s="286"/>
    </row>
    <row r="7254" spans="1:1" s="287" customFormat="1" ht="12" hidden="1" customHeight="1">
      <c r="A7254" s="286"/>
    </row>
    <row r="7255" spans="1:1" s="287" customFormat="1" ht="12" hidden="1" customHeight="1">
      <c r="A7255" s="286"/>
    </row>
    <row r="7256" spans="1:1" s="287" customFormat="1" ht="12" hidden="1" customHeight="1">
      <c r="A7256" s="286"/>
    </row>
    <row r="7257" spans="1:1" s="287" customFormat="1" ht="12" hidden="1" customHeight="1">
      <c r="A7257" s="286"/>
    </row>
    <row r="7258" spans="1:1" s="287" customFormat="1" ht="12" hidden="1" customHeight="1">
      <c r="A7258" s="286"/>
    </row>
    <row r="7259" spans="1:1" s="287" customFormat="1" ht="12" hidden="1" customHeight="1">
      <c r="A7259" s="286"/>
    </row>
    <row r="7260" spans="1:1" s="287" customFormat="1" ht="12" hidden="1" customHeight="1">
      <c r="A7260" s="286"/>
    </row>
    <row r="7261" spans="1:1" s="287" customFormat="1" ht="12" hidden="1" customHeight="1">
      <c r="A7261" s="286"/>
    </row>
    <row r="7262" spans="1:1" s="287" customFormat="1" ht="12" hidden="1" customHeight="1">
      <c r="A7262" s="286"/>
    </row>
    <row r="7263" spans="1:1" s="287" customFormat="1" ht="12" hidden="1" customHeight="1">
      <c r="A7263" s="286"/>
    </row>
    <row r="7264" spans="1:1" s="287" customFormat="1" ht="12" hidden="1" customHeight="1">
      <c r="A7264" s="286"/>
    </row>
    <row r="7265" spans="1:1" s="287" customFormat="1" ht="12" hidden="1" customHeight="1">
      <c r="A7265" s="286"/>
    </row>
    <row r="7266" spans="1:1" s="287" customFormat="1" ht="12" hidden="1" customHeight="1">
      <c r="A7266" s="286"/>
    </row>
    <row r="7267" spans="1:1" s="287" customFormat="1" ht="12" hidden="1" customHeight="1">
      <c r="A7267" s="286"/>
    </row>
    <row r="7268" spans="1:1" s="287" customFormat="1" ht="12" hidden="1" customHeight="1">
      <c r="A7268" s="286"/>
    </row>
    <row r="7269" spans="1:1" s="287" customFormat="1" ht="12" hidden="1" customHeight="1">
      <c r="A7269" s="286"/>
    </row>
    <row r="7270" spans="1:1" s="287" customFormat="1" ht="12" hidden="1" customHeight="1">
      <c r="A7270" s="286"/>
    </row>
    <row r="7271" spans="1:1" s="287" customFormat="1" ht="12" hidden="1" customHeight="1">
      <c r="A7271" s="286"/>
    </row>
    <row r="7272" spans="1:1" s="287" customFormat="1" ht="12" hidden="1" customHeight="1">
      <c r="A7272" s="286"/>
    </row>
    <row r="7273" spans="1:1" s="287" customFormat="1" ht="12" hidden="1" customHeight="1">
      <c r="A7273" s="286"/>
    </row>
    <row r="7274" spans="1:1" s="287" customFormat="1" ht="12" hidden="1" customHeight="1">
      <c r="A7274" s="286"/>
    </row>
    <row r="7275" spans="1:1" s="287" customFormat="1" ht="12" hidden="1" customHeight="1">
      <c r="A7275" s="286"/>
    </row>
    <row r="7276" spans="1:1" s="287" customFormat="1" ht="12" hidden="1" customHeight="1">
      <c r="A7276" s="286"/>
    </row>
    <row r="7277" spans="1:1" s="287" customFormat="1" ht="12" hidden="1" customHeight="1">
      <c r="A7277" s="286"/>
    </row>
    <row r="7278" spans="1:1" s="287" customFormat="1" ht="12" hidden="1" customHeight="1">
      <c r="A7278" s="286"/>
    </row>
    <row r="7279" spans="1:1" s="287" customFormat="1" ht="12" hidden="1" customHeight="1">
      <c r="A7279" s="286"/>
    </row>
    <row r="7280" spans="1:1" s="287" customFormat="1" ht="12" hidden="1" customHeight="1">
      <c r="A7280" s="286"/>
    </row>
    <row r="7281" spans="1:1" s="287" customFormat="1" ht="12" hidden="1" customHeight="1">
      <c r="A7281" s="286"/>
    </row>
    <row r="7282" spans="1:1" s="287" customFormat="1" ht="12" hidden="1" customHeight="1">
      <c r="A7282" s="286"/>
    </row>
    <row r="7283" spans="1:1" s="287" customFormat="1" ht="12" hidden="1" customHeight="1">
      <c r="A7283" s="286"/>
    </row>
    <row r="7284" spans="1:1" s="287" customFormat="1" ht="12" hidden="1" customHeight="1">
      <c r="A7284" s="286"/>
    </row>
    <row r="7285" spans="1:1" s="287" customFormat="1" ht="12" hidden="1" customHeight="1">
      <c r="A7285" s="286"/>
    </row>
    <row r="7286" spans="1:1" s="287" customFormat="1" ht="12" hidden="1" customHeight="1">
      <c r="A7286" s="286"/>
    </row>
    <row r="7287" spans="1:1" s="287" customFormat="1" ht="12" hidden="1" customHeight="1">
      <c r="A7287" s="286"/>
    </row>
    <row r="7288" spans="1:1" s="287" customFormat="1" ht="12" hidden="1" customHeight="1">
      <c r="A7288" s="286"/>
    </row>
    <row r="7289" spans="1:1" s="287" customFormat="1" ht="12" hidden="1" customHeight="1">
      <c r="A7289" s="286"/>
    </row>
    <row r="7290" spans="1:1" s="287" customFormat="1" ht="12" hidden="1" customHeight="1">
      <c r="A7290" s="286"/>
    </row>
    <row r="7291" spans="1:1" s="287" customFormat="1" ht="12" hidden="1" customHeight="1">
      <c r="A7291" s="286"/>
    </row>
    <row r="7292" spans="1:1" s="287" customFormat="1" ht="12" hidden="1" customHeight="1">
      <c r="A7292" s="286"/>
    </row>
    <row r="7293" spans="1:1" s="287" customFormat="1" ht="12" hidden="1" customHeight="1">
      <c r="A7293" s="286"/>
    </row>
    <row r="7294" spans="1:1" s="287" customFormat="1" ht="12" hidden="1" customHeight="1">
      <c r="A7294" s="286"/>
    </row>
    <row r="7295" spans="1:1" s="287" customFormat="1" ht="12" hidden="1" customHeight="1">
      <c r="A7295" s="286"/>
    </row>
    <row r="7296" spans="1:1" s="287" customFormat="1" ht="12" hidden="1" customHeight="1">
      <c r="A7296" s="286"/>
    </row>
    <row r="7297" spans="1:1" s="287" customFormat="1" ht="12" hidden="1" customHeight="1">
      <c r="A7297" s="286"/>
    </row>
    <row r="7298" spans="1:1" s="287" customFormat="1" ht="12" hidden="1" customHeight="1">
      <c r="A7298" s="286"/>
    </row>
    <row r="7299" spans="1:1" s="287" customFormat="1" ht="12" hidden="1" customHeight="1">
      <c r="A7299" s="286"/>
    </row>
    <row r="7300" spans="1:1" s="287" customFormat="1" ht="12" hidden="1" customHeight="1">
      <c r="A7300" s="286"/>
    </row>
    <row r="7301" spans="1:1" s="287" customFormat="1" ht="12" hidden="1" customHeight="1">
      <c r="A7301" s="286"/>
    </row>
    <row r="7302" spans="1:1" s="287" customFormat="1" ht="12" hidden="1" customHeight="1">
      <c r="A7302" s="286"/>
    </row>
    <row r="7303" spans="1:1" s="287" customFormat="1" ht="12" hidden="1" customHeight="1">
      <c r="A7303" s="286"/>
    </row>
    <row r="7304" spans="1:1" s="287" customFormat="1" ht="12" hidden="1" customHeight="1">
      <c r="A7304" s="286"/>
    </row>
    <row r="7305" spans="1:1" s="287" customFormat="1" ht="12" hidden="1" customHeight="1">
      <c r="A7305" s="286"/>
    </row>
    <row r="7306" spans="1:1" s="287" customFormat="1" ht="12" hidden="1" customHeight="1">
      <c r="A7306" s="286"/>
    </row>
    <row r="7307" spans="1:1" s="287" customFormat="1" ht="12" hidden="1" customHeight="1">
      <c r="A7307" s="286"/>
    </row>
    <row r="7308" spans="1:1" s="287" customFormat="1" ht="12" hidden="1" customHeight="1">
      <c r="A7308" s="286"/>
    </row>
    <row r="7309" spans="1:1" s="287" customFormat="1" ht="12" hidden="1" customHeight="1">
      <c r="A7309" s="286"/>
    </row>
    <row r="7310" spans="1:1" s="287" customFormat="1" ht="12" hidden="1" customHeight="1">
      <c r="A7310" s="286"/>
    </row>
    <row r="7311" spans="1:1" s="287" customFormat="1" ht="12" hidden="1" customHeight="1">
      <c r="A7311" s="286"/>
    </row>
    <row r="7312" spans="1:1" s="287" customFormat="1" ht="12" hidden="1" customHeight="1">
      <c r="A7312" s="286"/>
    </row>
    <row r="7313" spans="1:1" s="287" customFormat="1" ht="12" hidden="1" customHeight="1">
      <c r="A7313" s="286"/>
    </row>
    <row r="7314" spans="1:1" s="287" customFormat="1" ht="12" hidden="1" customHeight="1">
      <c r="A7314" s="286"/>
    </row>
    <row r="7315" spans="1:1" s="287" customFormat="1" ht="12" hidden="1" customHeight="1">
      <c r="A7315" s="286"/>
    </row>
    <row r="7316" spans="1:1" s="287" customFormat="1" ht="12" hidden="1" customHeight="1">
      <c r="A7316" s="286"/>
    </row>
    <row r="7317" spans="1:1" s="287" customFormat="1" ht="12" hidden="1" customHeight="1">
      <c r="A7317" s="286"/>
    </row>
    <row r="7318" spans="1:1" s="287" customFormat="1" ht="12" hidden="1" customHeight="1">
      <c r="A7318" s="286"/>
    </row>
    <row r="7319" spans="1:1" s="287" customFormat="1" ht="12" hidden="1" customHeight="1">
      <c r="A7319" s="286"/>
    </row>
    <row r="7320" spans="1:1" s="287" customFormat="1" ht="12" hidden="1" customHeight="1">
      <c r="A7320" s="286"/>
    </row>
    <row r="7321" spans="1:1" s="287" customFormat="1" ht="12" hidden="1" customHeight="1">
      <c r="A7321" s="286"/>
    </row>
    <row r="7322" spans="1:1" s="287" customFormat="1" ht="12" hidden="1" customHeight="1">
      <c r="A7322" s="286"/>
    </row>
    <row r="7323" spans="1:1" s="287" customFormat="1" ht="12" hidden="1" customHeight="1">
      <c r="A7323" s="286"/>
    </row>
    <row r="7324" spans="1:1" s="287" customFormat="1" ht="12" hidden="1" customHeight="1">
      <c r="A7324" s="286"/>
    </row>
    <row r="7325" spans="1:1" s="287" customFormat="1" ht="12" hidden="1" customHeight="1">
      <c r="A7325" s="286"/>
    </row>
    <row r="7326" spans="1:1" s="287" customFormat="1" ht="12" hidden="1" customHeight="1">
      <c r="A7326" s="286"/>
    </row>
    <row r="7327" spans="1:1" s="287" customFormat="1" ht="12" hidden="1" customHeight="1">
      <c r="A7327" s="286"/>
    </row>
    <row r="7328" spans="1:1" s="287" customFormat="1" ht="12" hidden="1" customHeight="1">
      <c r="A7328" s="286"/>
    </row>
    <row r="7329" spans="1:1" s="287" customFormat="1" ht="12" hidden="1" customHeight="1">
      <c r="A7329" s="286"/>
    </row>
    <row r="7330" spans="1:1" s="287" customFormat="1" ht="12" hidden="1" customHeight="1">
      <c r="A7330" s="286"/>
    </row>
    <row r="7331" spans="1:1" s="287" customFormat="1" ht="12" hidden="1" customHeight="1">
      <c r="A7331" s="286"/>
    </row>
    <row r="7332" spans="1:1" s="287" customFormat="1" ht="12" hidden="1" customHeight="1">
      <c r="A7332" s="286"/>
    </row>
    <row r="7333" spans="1:1" s="287" customFormat="1" ht="12" hidden="1" customHeight="1">
      <c r="A7333" s="286"/>
    </row>
    <row r="7334" spans="1:1" s="287" customFormat="1" ht="12" hidden="1" customHeight="1">
      <c r="A7334" s="286"/>
    </row>
    <row r="7335" spans="1:1" s="287" customFormat="1" ht="12" hidden="1" customHeight="1">
      <c r="A7335" s="286"/>
    </row>
    <row r="7336" spans="1:1" s="287" customFormat="1" ht="12" hidden="1" customHeight="1">
      <c r="A7336" s="286"/>
    </row>
    <row r="7337" spans="1:1" s="287" customFormat="1" ht="12" hidden="1" customHeight="1">
      <c r="A7337" s="286"/>
    </row>
    <row r="7338" spans="1:1" s="287" customFormat="1" ht="12" hidden="1" customHeight="1">
      <c r="A7338" s="286"/>
    </row>
    <row r="7339" spans="1:1" s="287" customFormat="1" ht="12" hidden="1" customHeight="1">
      <c r="A7339" s="286"/>
    </row>
    <row r="7340" spans="1:1" s="287" customFormat="1" ht="12" hidden="1" customHeight="1">
      <c r="A7340" s="286"/>
    </row>
    <row r="7341" spans="1:1" s="287" customFormat="1" ht="12" hidden="1" customHeight="1">
      <c r="A7341" s="286"/>
    </row>
    <row r="7342" spans="1:1" s="287" customFormat="1" ht="12" hidden="1" customHeight="1">
      <c r="A7342" s="286"/>
    </row>
    <row r="7343" spans="1:1" s="287" customFormat="1" ht="12" hidden="1" customHeight="1">
      <c r="A7343" s="286"/>
    </row>
    <row r="7344" spans="1:1" s="287" customFormat="1" ht="12" hidden="1" customHeight="1">
      <c r="A7344" s="286"/>
    </row>
    <row r="7345" spans="1:1" s="287" customFormat="1" ht="12" hidden="1" customHeight="1">
      <c r="A7345" s="286"/>
    </row>
    <row r="7346" spans="1:1" s="287" customFormat="1" ht="12" hidden="1" customHeight="1">
      <c r="A7346" s="286"/>
    </row>
    <row r="7347" spans="1:1" s="287" customFormat="1" ht="12" hidden="1" customHeight="1">
      <c r="A7347" s="286"/>
    </row>
    <row r="7348" spans="1:1" s="287" customFormat="1" ht="12" hidden="1" customHeight="1">
      <c r="A7348" s="286"/>
    </row>
    <row r="7349" spans="1:1" s="287" customFormat="1" ht="12" hidden="1" customHeight="1">
      <c r="A7349" s="286"/>
    </row>
    <row r="7350" spans="1:1" s="287" customFormat="1" ht="12" hidden="1" customHeight="1">
      <c r="A7350" s="286"/>
    </row>
    <row r="7351" spans="1:1" s="287" customFormat="1" ht="12" hidden="1" customHeight="1">
      <c r="A7351" s="286"/>
    </row>
    <row r="7352" spans="1:1" s="287" customFormat="1" ht="12" hidden="1" customHeight="1">
      <c r="A7352" s="286"/>
    </row>
    <row r="7353" spans="1:1" s="287" customFormat="1" ht="12" hidden="1" customHeight="1">
      <c r="A7353" s="286"/>
    </row>
    <row r="7354" spans="1:1" s="287" customFormat="1" ht="12" hidden="1" customHeight="1">
      <c r="A7354" s="286"/>
    </row>
    <row r="7355" spans="1:1" s="287" customFormat="1" ht="12" hidden="1" customHeight="1">
      <c r="A7355" s="286"/>
    </row>
    <row r="7356" spans="1:1" s="287" customFormat="1" ht="12" hidden="1" customHeight="1">
      <c r="A7356" s="286"/>
    </row>
    <row r="7357" spans="1:1" s="287" customFormat="1" ht="12" hidden="1" customHeight="1">
      <c r="A7357" s="286"/>
    </row>
    <row r="7358" spans="1:1" s="287" customFormat="1" ht="12" hidden="1" customHeight="1">
      <c r="A7358" s="286"/>
    </row>
    <row r="7359" spans="1:1" s="287" customFormat="1" ht="12" hidden="1" customHeight="1">
      <c r="A7359" s="286"/>
    </row>
    <row r="7360" spans="1:1" s="287" customFormat="1" ht="12" hidden="1" customHeight="1">
      <c r="A7360" s="286"/>
    </row>
    <row r="7361" spans="1:1" s="287" customFormat="1" ht="12" hidden="1" customHeight="1">
      <c r="A7361" s="286"/>
    </row>
    <row r="7362" spans="1:1" s="287" customFormat="1" ht="12" hidden="1" customHeight="1">
      <c r="A7362" s="286"/>
    </row>
    <row r="7363" spans="1:1" s="287" customFormat="1" ht="12" hidden="1" customHeight="1">
      <c r="A7363" s="286"/>
    </row>
    <row r="7364" spans="1:1" s="287" customFormat="1" ht="12" hidden="1" customHeight="1">
      <c r="A7364" s="286"/>
    </row>
    <row r="7365" spans="1:1" s="287" customFormat="1" ht="12" hidden="1" customHeight="1">
      <c r="A7365" s="286"/>
    </row>
    <row r="7366" spans="1:1" s="287" customFormat="1" ht="12" hidden="1" customHeight="1">
      <c r="A7366" s="286"/>
    </row>
    <row r="7367" spans="1:1" s="287" customFormat="1" ht="12" hidden="1" customHeight="1">
      <c r="A7367" s="286"/>
    </row>
    <row r="7368" spans="1:1" s="287" customFormat="1" ht="12" hidden="1" customHeight="1">
      <c r="A7368" s="286"/>
    </row>
    <row r="7369" spans="1:1" s="287" customFormat="1" ht="12" hidden="1" customHeight="1">
      <c r="A7369" s="286"/>
    </row>
    <row r="7370" spans="1:1" s="287" customFormat="1" ht="12" hidden="1" customHeight="1">
      <c r="A7370" s="286"/>
    </row>
    <row r="7371" spans="1:1" s="287" customFormat="1" ht="12" hidden="1" customHeight="1">
      <c r="A7371" s="286"/>
    </row>
    <row r="7372" spans="1:1" s="287" customFormat="1" ht="12" hidden="1" customHeight="1">
      <c r="A7372" s="286"/>
    </row>
    <row r="7373" spans="1:1" s="287" customFormat="1" ht="12" hidden="1" customHeight="1">
      <c r="A7373" s="286"/>
    </row>
    <row r="7374" spans="1:1" s="287" customFormat="1" ht="12" hidden="1" customHeight="1">
      <c r="A7374" s="286"/>
    </row>
    <row r="7375" spans="1:1" s="287" customFormat="1" ht="12" hidden="1" customHeight="1">
      <c r="A7375" s="286"/>
    </row>
    <row r="7376" spans="1:1" s="287" customFormat="1" ht="12" hidden="1" customHeight="1">
      <c r="A7376" s="286"/>
    </row>
    <row r="7377" spans="1:1" s="287" customFormat="1" ht="12" hidden="1" customHeight="1">
      <c r="A7377" s="286"/>
    </row>
    <row r="7378" spans="1:1" s="287" customFormat="1" ht="12" hidden="1" customHeight="1">
      <c r="A7378" s="286"/>
    </row>
    <row r="7379" spans="1:1" s="287" customFormat="1" ht="12" hidden="1" customHeight="1">
      <c r="A7379" s="286"/>
    </row>
    <row r="7380" spans="1:1" s="287" customFormat="1" ht="12" hidden="1" customHeight="1">
      <c r="A7380" s="286"/>
    </row>
    <row r="7381" spans="1:1" s="287" customFormat="1" ht="12" hidden="1" customHeight="1">
      <c r="A7381" s="286"/>
    </row>
    <row r="7382" spans="1:1" s="287" customFormat="1" ht="12" hidden="1" customHeight="1">
      <c r="A7382" s="286"/>
    </row>
    <row r="7383" spans="1:1" s="287" customFormat="1" ht="12" hidden="1" customHeight="1">
      <c r="A7383" s="286"/>
    </row>
    <row r="7384" spans="1:1" s="287" customFormat="1" ht="12" hidden="1" customHeight="1">
      <c r="A7384" s="286"/>
    </row>
    <row r="7385" spans="1:1" s="287" customFormat="1" ht="12" hidden="1" customHeight="1">
      <c r="A7385" s="286"/>
    </row>
    <row r="7386" spans="1:1" s="287" customFormat="1" ht="12" hidden="1" customHeight="1">
      <c r="A7386" s="286"/>
    </row>
    <row r="7387" spans="1:1" s="287" customFormat="1" ht="12" hidden="1" customHeight="1">
      <c r="A7387" s="286"/>
    </row>
    <row r="7388" spans="1:1" s="287" customFormat="1" ht="12" hidden="1" customHeight="1">
      <c r="A7388" s="286"/>
    </row>
    <row r="7389" spans="1:1" s="287" customFormat="1" ht="12" hidden="1" customHeight="1">
      <c r="A7389" s="286"/>
    </row>
    <row r="7390" spans="1:1" s="287" customFormat="1" ht="12" hidden="1" customHeight="1">
      <c r="A7390" s="286"/>
    </row>
    <row r="7391" spans="1:1" s="287" customFormat="1" ht="12" hidden="1" customHeight="1">
      <c r="A7391" s="286"/>
    </row>
    <row r="7392" spans="1:1" s="287" customFormat="1" ht="12" hidden="1" customHeight="1">
      <c r="A7392" s="286"/>
    </row>
    <row r="7393" spans="1:1" s="287" customFormat="1" ht="12" hidden="1" customHeight="1">
      <c r="A7393" s="286"/>
    </row>
    <row r="7394" spans="1:1" s="287" customFormat="1" ht="12" hidden="1" customHeight="1">
      <c r="A7394" s="286"/>
    </row>
    <row r="7395" spans="1:1" s="287" customFormat="1" ht="12" hidden="1" customHeight="1">
      <c r="A7395" s="286"/>
    </row>
    <row r="7396" spans="1:1" s="287" customFormat="1" ht="12" hidden="1" customHeight="1">
      <c r="A7396" s="286"/>
    </row>
    <row r="7397" spans="1:1" s="287" customFormat="1" ht="12" hidden="1" customHeight="1">
      <c r="A7397" s="286"/>
    </row>
    <row r="7398" spans="1:1" s="287" customFormat="1" ht="12" hidden="1" customHeight="1">
      <c r="A7398" s="286"/>
    </row>
    <row r="7399" spans="1:1" s="287" customFormat="1" ht="12" hidden="1" customHeight="1">
      <c r="A7399" s="286"/>
    </row>
    <row r="7400" spans="1:1" s="287" customFormat="1" ht="12" hidden="1" customHeight="1">
      <c r="A7400" s="286"/>
    </row>
    <row r="7401" spans="1:1" s="287" customFormat="1" ht="12" hidden="1" customHeight="1">
      <c r="A7401" s="286"/>
    </row>
    <row r="7402" spans="1:1" s="287" customFormat="1" ht="12" hidden="1" customHeight="1">
      <c r="A7402" s="286"/>
    </row>
    <row r="7403" spans="1:1" s="287" customFormat="1" ht="12" hidden="1" customHeight="1">
      <c r="A7403" s="286"/>
    </row>
    <row r="7404" spans="1:1" s="287" customFormat="1" ht="12" hidden="1" customHeight="1">
      <c r="A7404" s="286"/>
    </row>
    <row r="7405" spans="1:1" s="287" customFormat="1" ht="12" hidden="1" customHeight="1">
      <c r="A7405" s="286"/>
    </row>
    <row r="7406" spans="1:1" s="287" customFormat="1" ht="12" hidden="1" customHeight="1">
      <c r="A7406" s="286"/>
    </row>
    <row r="7407" spans="1:1" s="287" customFormat="1" ht="12" hidden="1" customHeight="1">
      <c r="A7407" s="286"/>
    </row>
    <row r="7408" spans="1:1" s="287" customFormat="1" ht="12" hidden="1" customHeight="1">
      <c r="A7408" s="286"/>
    </row>
    <row r="7409" spans="1:1" s="287" customFormat="1" ht="12" hidden="1" customHeight="1">
      <c r="A7409" s="286"/>
    </row>
    <row r="7410" spans="1:1" s="287" customFormat="1" ht="12" hidden="1" customHeight="1">
      <c r="A7410" s="286"/>
    </row>
    <row r="7411" spans="1:1" s="287" customFormat="1" ht="12" hidden="1" customHeight="1">
      <c r="A7411" s="286"/>
    </row>
    <row r="7412" spans="1:1" s="287" customFormat="1" ht="12" hidden="1" customHeight="1">
      <c r="A7412" s="286"/>
    </row>
    <row r="7413" spans="1:1" s="287" customFormat="1" ht="12" hidden="1" customHeight="1">
      <c r="A7413" s="286"/>
    </row>
    <row r="7414" spans="1:1" s="287" customFormat="1" ht="12" hidden="1" customHeight="1">
      <c r="A7414" s="286"/>
    </row>
    <row r="7415" spans="1:1" s="287" customFormat="1" ht="12" hidden="1" customHeight="1">
      <c r="A7415" s="286"/>
    </row>
    <row r="7416" spans="1:1" s="287" customFormat="1" ht="12" hidden="1" customHeight="1">
      <c r="A7416" s="286"/>
    </row>
    <row r="7417" spans="1:1" s="287" customFormat="1" ht="12" hidden="1" customHeight="1">
      <c r="A7417" s="286"/>
    </row>
    <row r="7418" spans="1:1" s="287" customFormat="1" ht="12" hidden="1" customHeight="1">
      <c r="A7418" s="286"/>
    </row>
    <row r="7419" spans="1:1" s="287" customFormat="1" ht="12" hidden="1" customHeight="1">
      <c r="A7419" s="286"/>
    </row>
    <row r="7420" spans="1:1" s="287" customFormat="1" ht="12" hidden="1" customHeight="1">
      <c r="A7420" s="286"/>
    </row>
    <row r="7421" spans="1:1" s="287" customFormat="1" ht="12" hidden="1" customHeight="1">
      <c r="A7421" s="286"/>
    </row>
    <row r="7422" spans="1:1" s="287" customFormat="1" ht="12" hidden="1" customHeight="1">
      <c r="A7422" s="286"/>
    </row>
    <row r="7423" spans="1:1" s="287" customFormat="1" ht="12" hidden="1" customHeight="1">
      <c r="A7423" s="286"/>
    </row>
    <row r="7424" spans="1:1" s="287" customFormat="1" ht="12" hidden="1" customHeight="1">
      <c r="A7424" s="286"/>
    </row>
    <row r="7425" spans="1:1" s="287" customFormat="1" ht="12" hidden="1" customHeight="1">
      <c r="A7425" s="286"/>
    </row>
    <row r="7426" spans="1:1" s="287" customFormat="1" ht="12" hidden="1" customHeight="1">
      <c r="A7426" s="286"/>
    </row>
    <row r="7427" spans="1:1" s="287" customFormat="1" ht="12" hidden="1" customHeight="1">
      <c r="A7427" s="286"/>
    </row>
    <row r="7428" spans="1:1" s="287" customFormat="1" ht="12" hidden="1" customHeight="1">
      <c r="A7428" s="286"/>
    </row>
    <row r="7429" spans="1:1" s="287" customFormat="1" ht="12" hidden="1" customHeight="1">
      <c r="A7429" s="286"/>
    </row>
    <row r="7430" spans="1:1" s="287" customFormat="1" ht="12" hidden="1" customHeight="1">
      <c r="A7430" s="286"/>
    </row>
    <row r="7431" spans="1:1" s="287" customFormat="1" ht="12" hidden="1" customHeight="1">
      <c r="A7431" s="286"/>
    </row>
    <row r="7432" spans="1:1" s="287" customFormat="1" ht="12" hidden="1" customHeight="1">
      <c r="A7432" s="286"/>
    </row>
    <row r="7433" spans="1:1" s="287" customFormat="1" ht="12" hidden="1" customHeight="1">
      <c r="A7433" s="286"/>
    </row>
    <row r="7434" spans="1:1" s="287" customFormat="1" ht="12" hidden="1" customHeight="1">
      <c r="A7434" s="286"/>
    </row>
    <row r="7435" spans="1:1" s="287" customFormat="1" ht="12" hidden="1" customHeight="1">
      <c r="A7435" s="286"/>
    </row>
    <row r="7436" spans="1:1" s="287" customFormat="1" ht="12" hidden="1" customHeight="1">
      <c r="A7436" s="286"/>
    </row>
    <row r="7437" spans="1:1" s="287" customFormat="1" ht="12" hidden="1" customHeight="1">
      <c r="A7437" s="286"/>
    </row>
    <row r="7438" spans="1:1" s="287" customFormat="1" ht="12" hidden="1" customHeight="1">
      <c r="A7438" s="286"/>
    </row>
    <row r="7439" spans="1:1" s="287" customFormat="1" ht="12" hidden="1" customHeight="1">
      <c r="A7439" s="286"/>
    </row>
    <row r="7440" spans="1:1" s="287" customFormat="1" ht="12" hidden="1" customHeight="1">
      <c r="A7440" s="286"/>
    </row>
    <row r="7441" spans="1:1" s="287" customFormat="1" ht="12" hidden="1" customHeight="1">
      <c r="A7441" s="286"/>
    </row>
    <row r="7442" spans="1:1" s="287" customFormat="1" ht="12" hidden="1" customHeight="1">
      <c r="A7442" s="286"/>
    </row>
    <row r="7443" spans="1:1" s="287" customFormat="1" ht="12" hidden="1" customHeight="1">
      <c r="A7443" s="286"/>
    </row>
    <row r="7444" spans="1:1" s="287" customFormat="1" ht="12" hidden="1" customHeight="1">
      <c r="A7444" s="286"/>
    </row>
    <row r="7445" spans="1:1" s="287" customFormat="1" ht="12" hidden="1" customHeight="1">
      <c r="A7445" s="286"/>
    </row>
    <row r="7446" spans="1:1" s="287" customFormat="1" ht="12" hidden="1" customHeight="1">
      <c r="A7446" s="286"/>
    </row>
    <row r="7447" spans="1:1" s="287" customFormat="1" ht="12" hidden="1" customHeight="1">
      <c r="A7447" s="286"/>
    </row>
    <row r="7448" spans="1:1" s="287" customFormat="1" ht="12" hidden="1" customHeight="1">
      <c r="A7448" s="286"/>
    </row>
    <row r="7449" spans="1:1" s="287" customFormat="1" ht="12" hidden="1" customHeight="1">
      <c r="A7449" s="286"/>
    </row>
    <row r="7450" spans="1:1" s="287" customFormat="1" ht="12" hidden="1" customHeight="1">
      <c r="A7450" s="286"/>
    </row>
    <row r="7451" spans="1:1" s="287" customFormat="1" ht="12" hidden="1" customHeight="1">
      <c r="A7451" s="286"/>
    </row>
    <row r="7452" spans="1:1" s="287" customFormat="1" ht="12" hidden="1" customHeight="1">
      <c r="A7452" s="286"/>
    </row>
    <row r="7453" spans="1:1" s="287" customFormat="1" ht="12" hidden="1" customHeight="1">
      <c r="A7453" s="286"/>
    </row>
    <row r="7454" spans="1:1" s="287" customFormat="1" ht="12" hidden="1" customHeight="1">
      <c r="A7454" s="286"/>
    </row>
    <row r="7455" spans="1:1" s="287" customFormat="1" ht="12" hidden="1" customHeight="1">
      <c r="A7455" s="286"/>
    </row>
    <row r="7456" spans="1:1" s="287" customFormat="1" ht="12" hidden="1" customHeight="1">
      <c r="A7456" s="286"/>
    </row>
    <row r="7457" spans="1:1" s="287" customFormat="1" ht="12" hidden="1" customHeight="1">
      <c r="A7457" s="286"/>
    </row>
    <row r="7458" spans="1:1" s="287" customFormat="1" ht="12" hidden="1" customHeight="1">
      <c r="A7458" s="286"/>
    </row>
    <row r="7459" spans="1:1" s="287" customFormat="1" ht="12" hidden="1" customHeight="1">
      <c r="A7459" s="286"/>
    </row>
    <row r="7460" spans="1:1" s="287" customFormat="1" ht="12" hidden="1" customHeight="1">
      <c r="A7460" s="286"/>
    </row>
    <row r="7461" spans="1:1" s="287" customFormat="1" ht="12" hidden="1" customHeight="1">
      <c r="A7461" s="286"/>
    </row>
    <row r="7462" spans="1:1" s="287" customFormat="1" ht="12" hidden="1" customHeight="1">
      <c r="A7462" s="286"/>
    </row>
    <row r="7463" spans="1:1" s="287" customFormat="1" ht="12" hidden="1" customHeight="1">
      <c r="A7463" s="286"/>
    </row>
    <row r="7464" spans="1:1" s="287" customFormat="1" ht="12" hidden="1" customHeight="1">
      <c r="A7464" s="286"/>
    </row>
    <row r="7465" spans="1:1" s="287" customFormat="1" ht="12" hidden="1" customHeight="1">
      <c r="A7465" s="286"/>
    </row>
    <row r="7466" spans="1:1" s="287" customFormat="1" ht="12" hidden="1" customHeight="1">
      <c r="A7466" s="286"/>
    </row>
    <row r="7467" spans="1:1" s="287" customFormat="1" ht="12" hidden="1" customHeight="1">
      <c r="A7467" s="286"/>
    </row>
    <row r="7468" spans="1:1" s="287" customFormat="1" ht="12" hidden="1" customHeight="1">
      <c r="A7468" s="286"/>
    </row>
    <row r="7469" spans="1:1" s="287" customFormat="1" ht="12" hidden="1" customHeight="1">
      <c r="A7469" s="286"/>
    </row>
    <row r="7470" spans="1:1" s="287" customFormat="1" ht="12" hidden="1" customHeight="1">
      <c r="A7470" s="286"/>
    </row>
    <row r="7471" spans="1:1" s="287" customFormat="1" ht="12" hidden="1" customHeight="1">
      <c r="A7471" s="286"/>
    </row>
    <row r="7472" spans="1:1" s="287" customFormat="1" ht="12" hidden="1" customHeight="1">
      <c r="A7472" s="286"/>
    </row>
    <row r="7473" spans="1:1" s="287" customFormat="1" ht="12" hidden="1" customHeight="1">
      <c r="A7473" s="286"/>
    </row>
    <row r="7474" spans="1:1" s="287" customFormat="1" ht="12" hidden="1" customHeight="1">
      <c r="A7474" s="286"/>
    </row>
    <row r="7475" spans="1:1" s="287" customFormat="1" ht="12" hidden="1" customHeight="1">
      <c r="A7475" s="286"/>
    </row>
    <row r="7476" spans="1:1" s="287" customFormat="1" ht="12" hidden="1" customHeight="1">
      <c r="A7476" s="286"/>
    </row>
    <row r="7477" spans="1:1" s="287" customFormat="1" ht="12" hidden="1" customHeight="1">
      <c r="A7477" s="286"/>
    </row>
    <row r="7478" spans="1:1" s="287" customFormat="1" ht="12" hidden="1" customHeight="1">
      <c r="A7478" s="286"/>
    </row>
    <row r="7479" spans="1:1" s="287" customFormat="1" ht="12" hidden="1" customHeight="1">
      <c r="A7479" s="286"/>
    </row>
    <row r="7480" spans="1:1" s="287" customFormat="1" ht="12" hidden="1" customHeight="1">
      <c r="A7480" s="286"/>
    </row>
    <row r="7481" spans="1:1" s="287" customFormat="1" ht="12" hidden="1" customHeight="1">
      <c r="A7481" s="286"/>
    </row>
    <row r="7482" spans="1:1" s="287" customFormat="1" ht="12" hidden="1" customHeight="1">
      <c r="A7482" s="286"/>
    </row>
    <row r="7483" spans="1:1" s="287" customFormat="1" ht="12" hidden="1" customHeight="1">
      <c r="A7483" s="286"/>
    </row>
    <row r="7484" spans="1:1" s="287" customFormat="1" ht="12" hidden="1" customHeight="1">
      <c r="A7484" s="286"/>
    </row>
    <row r="7485" spans="1:1" s="287" customFormat="1" ht="12" hidden="1" customHeight="1">
      <c r="A7485" s="286"/>
    </row>
    <row r="7486" spans="1:1" s="287" customFormat="1" ht="12" hidden="1" customHeight="1">
      <c r="A7486" s="286"/>
    </row>
    <row r="7487" spans="1:1" s="287" customFormat="1" ht="12" hidden="1" customHeight="1">
      <c r="A7487" s="286"/>
    </row>
    <row r="7488" spans="1:1" s="287" customFormat="1" ht="12" hidden="1" customHeight="1">
      <c r="A7488" s="286"/>
    </row>
    <row r="7489" spans="1:1" s="287" customFormat="1" ht="12" hidden="1" customHeight="1">
      <c r="A7489" s="286"/>
    </row>
    <row r="7490" spans="1:1" s="287" customFormat="1" ht="12" hidden="1" customHeight="1">
      <c r="A7490" s="286"/>
    </row>
    <row r="7491" spans="1:1" s="287" customFormat="1" ht="12" hidden="1" customHeight="1">
      <c r="A7491" s="286"/>
    </row>
    <row r="7492" spans="1:1" s="287" customFormat="1" ht="12" hidden="1" customHeight="1">
      <c r="A7492" s="286"/>
    </row>
    <row r="7493" spans="1:1" s="287" customFormat="1" ht="12" hidden="1" customHeight="1">
      <c r="A7493" s="286"/>
    </row>
    <row r="7494" spans="1:1" s="287" customFormat="1" ht="12" hidden="1" customHeight="1">
      <c r="A7494" s="286"/>
    </row>
    <row r="7495" spans="1:1" s="287" customFormat="1" ht="12" hidden="1" customHeight="1">
      <c r="A7495" s="286"/>
    </row>
    <row r="7496" spans="1:1" s="287" customFormat="1" ht="12" hidden="1" customHeight="1">
      <c r="A7496" s="286"/>
    </row>
    <row r="7497" spans="1:1" s="287" customFormat="1" ht="12" hidden="1" customHeight="1">
      <c r="A7497" s="286"/>
    </row>
    <row r="7498" spans="1:1" s="287" customFormat="1" ht="12" hidden="1" customHeight="1">
      <c r="A7498" s="286"/>
    </row>
    <row r="7499" spans="1:1" s="287" customFormat="1" ht="12" hidden="1" customHeight="1">
      <c r="A7499" s="286"/>
    </row>
    <row r="7500" spans="1:1" s="287" customFormat="1" ht="12" hidden="1" customHeight="1">
      <c r="A7500" s="286"/>
    </row>
    <row r="7501" spans="1:1" s="287" customFormat="1" ht="12" hidden="1" customHeight="1">
      <c r="A7501" s="286"/>
    </row>
    <row r="7502" spans="1:1" s="287" customFormat="1" ht="12" hidden="1" customHeight="1">
      <c r="A7502" s="286"/>
    </row>
    <row r="7503" spans="1:1" s="287" customFormat="1" ht="12" hidden="1" customHeight="1">
      <c r="A7503" s="286"/>
    </row>
    <row r="7504" spans="1:1" s="287" customFormat="1" ht="12" hidden="1" customHeight="1">
      <c r="A7504" s="286"/>
    </row>
    <row r="7505" spans="1:1" s="287" customFormat="1" ht="12" hidden="1" customHeight="1">
      <c r="A7505" s="286"/>
    </row>
    <row r="7506" spans="1:1" s="287" customFormat="1" ht="12" hidden="1" customHeight="1">
      <c r="A7506" s="286"/>
    </row>
    <row r="7507" spans="1:1" s="287" customFormat="1" ht="12" hidden="1" customHeight="1">
      <c r="A7507" s="286"/>
    </row>
    <row r="7508" spans="1:1" s="287" customFormat="1" ht="12" hidden="1" customHeight="1">
      <c r="A7508" s="286"/>
    </row>
    <row r="7509" spans="1:1" s="287" customFormat="1" ht="12" hidden="1" customHeight="1">
      <c r="A7509" s="286"/>
    </row>
    <row r="7510" spans="1:1" s="287" customFormat="1" ht="12" hidden="1" customHeight="1">
      <c r="A7510" s="286"/>
    </row>
    <row r="7511" spans="1:1" s="287" customFormat="1" ht="12" hidden="1" customHeight="1">
      <c r="A7511" s="286"/>
    </row>
    <row r="7512" spans="1:1" s="287" customFormat="1" ht="12" hidden="1" customHeight="1">
      <c r="A7512" s="286"/>
    </row>
    <row r="7513" spans="1:1" s="287" customFormat="1" ht="12" hidden="1" customHeight="1">
      <c r="A7513" s="286"/>
    </row>
    <row r="7514" spans="1:1" s="287" customFormat="1" ht="12" hidden="1" customHeight="1">
      <c r="A7514" s="286"/>
    </row>
    <row r="7515" spans="1:1" s="287" customFormat="1" ht="12" hidden="1" customHeight="1">
      <c r="A7515" s="286"/>
    </row>
    <row r="7516" spans="1:1" s="287" customFormat="1" ht="12" hidden="1" customHeight="1">
      <c r="A7516" s="286"/>
    </row>
    <row r="7517" spans="1:1" s="287" customFormat="1" ht="12" hidden="1" customHeight="1">
      <c r="A7517" s="286"/>
    </row>
    <row r="7518" spans="1:1" s="287" customFormat="1" ht="12" hidden="1" customHeight="1">
      <c r="A7518" s="286"/>
    </row>
    <row r="7519" spans="1:1" s="287" customFormat="1" ht="12" hidden="1" customHeight="1">
      <c r="A7519" s="286"/>
    </row>
    <row r="7520" spans="1:1" s="287" customFormat="1" ht="12" hidden="1" customHeight="1">
      <c r="A7520" s="286"/>
    </row>
    <row r="7521" spans="1:1" s="287" customFormat="1" ht="12" hidden="1" customHeight="1">
      <c r="A7521" s="286"/>
    </row>
    <row r="7522" spans="1:1" s="287" customFormat="1" ht="12" hidden="1" customHeight="1">
      <c r="A7522" s="286"/>
    </row>
    <row r="7523" spans="1:1" s="287" customFormat="1" ht="12" hidden="1" customHeight="1">
      <c r="A7523" s="286"/>
    </row>
    <row r="7524" spans="1:1" s="287" customFormat="1" ht="12" hidden="1" customHeight="1">
      <c r="A7524" s="286"/>
    </row>
    <row r="7525" spans="1:1" s="287" customFormat="1" ht="12" hidden="1" customHeight="1">
      <c r="A7525" s="286"/>
    </row>
    <row r="7526" spans="1:1" s="287" customFormat="1" ht="12" hidden="1" customHeight="1">
      <c r="A7526" s="286"/>
    </row>
    <row r="7527" spans="1:1" s="287" customFormat="1" ht="12" hidden="1" customHeight="1">
      <c r="A7527" s="286"/>
    </row>
    <row r="7528" spans="1:1" s="287" customFormat="1" ht="12" hidden="1" customHeight="1">
      <c r="A7528" s="286"/>
    </row>
    <row r="7529" spans="1:1" s="287" customFormat="1" ht="12" hidden="1" customHeight="1">
      <c r="A7529" s="286"/>
    </row>
    <row r="7530" spans="1:1" s="287" customFormat="1" ht="12" hidden="1" customHeight="1">
      <c r="A7530" s="286"/>
    </row>
    <row r="7531" spans="1:1" s="287" customFormat="1" ht="12" hidden="1" customHeight="1">
      <c r="A7531" s="286"/>
    </row>
    <row r="7532" spans="1:1" s="287" customFormat="1" ht="12" hidden="1" customHeight="1">
      <c r="A7532" s="286"/>
    </row>
    <row r="7533" spans="1:1" s="287" customFormat="1" ht="12" hidden="1" customHeight="1">
      <c r="A7533" s="286"/>
    </row>
    <row r="7534" spans="1:1" s="287" customFormat="1" ht="12" hidden="1" customHeight="1">
      <c r="A7534" s="286"/>
    </row>
    <row r="7535" spans="1:1" s="287" customFormat="1" ht="12" hidden="1" customHeight="1">
      <c r="A7535" s="286"/>
    </row>
    <row r="7536" spans="1:1" s="287" customFormat="1" ht="12" hidden="1" customHeight="1">
      <c r="A7536" s="286"/>
    </row>
    <row r="7537" spans="1:1" s="287" customFormat="1" ht="12" hidden="1" customHeight="1">
      <c r="A7537" s="286"/>
    </row>
    <row r="7538" spans="1:1" s="287" customFormat="1" ht="12" hidden="1" customHeight="1">
      <c r="A7538" s="286"/>
    </row>
    <row r="7539" spans="1:1" s="287" customFormat="1" ht="12" hidden="1" customHeight="1">
      <c r="A7539" s="286"/>
    </row>
    <row r="7540" spans="1:1" s="287" customFormat="1" ht="12" hidden="1" customHeight="1">
      <c r="A7540" s="286"/>
    </row>
    <row r="7541" spans="1:1" s="287" customFormat="1" ht="12" hidden="1" customHeight="1">
      <c r="A7541" s="286"/>
    </row>
    <row r="7542" spans="1:1" s="287" customFormat="1" ht="12" hidden="1" customHeight="1">
      <c r="A7542" s="286"/>
    </row>
    <row r="7543" spans="1:1" s="287" customFormat="1" ht="12" hidden="1" customHeight="1">
      <c r="A7543" s="286"/>
    </row>
    <row r="7544" spans="1:1" s="287" customFormat="1" ht="12" hidden="1" customHeight="1">
      <c r="A7544" s="286"/>
    </row>
    <row r="7545" spans="1:1" s="287" customFormat="1" ht="12" hidden="1" customHeight="1">
      <c r="A7545" s="286"/>
    </row>
    <row r="7546" spans="1:1" s="287" customFormat="1" ht="12" hidden="1" customHeight="1">
      <c r="A7546" s="286"/>
    </row>
    <row r="7547" spans="1:1" s="287" customFormat="1" ht="12" hidden="1" customHeight="1">
      <c r="A7547" s="286"/>
    </row>
    <row r="7548" spans="1:1" s="287" customFormat="1" ht="12" hidden="1" customHeight="1">
      <c r="A7548" s="286"/>
    </row>
    <row r="7549" spans="1:1" s="287" customFormat="1" ht="12" hidden="1" customHeight="1">
      <c r="A7549" s="286"/>
    </row>
    <row r="7550" spans="1:1" s="287" customFormat="1" ht="12" hidden="1" customHeight="1">
      <c r="A7550" s="286"/>
    </row>
    <row r="7551" spans="1:1" s="287" customFormat="1" ht="12" hidden="1" customHeight="1">
      <c r="A7551" s="286"/>
    </row>
    <row r="7552" spans="1:1" s="287" customFormat="1" ht="12" hidden="1" customHeight="1">
      <c r="A7552" s="286"/>
    </row>
    <row r="7553" spans="1:1" s="287" customFormat="1" ht="12" hidden="1" customHeight="1">
      <c r="A7553" s="286"/>
    </row>
    <row r="7554" spans="1:1" s="287" customFormat="1" ht="12" hidden="1" customHeight="1">
      <c r="A7554" s="286"/>
    </row>
    <row r="7555" spans="1:1" s="287" customFormat="1" ht="12" hidden="1" customHeight="1">
      <c r="A7555" s="286"/>
    </row>
    <row r="7556" spans="1:1" s="287" customFormat="1" ht="12" hidden="1" customHeight="1">
      <c r="A7556" s="286"/>
    </row>
    <row r="7557" spans="1:1" s="287" customFormat="1" ht="12" hidden="1" customHeight="1">
      <c r="A7557" s="286"/>
    </row>
    <row r="7558" spans="1:1" s="287" customFormat="1" ht="12" hidden="1" customHeight="1">
      <c r="A7558" s="286"/>
    </row>
    <row r="7559" spans="1:1" s="287" customFormat="1" ht="12" hidden="1" customHeight="1">
      <c r="A7559" s="286"/>
    </row>
    <row r="7560" spans="1:1" s="287" customFormat="1" ht="12" hidden="1" customHeight="1">
      <c r="A7560" s="286"/>
    </row>
    <row r="7561" spans="1:1" s="287" customFormat="1" ht="12" hidden="1" customHeight="1">
      <c r="A7561" s="286"/>
    </row>
    <row r="7562" spans="1:1" s="287" customFormat="1" ht="12" hidden="1" customHeight="1">
      <c r="A7562" s="286"/>
    </row>
    <row r="7563" spans="1:1" s="287" customFormat="1" ht="12" hidden="1" customHeight="1">
      <c r="A7563" s="286"/>
    </row>
    <row r="7564" spans="1:1" s="287" customFormat="1" ht="12" hidden="1" customHeight="1">
      <c r="A7564" s="286"/>
    </row>
    <row r="7565" spans="1:1" s="287" customFormat="1" ht="12" hidden="1" customHeight="1">
      <c r="A7565" s="286"/>
    </row>
    <row r="7566" spans="1:1" s="287" customFormat="1" ht="12" hidden="1" customHeight="1">
      <c r="A7566" s="286"/>
    </row>
    <row r="7567" spans="1:1" s="287" customFormat="1" ht="12" hidden="1" customHeight="1">
      <c r="A7567" s="286"/>
    </row>
    <row r="7568" spans="1:1" s="287" customFormat="1" ht="12" hidden="1" customHeight="1">
      <c r="A7568" s="286"/>
    </row>
    <row r="7569" spans="1:1" s="287" customFormat="1" ht="12" hidden="1" customHeight="1">
      <c r="A7569" s="286"/>
    </row>
    <row r="7570" spans="1:1" s="287" customFormat="1" ht="12" hidden="1" customHeight="1">
      <c r="A7570" s="286"/>
    </row>
    <row r="7571" spans="1:1" s="287" customFormat="1" ht="12" hidden="1" customHeight="1">
      <c r="A7571" s="286"/>
    </row>
    <row r="7572" spans="1:1" s="287" customFormat="1" ht="12" hidden="1" customHeight="1">
      <c r="A7572" s="286"/>
    </row>
    <row r="7573" spans="1:1" s="287" customFormat="1" ht="12" hidden="1" customHeight="1">
      <c r="A7573" s="286"/>
    </row>
    <row r="7574" spans="1:1" s="287" customFormat="1" ht="12" hidden="1" customHeight="1">
      <c r="A7574" s="286"/>
    </row>
    <row r="7575" spans="1:1" s="287" customFormat="1" ht="12" hidden="1" customHeight="1">
      <c r="A7575" s="286"/>
    </row>
    <row r="7576" spans="1:1" s="287" customFormat="1" ht="12" hidden="1" customHeight="1">
      <c r="A7576" s="286"/>
    </row>
    <row r="7577" spans="1:1" s="287" customFormat="1" ht="12" hidden="1" customHeight="1">
      <c r="A7577" s="286"/>
    </row>
    <row r="7578" spans="1:1" s="287" customFormat="1" ht="12" hidden="1" customHeight="1">
      <c r="A7578" s="286"/>
    </row>
    <row r="7579" spans="1:1" s="287" customFormat="1" ht="12" hidden="1" customHeight="1">
      <c r="A7579" s="286"/>
    </row>
    <row r="7580" spans="1:1" s="287" customFormat="1" ht="12" hidden="1" customHeight="1">
      <c r="A7580" s="286"/>
    </row>
    <row r="7581" spans="1:1" s="287" customFormat="1" ht="12" hidden="1" customHeight="1">
      <c r="A7581" s="286"/>
    </row>
    <row r="7582" spans="1:1" s="287" customFormat="1" ht="12" hidden="1" customHeight="1">
      <c r="A7582" s="286"/>
    </row>
    <row r="7583" spans="1:1" s="287" customFormat="1" ht="12" hidden="1" customHeight="1">
      <c r="A7583" s="286"/>
    </row>
    <row r="7584" spans="1:1" s="287" customFormat="1" ht="12" hidden="1" customHeight="1">
      <c r="A7584" s="286"/>
    </row>
    <row r="7585" spans="1:1" s="287" customFormat="1" ht="12" hidden="1" customHeight="1">
      <c r="A7585" s="286"/>
    </row>
    <row r="7586" spans="1:1" s="287" customFormat="1" ht="12" hidden="1" customHeight="1">
      <c r="A7586" s="286"/>
    </row>
    <row r="7587" spans="1:1" s="287" customFormat="1" ht="12" hidden="1" customHeight="1">
      <c r="A7587" s="286"/>
    </row>
    <row r="7588" spans="1:1" s="287" customFormat="1" ht="12" hidden="1" customHeight="1">
      <c r="A7588" s="286"/>
    </row>
    <row r="7589" spans="1:1" s="287" customFormat="1" ht="12" hidden="1" customHeight="1">
      <c r="A7589" s="286"/>
    </row>
    <row r="7590" spans="1:1" s="287" customFormat="1" ht="12" hidden="1" customHeight="1">
      <c r="A7590" s="286"/>
    </row>
    <row r="7591" spans="1:1" s="287" customFormat="1" ht="12" hidden="1" customHeight="1">
      <c r="A7591" s="286"/>
    </row>
    <row r="7592" spans="1:1" s="287" customFormat="1" ht="12" hidden="1" customHeight="1">
      <c r="A7592" s="286"/>
    </row>
    <row r="7593" spans="1:1" s="287" customFormat="1" ht="12" hidden="1" customHeight="1">
      <c r="A7593" s="286"/>
    </row>
    <row r="7594" spans="1:1" s="287" customFormat="1" ht="12" hidden="1" customHeight="1">
      <c r="A7594" s="286"/>
    </row>
    <row r="7595" spans="1:1" s="287" customFormat="1" ht="12" hidden="1" customHeight="1">
      <c r="A7595" s="286"/>
    </row>
    <row r="7596" spans="1:1" s="287" customFormat="1" ht="12" hidden="1" customHeight="1">
      <c r="A7596" s="286"/>
    </row>
    <row r="7597" spans="1:1" s="287" customFormat="1" ht="12" hidden="1" customHeight="1">
      <c r="A7597" s="286"/>
    </row>
    <row r="7598" spans="1:1" s="287" customFormat="1" ht="12" hidden="1" customHeight="1">
      <c r="A7598" s="286"/>
    </row>
    <row r="7599" spans="1:1" s="287" customFormat="1" ht="12" hidden="1" customHeight="1">
      <c r="A7599" s="286"/>
    </row>
    <row r="7600" spans="1:1" s="287" customFormat="1" ht="12" hidden="1" customHeight="1">
      <c r="A7600" s="286"/>
    </row>
    <row r="7601" spans="1:1" s="287" customFormat="1" ht="12" hidden="1" customHeight="1">
      <c r="A7601" s="286"/>
    </row>
    <row r="7602" spans="1:1" s="287" customFormat="1" ht="12" hidden="1" customHeight="1">
      <c r="A7602" s="286"/>
    </row>
    <row r="7603" spans="1:1" s="287" customFormat="1" ht="12" hidden="1" customHeight="1">
      <c r="A7603" s="286"/>
    </row>
    <row r="7604" spans="1:1" s="287" customFormat="1" ht="12" hidden="1" customHeight="1">
      <c r="A7604" s="286"/>
    </row>
    <row r="7605" spans="1:1" s="287" customFormat="1" ht="12" hidden="1" customHeight="1">
      <c r="A7605" s="286"/>
    </row>
    <row r="7606" spans="1:1" s="287" customFormat="1" ht="12" hidden="1" customHeight="1">
      <c r="A7606" s="286"/>
    </row>
    <row r="7607" spans="1:1" s="287" customFormat="1" ht="12" hidden="1" customHeight="1">
      <c r="A7607" s="286"/>
    </row>
    <row r="7608" spans="1:1" s="287" customFormat="1" ht="12" hidden="1" customHeight="1">
      <c r="A7608" s="286"/>
    </row>
    <row r="7609" spans="1:1" s="287" customFormat="1" ht="12" hidden="1" customHeight="1">
      <c r="A7609" s="286"/>
    </row>
    <row r="7610" spans="1:1" s="287" customFormat="1" ht="12" hidden="1" customHeight="1">
      <c r="A7610" s="286"/>
    </row>
    <row r="7611" spans="1:1" s="287" customFormat="1" ht="12" hidden="1" customHeight="1">
      <c r="A7611" s="286"/>
    </row>
    <row r="7612" spans="1:1" s="287" customFormat="1" ht="12" hidden="1" customHeight="1">
      <c r="A7612" s="286"/>
    </row>
    <row r="7613" spans="1:1" s="287" customFormat="1" ht="12" hidden="1" customHeight="1">
      <c r="A7613" s="286"/>
    </row>
    <row r="7614" spans="1:1" s="287" customFormat="1" ht="12" hidden="1" customHeight="1">
      <c r="A7614" s="286"/>
    </row>
    <row r="7615" spans="1:1" s="287" customFormat="1" ht="12" hidden="1" customHeight="1">
      <c r="A7615" s="286"/>
    </row>
    <row r="7616" spans="1:1" s="287" customFormat="1" ht="12" hidden="1" customHeight="1">
      <c r="A7616" s="286"/>
    </row>
    <row r="7617" spans="1:1" s="287" customFormat="1" ht="12" hidden="1" customHeight="1">
      <c r="A7617" s="286"/>
    </row>
    <row r="7618" spans="1:1" s="287" customFormat="1" ht="12" hidden="1" customHeight="1">
      <c r="A7618" s="286"/>
    </row>
    <row r="7619" spans="1:1" s="287" customFormat="1" ht="12" hidden="1" customHeight="1">
      <c r="A7619" s="286"/>
    </row>
    <row r="7620" spans="1:1" s="287" customFormat="1" ht="12" hidden="1" customHeight="1">
      <c r="A7620" s="286"/>
    </row>
    <row r="7621" spans="1:1" s="287" customFormat="1" ht="12" hidden="1" customHeight="1">
      <c r="A7621" s="286"/>
    </row>
    <row r="7622" spans="1:1" s="287" customFormat="1" ht="12" hidden="1" customHeight="1">
      <c r="A7622" s="286"/>
    </row>
    <row r="7623" spans="1:1" s="287" customFormat="1" ht="12" hidden="1" customHeight="1">
      <c r="A7623" s="286"/>
    </row>
    <row r="7624" spans="1:1" s="287" customFormat="1" ht="12" hidden="1" customHeight="1">
      <c r="A7624" s="286"/>
    </row>
    <row r="7625" spans="1:1" s="287" customFormat="1" ht="12" hidden="1" customHeight="1">
      <c r="A7625" s="286"/>
    </row>
    <row r="7626" spans="1:1" s="287" customFormat="1" ht="12" hidden="1" customHeight="1">
      <c r="A7626" s="286"/>
    </row>
    <row r="7627" spans="1:1" s="287" customFormat="1" ht="12" hidden="1" customHeight="1">
      <c r="A7627" s="286"/>
    </row>
    <row r="7628" spans="1:1" s="287" customFormat="1" ht="12" hidden="1" customHeight="1">
      <c r="A7628" s="286"/>
    </row>
    <row r="7629" spans="1:1" s="287" customFormat="1" ht="12" hidden="1" customHeight="1">
      <c r="A7629" s="286"/>
    </row>
    <row r="7630" spans="1:1" s="287" customFormat="1" ht="12" hidden="1" customHeight="1">
      <c r="A7630" s="286"/>
    </row>
    <row r="7631" spans="1:1" s="287" customFormat="1" ht="12" hidden="1" customHeight="1">
      <c r="A7631" s="286"/>
    </row>
    <row r="7632" spans="1:1" s="287" customFormat="1" ht="12" hidden="1" customHeight="1">
      <c r="A7632" s="286"/>
    </row>
    <row r="7633" spans="1:1" s="287" customFormat="1" ht="12" hidden="1" customHeight="1">
      <c r="A7633" s="286"/>
    </row>
    <row r="7634" spans="1:1" s="287" customFormat="1" ht="12" hidden="1" customHeight="1">
      <c r="A7634" s="286"/>
    </row>
    <row r="7635" spans="1:1" s="287" customFormat="1" ht="12" hidden="1" customHeight="1">
      <c r="A7635" s="286"/>
    </row>
    <row r="7636" spans="1:1" s="287" customFormat="1" ht="12" hidden="1" customHeight="1">
      <c r="A7636" s="286"/>
    </row>
    <row r="7637" spans="1:1" s="287" customFormat="1" ht="12" hidden="1" customHeight="1">
      <c r="A7637" s="286"/>
    </row>
    <row r="7638" spans="1:1" s="287" customFormat="1" ht="12" hidden="1" customHeight="1">
      <c r="A7638" s="286"/>
    </row>
    <row r="7639" spans="1:1" s="287" customFormat="1" ht="12" hidden="1" customHeight="1">
      <c r="A7639" s="286"/>
    </row>
    <row r="7640" spans="1:1" s="287" customFormat="1" ht="12" hidden="1" customHeight="1">
      <c r="A7640" s="286"/>
    </row>
    <row r="7641" spans="1:1" s="287" customFormat="1" ht="12" hidden="1" customHeight="1">
      <c r="A7641" s="286"/>
    </row>
    <row r="7642" spans="1:1" s="287" customFormat="1" ht="12" hidden="1" customHeight="1">
      <c r="A7642" s="286"/>
    </row>
    <row r="7643" spans="1:1" s="287" customFormat="1" ht="12" hidden="1" customHeight="1">
      <c r="A7643" s="286"/>
    </row>
    <row r="7644" spans="1:1" s="287" customFormat="1" ht="12" hidden="1" customHeight="1">
      <c r="A7644" s="286"/>
    </row>
    <row r="7645" spans="1:1" s="287" customFormat="1" ht="12" hidden="1" customHeight="1">
      <c r="A7645" s="286"/>
    </row>
    <row r="7646" spans="1:1" s="287" customFormat="1" ht="12" hidden="1" customHeight="1">
      <c r="A7646" s="286"/>
    </row>
    <row r="7647" spans="1:1" s="287" customFormat="1" ht="12" hidden="1" customHeight="1">
      <c r="A7647" s="286"/>
    </row>
    <row r="7648" spans="1:1" s="287" customFormat="1" ht="12" hidden="1" customHeight="1">
      <c r="A7648" s="286"/>
    </row>
    <row r="7649" spans="1:1" s="287" customFormat="1" ht="12" hidden="1" customHeight="1">
      <c r="A7649" s="286"/>
    </row>
    <row r="7650" spans="1:1" s="287" customFormat="1" ht="12" hidden="1" customHeight="1">
      <c r="A7650" s="286"/>
    </row>
    <row r="7651" spans="1:1" s="287" customFormat="1" ht="12" hidden="1" customHeight="1">
      <c r="A7651" s="286"/>
    </row>
    <row r="7652" spans="1:1" s="287" customFormat="1" ht="12" hidden="1" customHeight="1">
      <c r="A7652" s="286"/>
    </row>
    <row r="7653" spans="1:1" s="287" customFormat="1" ht="12" hidden="1" customHeight="1">
      <c r="A7653" s="286"/>
    </row>
    <row r="7654" spans="1:1" s="287" customFormat="1" ht="12" hidden="1" customHeight="1">
      <c r="A7654" s="286"/>
    </row>
    <row r="7655" spans="1:1" s="287" customFormat="1" ht="12" hidden="1" customHeight="1">
      <c r="A7655" s="286"/>
    </row>
    <row r="7656" spans="1:1" s="287" customFormat="1" ht="12" hidden="1" customHeight="1">
      <c r="A7656" s="286"/>
    </row>
    <row r="7657" spans="1:1" s="287" customFormat="1" ht="12" hidden="1" customHeight="1">
      <c r="A7657" s="286"/>
    </row>
    <row r="7658" spans="1:1" s="287" customFormat="1" ht="12" hidden="1" customHeight="1">
      <c r="A7658" s="286"/>
    </row>
    <row r="7659" spans="1:1" s="287" customFormat="1" ht="12" hidden="1" customHeight="1">
      <c r="A7659" s="286"/>
    </row>
    <row r="7660" spans="1:1" s="287" customFormat="1" ht="12" hidden="1" customHeight="1">
      <c r="A7660" s="286"/>
    </row>
    <row r="7661" spans="1:1" s="287" customFormat="1" ht="12" hidden="1" customHeight="1">
      <c r="A7661" s="286"/>
    </row>
    <row r="7662" spans="1:1" s="287" customFormat="1" ht="12" hidden="1" customHeight="1">
      <c r="A7662" s="286"/>
    </row>
    <row r="7663" spans="1:1" s="287" customFormat="1" ht="12" hidden="1" customHeight="1">
      <c r="A7663" s="286"/>
    </row>
    <row r="7664" spans="1:1" s="287" customFormat="1" ht="12" hidden="1" customHeight="1">
      <c r="A7664" s="286"/>
    </row>
    <row r="7665" spans="1:1" s="287" customFormat="1" ht="12" hidden="1" customHeight="1">
      <c r="A7665" s="286"/>
    </row>
    <row r="7666" spans="1:1" s="287" customFormat="1" ht="12" hidden="1" customHeight="1">
      <c r="A7666" s="286"/>
    </row>
    <row r="7667" spans="1:1" s="287" customFormat="1" ht="12" hidden="1" customHeight="1">
      <c r="A7667" s="286"/>
    </row>
    <row r="7668" spans="1:1" s="287" customFormat="1" ht="12" hidden="1" customHeight="1">
      <c r="A7668" s="286"/>
    </row>
    <row r="7669" spans="1:1" s="287" customFormat="1" ht="12" hidden="1" customHeight="1">
      <c r="A7669" s="286"/>
    </row>
    <row r="7670" spans="1:1" s="287" customFormat="1" ht="12" hidden="1" customHeight="1">
      <c r="A7670" s="286"/>
    </row>
    <row r="7671" spans="1:1" s="287" customFormat="1" ht="12" hidden="1" customHeight="1">
      <c r="A7671" s="286"/>
    </row>
    <row r="7672" spans="1:1" s="287" customFormat="1" ht="12" hidden="1" customHeight="1">
      <c r="A7672" s="286"/>
    </row>
    <row r="7673" spans="1:1" s="287" customFormat="1" ht="12" hidden="1" customHeight="1">
      <c r="A7673" s="286"/>
    </row>
    <row r="7674" spans="1:1" s="287" customFormat="1" ht="12" hidden="1" customHeight="1">
      <c r="A7674" s="286"/>
    </row>
    <row r="7675" spans="1:1" s="287" customFormat="1" ht="12" hidden="1" customHeight="1">
      <c r="A7675" s="286"/>
    </row>
    <row r="7676" spans="1:1" s="287" customFormat="1" ht="12" hidden="1" customHeight="1">
      <c r="A7676" s="286"/>
    </row>
    <row r="7677" spans="1:1" s="287" customFormat="1" ht="12" hidden="1" customHeight="1">
      <c r="A7677" s="286"/>
    </row>
    <row r="7678" spans="1:1" s="287" customFormat="1" ht="12" hidden="1" customHeight="1">
      <c r="A7678" s="286"/>
    </row>
    <row r="7679" spans="1:1" s="287" customFormat="1" ht="12" hidden="1" customHeight="1">
      <c r="A7679" s="286"/>
    </row>
    <row r="7680" spans="1:1" s="287" customFormat="1" ht="12" hidden="1" customHeight="1">
      <c r="A7680" s="286"/>
    </row>
    <row r="7681" spans="1:1" s="287" customFormat="1" ht="12" hidden="1" customHeight="1">
      <c r="A7681" s="286"/>
    </row>
    <row r="7682" spans="1:1" s="287" customFormat="1" ht="12" hidden="1" customHeight="1">
      <c r="A7682" s="286"/>
    </row>
    <row r="7683" spans="1:1" s="287" customFormat="1" ht="12" hidden="1" customHeight="1">
      <c r="A7683" s="286"/>
    </row>
    <row r="7684" spans="1:1" s="287" customFormat="1" ht="12" hidden="1" customHeight="1">
      <c r="A7684" s="286"/>
    </row>
    <row r="7685" spans="1:1" s="287" customFormat="1" ht="12" hidden="1" customHeight="1">
      <c r="A7685" s="286"/>
    </row>
    <row r="7686" spans="1:1" s="287" customFormat="1" ht="12" hidden="1" customHeight="1">
      <c r="A7686" s="286"/>
    </row>
    <row r="7687" spans="1:1" s="287" customFormat="1" ht="12" hidden="1" customHeight="1">
      <c r="A7687" s="286"/>
    </row>
    <row r="7688" spans="1:1" s="287" customFormat="1" ht="12" hidden="1" customHeight="1">
      <c r="A7688" s="286"/>
    </row>
    <row r="7689" spans="1:1" s="287" customFormat="1" ht="12" hidden="1" customHeight="1">
      <c r="A7689" s="286"/>
    </row>
    <row r="7690" spans="1:1" s="287" customFormat="1" ht="12" hidden="1" customHeight="1">
      <c r="A7690" s="286"/>
    </row>
    <row r="7691" spans="1:1" s="287" customFormat="1" ht="12" hidden="1" customHeight="1">
      <c r="A7691" s="286"/>
    </row>
    <row r="7692" spans="1:1" s="287" customFormat="1" ht="12" hidden="1" customHeight="1">
      <c r="A7692" s="286"/>
    </row>
    <row r="7693" spans="1:1" s="287" customFormat="1" ht="12" hidden="1" customHeight="1">
      <c r="A7693" s="286"/>
    </row>
    <row r="7694" spans="1:1" s="287" customFormat="1" ht="12" hidden="1" customHeight="1">
      <c r="A7694" s="286"/>
    </row>
    <row r="7695" spans="1:1" s="287" customFormat="1" ht="12" hidden="1" customHeight="1">
      <c r="A7695" s="286"/>
    </row>
    <row r="7696" spans="1:1" s="287" customFormat="1" ht="12" hidden="1" customHeight="1">
      <c r="A7696" s="286"/>
    </row>
    <row r="7697" spans="1:1" s="287" customFormat="1" ht="12" hidden="1" customHeight="1">
      <c r="A7697" s="286"/>
    </row>
    <row r="7698" spans="1:1" s="287" customFormat="1" ht="12" hidden="1" customHeight="1">
      <c r="A7698" s="286"/>
    </row>
    <row r="7699" spans="1:1" s="287" customFormat="1" ht="12" hidden="1" customHeight="1">
      <c r="A7699" s="286"/>
    </row>
    <row r="7700" spans="1:1" s="287" customFormat="1" ht="12" hidden="1" customHeight="1">
      <c r="A7700" s="286"/>
    </row>
    <row r="7701" spans="1:1" s="287" customFormat="1" ht="12" hidden="1" customHeight="1">
      <c r="A7701" s="286"/>
    </row>
    <row r="7702" spans="1:1" s="287" customFormat="1" ht="12" hidden="1" customHeight="1">
      <c r="A7702" s="286"/>
    </row>
    <row r="7703" spans="1:1" s="287" customFormat="1" ht="12" hidden="1" customHeight="1">
      <c r="A7703" s="286"/>
    </row>
    <row r="7704" spans="1:1" s="287" customFormat="1" ht="12" hidden="1" customHeight="1">
      <c r="A7704" s="286"/>
    </row>
    <row r="7705" spans="1:1" s="287" customFormat="1" ht="12" hidden="1" customHeight="1">
      <c r="A7705" s="286"/>
    </row>
    <row r="7706" spans="1:1" s="287" customFormat="1" ht="12" hidden="1" customHeight="1">
      <c r="A7706" s="286"/>
    </row>
    <row r="7707" spans="1:1" s="287" customFormat="1" ht="12" hidden="1" customHeight="1">
      <c r="A7707" s="286"/>
    </row>
    <row r="7708" spans="1:1" s="287" customFormat="1" ht="12" hidden="1" customHeight="1">
      <c r="A7708" s="286"/>
    </row>
    <row r="7709" spans="1:1" s="287" customFormat="1" ht="12" hidden="1" customHeight="1">
      <c r="A7709" s="286"/>
    </row>
    <row r="7710" spans="1:1" s="287" customFormat="1" ht="12" hidden="1" customHeight="1">
      <c r="A7710" s="286"/>
    </row>
    <row r="7711" spans="1:1" s="287" customFormat="1" ht="12" hidden="1" customHeight="1">
      <c r="A7711" s="286"/>
    </row>
    <row r="7712" spans="1:1" s="287" customFormat="1" ht="12" hidden="1" customHeight="1">
      <c r="A7712" s="286"/>
    </row>
    <row r="7713" spans="1:1" s="287" customFormat="1" ht="12" hidden="1" customHeight="1">
      <c r="A7713" s="286"/>
    </row>
    <row r="7714" spans="1:1" s="287" customFormat="1" ht="12" hidden="1" customHeight="1">
      <c r="A7714" s="286"/>
    </row>
    <row r="7715" spans="1:1" s="287" customFormat="1" ht="12" hidden="1" customHeight="1">
      <c r="A7715" s="286"/>
    </row>
    <row r="7716" spans="1:1" s="287" customFormat="1" ht="12" hidden="1" customHeight="1">
      <c r="A7716" s="286"/>
    </row>
    <row r="7717" spans="1:1" s="287" customFormat="1" ht="12" hidden="1" customHeight="1">
      <c r="A7717" s="286"/>
    </row>
    <row r="7718" spans="1:1" s="287" customFormat="1" ht="12" hidden="1" customHeight="1">
      <c r="A7718" s="286"/>
    </row>
    <row r="7719" spans="1:1" s="287" customFormat="1" ht="12" hidden="1" customHeight="1">
      <c r="A7719" s="286"/>
    </row>
    <row r="7720" spans="1:1" s="287" customFormat="1" ht="12" hidden="1" customHeight="1">
      <c r="A7720" s="286"/>
    </row>
    <row r="7721" spans="1:1" s="287" customFormat="1" ht="12" hidden="1" customHeight="1">
      <c r="A7721" s="286"/>
    </row>
    <row r="7722" spans="1:1" s="287" customFormat="1" ht="12" hidden="1" customHeight="1">
      <c r="A7722" s="286"/>
    </row>
    <row r="7723" spans="1:1" s="287" customFormat="1" ht="12" hidden="1" customHeight="1">
      <c r="A7723" s="286"/>
    </row>
    <row r="7724" spans="1:1" s="287" customFormat="1" ht="12" hidden="1" customHeight="1">
      <c r="A7724" s="286"/>
    </row>
    <row r="7725" spans="1:1" s="287" customFormat="1" ht="12" hidden="1" customHeight="1">
      <c r="A7725" s="286"/>
    </row>
    <row r="7726" spans="1:1" s="287" customFormat="1" ht="12" hidden="1" customHeight="1">
      <c r="A7726" s="286"/>
    </row>
    <row r="7727" spans="1:1" s="287" customFormat="1" ht="12" hidden="1" customHeight="1">
      <c r="A7727" s="286"/>
    </row>
    <row r="7728" spans="1:1" s="287" customFormat="1" ht="12" hidden="1" customHeight="1">
      <c r="A7728" s="286"/>
    </row>
    <row r="7729" spans="1:1" s="287" customFormat="1" ht="12" hidden="1" customHeight="1">
      <c r="A7729" s="286"/>
    </row>
    <row r="7730" spans="1:1" s="287" customFormat="1" ht="12" hidden="1" customHeight="1">
      <c r="A7730" s="286"/>
    </row>
    <row r="7731" spans="1:1" s="287" customFormat="1" ht="12" hidden="1" customHeight="1">
      <c r="A7731" s="286"/>
    </row>
    <row r="7732" spans="1:1" s="287" customFormat="1" ht="12" hidden="1" customHeight="1">
      <c r="A7732" s="286"/>
    </row>
    <row r="7733" spans="1:1" s="287" customFormat="1" ht="12" hidden="1" customHeight="1">
      <c r="A7733" s="286"/>
    </row>
    <row r="7734" spans="1:1" s="287" customFormat="1" ht="12" hidden="1" customHeight="1">
      <c r="A7734" s="286"/>
    </row>
    <row r="7735" spans="1:1" s="287" customFormat="1" ht="12" hidden="1" customHeight="1">
      <c r="A7735" s="286"/>
    </row>
    <row r="7736" spans="1:1" s="287" customFormat="1" ht="12" hidden="1" customHeight="1">
      <c r="A7736" s="286"/>
    </row>
    <row r="7737" spans="1:1" s="287" customFormat="1" ht="12" hidden="1" customHeight="1">
      <c r="A7737" s="286"/>
    </row>
    <row r="7738" spans="1:1" s="287" customFormat="1" ht="12" hidden="1" customHeight="1">
      <c r="A7738" s="286"/>
    </row>
    <row r="7739" spans="1:1" s="287" customFormat="1" ht="12" hidden="1" customHeight="1">
      <c r="A7739" s="286"/>
    </row>
    <row r="7740" spans="1:1" s="287" customFormat="1" ht="12" hidden="1" customHeight="1">
      <c r="A7740" s="286"/>
    </row>
    <row r="7741" spans="1:1" s="287" customFormat="1" ht="12" hidden="1" customHeight="1">
      <c r="A7741" s="286"/>
    </row>
    <row r="7742" spans="1:1" s="287" customFormat="1" ht="12" hidden="1" customHeight="1">
      <c r="A7742" s="286"/>
    </row>
    <row r="7743" spans="1:1" s="287" customFormat="1" ht="12" hidden="1" customHeight="1">
      <c r="A7743" s="286"/>
    </row>
    <row r="7744" spans="1:1" s="287" customFormat="1" ht="12" hidden="1" customHeight="1">
      <c r="A7744" s="286"/>
    </row>
    <row r="7745" spans="1:1" s="287" customFormat="1" ht="12" hidden="1" customHeight="1">
      <c r="A7745" s="286"/>
    </row>
    <row r="7746" spans="1:1" s="287" customFormat="1" ht="12" hidden="1" customHeight="1">
      <c r="A7746" s="286"/>
    </row>
    <row r="7747" spans="1:1" s="287" customFormat="1" ht="12" hidden="1" customHeight="1">
      <c r="A7747" s="286"/>
    </row>
    <row r="7748" spans="1:1" s="287" customFormat="1" ht="12" hidden="1" customHeight="1">
      <c r="A7748" s="286"/>
    </row>
    <row r="7749" spans="1:1" s="287" customFormat="1" ht="12" hidden="1" customHeight="1">
      <c r="A7749" s="286"/>
    </row>
    <row r="7750" spans="1:1" s="287" customFormat="1" ht="12" hidden="1" customHeight="1">
      <c r="A7750" s="286"/>
    </row>
    <row r="7751" spans="1:1" s="287" customFormat="1" ht="12" hidden="1" customHeight="1">
      <c r="A7751" s="286"/>
    </row>
    <row r="7752" spans="1:1" s="287" customFormat="1" ht="12" hidden="1" customHeight="1">
      <c r="A7752" s="286"/>
    </row>
    <row r="7753" spans="1:1" s="287" customFormat="1" ht="12" hidden="1" customHeight="1">
      <c r="A7753" s="286"/>
    </row>
    <row r="7754" spans="1:1" s="287" customFormat="1" ht="12" hidden="1" customHeight="1">
      <c r="A7754" s="286"/>
    </row>
    <row r="7755" spans="1:1" s="287" customFormat="1" ht="12" hidden="1" customHeight="1">
      <c r="A7755" s="286"/>
    </row>
    <row r="7756" spans="1:1" s="287" customFormat="1" ht="12" hidden="1" customHeight="1">
      <c r="A7756" s="286"/>
    </row>
    <row r="7757" spans="1:1" s="287" customFormat="1" ht="12" hidden="1" customHeight="1">
      <c r="A7757" s="286"/>
    </row>
    <row r="7758" spans="1:1" s="287" customFormat="1" ht="12" hidden="1" customHeight="1">
      <c r="A7758" s="286"/>
    </row>
    <row r="7759" spans="1:1" s="287" customFormat="1" ht="12" hidden="1" customHeight="1">
      <c r="A7759" s="286"/>
    </row>
    <row r="7760" spans="1:1" s="287" customFormat="1" ht="12" hidden="1" customHeight="1">
      <c r="A7760" s="286"/>
    </row>
    <row r="7761" spans="1:1" s="287" customFormat="1" ht="12" hidden="1" customHeight="1">
      <c r="A7761" s="286"/>
    </row>
    <row r="7762" spans="1:1" s="287" customFormat="1" ht="12" hidden="1" customHeight="1">
      <c r="A7762" s="286"/>
    </row>
    <row r="7763" spans="1:1" s="287" customFormat="1" ht="12" hidden="1" customHeight="1">
      <c r="A7763" s="286"/>
    </row>
    <row r="7764" spans="1:1" s="287" customFormat="1" ht="12" hidden="1" customHeight="1">
      <c r="A7764" s="286"/>
    </row>
    <row r="7765" spans="1:1" s="287" customFormat="1" ht="12" hidden="1" customHeight="1">
      <c r="A7765" s="286"/>
    </row>
    <row r="7766" spans="1:1" s="287" customFormat="1" ht="12" hidden="1" customHeight="1">
      <c r="A7766" s="286"/>
    </row>
    <row r="7767" spans="1:1" s="287" customFormat="1" ht="12" hidden="1" customHeight="1">
      <c r="A7767" s="286"/>
    </row>
    <row r="7768" spans="1:1" s="287" customFormat="1" ht="12" hidden="1" customHeight="1">
      <c r="A7768" s="286"/>
    </row>
    <row r="7769" spans="1:1" s="287" customFormat="1" ht="12" hidden="1" customHeight="1">
      <c r="A7769" s="286"/>
    </row>
    <row r="7770" spans="1:1" s="287" customFormat="1" ht="12" hidden="1" customHeight="1">
      <c r="A7770" s="286"/>
    </row>
    <row r="7771" spans="1:1" s="287" customFormat="1" ht="12" hidden="1" customHeight="1">
      <c r="A7771" s="286"/>
    </row>
    <row r="7772" spans="1:1" s="287" customFormat="1" ht="12" hidden="1" customHeight="1">
      <c r="A7772" s="286"/>
    </row>
    <row r="7773" spans="1:1" s="287" customFormat="1" ht="12" hidden="1" customHeight="1">
      <c r="A7773" s="286"/>
    </row>
    <row r="7774" spans="1:1" s="287" customFormat="1" ht="12" hidden="1" customHeight="1">
      <c r="A7774" s="286"/>
    </row>
    <row r="7775" spans="1:1" s="287" customFormat="1" ht="12" hidden="1" customHeight="1">
      <c r="A7775" s="286"/>
    </row>
    <row r="7776" spans="1:1" s="287" customFormat="1" ht="12" hidden="1" customHeight="1">
      <c r="A7776" s="286"/>
    </row>
    <row r="7777" spans="1:1" s="287" customFormat="1" ht="12" hidden="1" customHeight="1">
      <c r="A7777" s="286"/>
    </row>
    <row r="7778" spans="1:1" s="287" customFormat="1" ht="12" hidden="1" customHeight="1">
      <c r="A7778" s="286"/>
    </row>
    <row r="7779" spans="1:1" s="287" customFormat="1" ht="12" hidden="1" customHeight="1">
      <c r="A7779" s="286"/>
    </row>
    <row r="7780" spans="1:1" s="287" customFormat="1" ht="12" hidden="1" customHeight="1">
      <c r="A7780" s="286"/>
    </row>
    <row r="7781" spans="1:1" s="287" customFormat="1" ht="12" hidden="1" customHeight="1">
      <c r="A7781" s="286"/>
    </row>
    <row r="7782" spans="1:1" s="287" customFormat="1" ht="12" hidden="1" customHeight="1">
      <c r="A7782" s="286"/>
    </row>
    <row r="7783" spans="1:1" s="287" customFormat="1" ht="12" hidden="1" customHeight="1">
      <c r="A7783" s="286"/>
    </row>
    <row r="7784" spans="1:1" s="287" customFormat="1" ht="12" hidden="1" customHeight="1">
      <c r="A7784" s="286"/>
    </row>
    <row r="7785" spans="1:1" s="287" customFormat="1" ht="12" hidden="1" customHeight="1">
      <c r="A7785" s="286"/>
    </row>
    <row r="7786" spans="1:1" s="287" customFormat="1" ht="12" hidden="1" customHeight="1">
      <c r="A7786" s="286"/>
    </row>
    <row r="7787" spans="1:1" s="287" customFormat="1" ht="12" hidden="1" customHeight="1">
      <c r="A7787" s="286"/>
    </row>
    <row r="7788" spans="1:1" s="287" customFormat="1" ht="12" hidden="1" customHeight="1">
      <c r="A7788" s="286"/>
    </row>
    <row r="7789" spans="1:1" s="287" customFormat="1" ht="12" hidden="1" customHeight="1">
      <c r="A7789" s="286"/>
    </row>
    <row r="7790" spans="1:1" s="287" customFormat="1" ht="12" hidden="1" customHeight="1">
      <c r="A7790" s="286"/>
    </row>
    <row r="7791" spans="1:1" s="287" customFormat="1" ht="12" hidden="1" customHeight="1">
      <c r="A7791" s="286"/>
    </row>
    <row r="7792" spans="1:1" s="287" customFormat="1" ht="12" hidden="1" customHeight="1">
      <c r="A7792" s="286"/>
    </row>
    <row r="7793" spans="1:1" s="287" customFormat="1" ht="12" hidden="1" customHeight="1">
      <c r="A7793" s="286"/>
    </row>
    <row r="7794" spans="1:1" s="287" customFormat="1" ht="12" hidden="1" customHeight="1">
      <c r="A7794" s="286"/>
    </row>
    <row r="7795" spans="1:1" s="287" customFormat="1" ht="12" hidden="1" customHeight="1">
      <c r="A7795" s="286"/>
    </row>
    <row r="7796" spans="1:1" s="287" customFormat="1" ht="12" hidden="1" customHeight="1">
      <c r="A7796" s="286"/>
    </row>
    <row r="7797" spans="1:1" s="287" customFormat="1" ht="12" hidden="1" customHeight="1">
      <c r="A7797" s="286"/>
    </row>
    <row r="7798" spans="1:1" s="287" customFormat="1" ht="12" hidden="1" customHeight="1">
      <c r="A7798" s="286"/>
    </row>
    <row r="7799" spans="1:1" s="287" customFormat="1" ht="12" hidden="1" customHeight="1">
      <c r="A7799" s="286"/>
    </row>
    <row r="7800" spans="1:1" s="287" customFormat="1" ht="12" hidden="1" customHeight="1">
      <c r="A7800" s="286"/>
    </row>
    <row r="7801" spans="1:1" s="287" customFormat="1" ht="12" hidden="1" customHeight="1">
      <c r="A7801" s="286"/>
    </row>
    <row r="7802" spans="1:1" s="287" customFormat="1" ht="12" hidden="1" customHeight="1">
      <c r="A7802" s="286"/>
    </row>
    <row r="7803" spans="1:1" s="287" customFormat="1" ht="12" hidden="1" customHeight="1">
      <c r="A7803" s="286"/>
    </row>
    <row r="7804" spans="1:1" s="287" customFormat="1" ht="12" hidden="1" customHeight="1">
      <c r="A7804" s="286"/>
    </row>
    <row r="7805" spans="1:1" s="287" customFormat="1" ht="12" hidden="1" customHeight="1">
      <c r="A7805" s="286"/>
    </row>
    <row r="7806" spans="1:1" s="287" customFormat="1" ht="12" hidden="1" customHeight="1">
      <c r="A7806" s="286"/>
    </row>
    <row r="7807" spans="1:1" s="287" customFormat="1" ht="12" hidden="1" customHeight="1">
      <c r="A7807" s="286"/>
    </row>
    <row r="7808" spans="1:1" s="287" customFormat="1" ht="12" hidden="1" customHeight="1">
      <c r="A7808" s="286"/>
    </row>
    <row r="7809" spans="1:1" s="287" customFormat="1" ht="12" hidden="1" customHeight="1">
      <c r="A7809" s="286"/>
    </row>
    <row r="7810" spans="1:1" s="287" customFormat="1" ht="12" hidden="1" customHeight="1">
      <c r="A7810" s="286"/>
    </row>
    <row r="7811" spans="1:1" s="287" customFormat="1" ht="12" hidden="1" customHeight="1">
      <c r="A7811" s="286"/>
    </row>
    <row r="7812" spans="1:1" s="287" customFormat="1" ht="12" hidden="1" customHeight="1">
      <c r="A7812" s="286"/>
    </row>
    <row r="7813" spans="1:1" s="287" customFormat="1" ht="12" hidden="1" customHeight="1">
      <c r="A7813" s="286"/>
    </row>
    <row r="7814" spans="1:1" s="287" customFormat="1" ht="12" hidden="1" customHeight="1">
      <c r="A7814" s="286"/>
    </row>
    <row r="7815" spans="1:1" s="287" customFormat="1" ht="12" hidden="1" customHeight="1">
      <c r="A7815" s="286"/>
    </row>
    <row r="7816" spans="1:1" s="287" customFormat="1" ht="12" hidden="1" customHeight="1">
      <c r="A7816" s="286"/>
    </row>
    <row r="7817" spans="1:1" s="287" customFormat="1" ht="12" hidden="1" customHeight="1">
      <c r="A7817" s="286"/>
    </row>
    <row r="7818" spans="1:1" s="287" customFormat="1" ht="12" hidden="1" customHeight="1">
      <c r="A7818" s="286"/>
    </row>
    <row r="7819" spans="1:1" s="287" customFormat="1" ht="12" hidden="1" customHeight="1">
      <c r="A7819" s="286"/>
    </row>
    <row r="7820" spans="1:1" s="287" customFormat="1" ht="12" hidden="1" customHeight="1">
      <c r="A7820" s="286"/>
    </row>
    <row r="7821" spans="1:1" s="287" customFormat="1" ht="12" hidden="1" customHeight="1">
      <c r="A7821" s="286"/>
    </row>
    <row r="7822" spans="1:1" s="287" customFormat="1" ht="12" hidden="1" customHeight="1">
      <c r="A7822" s="286"/>
    </row>
    <row r="7823" spans="1:1" s="287" customFormat="1" ht="12" hidden="1" customHeight="1">
      <c r="A7823" s="286"/>
    </row>
    <row r="7824" spans="1:1" s="287" customFormat="1" ht="12" hidden="1" customHeight="1">
      <c r="A7824" s="286"/>
    </row>
    <row r="7825" spans="1:1" s="287" customFormat="1" ht="12" hidden="1" customHeight="1">
      <c r="A7825" s="286"/>
    </row>
    <row r="7826" spans="1:1" s="287" customFormat="1" ht="12" hidden="1" customHeight="1">
      <c r="A7826" s="286"/>
    </row>
    <row r="7827" spans="1:1" s="287" customFormat="1" ht="12" hidden="1" customHeight="1">
      <c r="A7827" s="286"/>
    </row>
    <row r="7828" spans="1:1" s="287" customFormat="1" ht="12" hidden="1" customHeight="1">
      <c r="A7828" s="286"/>
    </row>
    <row r="7829" spans="1:1" s="287" customFormat="1" ht="12" hidden="1" customHeight="1">
      <c r="A7829" s="286"/>
    </row>
    <row r="7830" spans="1:1" s="287" customFormat="1" ht="12" hidden="1" customHeight="1">
      <c r="A7830" s="286"/>
    </row>
    <row r="7831" spans="1:1" s="287" customFormat="1" ht="12" hidden="1" customHeight="1">
      <c r="A7831" s="286"/>
    </row>
    <row r="7832" spans="1:1" s="287" customFormat="1" ht="12" hidden="1" customHeight="1">
      <c r="A7832" s="286"/>
    </row>
    <row r="7833" spans="1:1" s="287" customFormat="1" ht="12" hidden="1" customHeight="1">
      <c r="A7833" s="286"/>
    </row>
    <row r="7834" spans="1:1" s="287" customFormat="1" ht="12" hidden="1" customHeight="1">
      <c r="A7834" s="286"/>
    </row>
    <row r="7835" spans="1:1" s="287" customFormat="1" ht="12" hidden="1" customHeight="1">
      <c r="A7835" s="286"/>
    </row>
    <row r="7836" spans="1:1" s="287" customFormat="1" ht="12" hidden="1" customHeight="1">
      <c r="A7836" s="286"/>
    </row>
    <row r="7837" spans="1:1" s="287" customFormat="1" ht="12" hidden="1" customHeight="1">
      <c r="A7837" s="286"/>
    </row>
    <row r="7838" spans="1:1" s="287" customFormat="1" ht="12" hidden="1" customHeight="1">
      <c r="A7838" s="286"/>
    </row>
    <row r="7839" spans="1:1" s="287" customFormat="1" ht="12" hidden="1" customHeight="1">
      <c r="A7839" s="286"/>
    </row>
    <row r="7840" spans="1:1" s="287" customFormat="1" ht="12" hidden="1" customHeight="1">
      <c r="A7840" s="286"/>
    </row>
    <row r="7841" spans="1:1" s="287" customFormat="1" ht="12" hidden="1" customHeight="1">
      <c r="A7841" s="286"/>
    </row>
    <row r="7842" spans="1:1" s="287" customFormat="1" ht="12" hidden="1" customHeight="1">
      <c r="A7842" s="286"/>
    </row>
    <row r="7843" spans="1:1" s="287" customFormat="1" ht="12" hidden="1" customHeight="1">
      <c r="A7843" s="286"/>
    </row>
    <row r="7844" spans="1:1" s="287" customFormat="1" ht="12" hidden="1" customHeight="1">
      <c r="A7844" s="286"/>
    </row>
    <row r="7845" spans="1:1" s="287" customFormat="1" ht="12" hidden="1" customHeight="1">
      <c r="A7845" s="286"/>
    </row>
    <row r="7846" spans="1:1" s="287" customFormat="1" ht="12" hidden="1" customHeight="1">
      <c r="A7846" s="286"/>
    </row>
    <row r="7847" spans="1:1" s="287" customFormat="1" ht="12" hidden="1" customHeight="1">
      <c r="A7847" s="286"/>
    </row>
    <row r="7848" spans="1:1" s="287" customFormat="1" ht="12" hidden="1" customHeight="1">
      <c r="A7848" s="286"/>
    </row>
    <row r="7849" spans="1:1" s="287" customFormat="1" ht="12" hidden="1" customHeight="1">
      <c r="A7849" s="286"/>
    </row>
    <row r="7850" spans="1:1" s="287" customFormat="1" ht="12" hidden="1" customHeight="1">
      <c r="A7850" s="286"/>
    </row>
    <row r="7851" spans="1:1" s="287" customFormat="1" ht="12" hidden="1" customHeight="1">
      <c r="A7851" s="286"/>
    </row>
    <row r="7852" spans="1:1" s="287" customFormat="1" ht="12" hidden="1" customHeight="1">
      <c r="A7852" s="286"/>
    </row>
    <row r="7853" spans="1:1" s="287" customFormat="1" ht="12" hidden="1" customHeight="1">
      <c r="A7853" s="286"/>
    </row>
    <row r="7854" spans="1:1" s="287" customFormat="1" ht="12" hidden="1" customHeight="1">
      <c r="A7854" s="286"/>
    </row>
    <row r="7855" spans="1:1" s="287" customFormat="1" ht="12" hidden="1" customHeight="1">
      <c r="A7855" s="286"/>
    </row>
    <row r="7856" spans="1:1" s="287" customFormat="1" ht="12" hidden="1" customHeight="1">
      <c r="A7856" s="286"/>
    </row>
    <row r="7857" spans="1:1" s="287" customFormat="1" ht="12" hidden="1" customHeight="1">
      <c r="A7857" s="286"/>
    </row>
    <row r="7858" spans="1:1" s="287" customFormat="1" ht="12" hidden="1" customHeight="1">
      <c r="A7858" s="286"/>
    </row>
    <row r="7859" spans="1:1" s="287" customFormat="1" ht="12" hidden="1" customHeight="1">
      <c r="A7859" s="286"/>
    </row>
    <row r="7860" spans="1:1" s="287" customFormat="1" ht="12" hidden="1" customHeight="1">
      <c r="A7860" s="286"/>
    </row>
    <row r="7861" spans="1:1" s="287" customFormat="1" ht="12" hidden="1" customHeight="1">
      <c r="A7861" s="286"/>
    </row>
    <row r="7862" spans="1:1" s="287" customFormat="1" ht="12" hidden="1" customHeight="1">
      <c r="A7862" s="286"/>
    </row>
    <row r="7863" spans="1:1" s="287" customFormat="1" ht="12" hidden="1" customHeight="1">
      <c r="A7863" s="286"/>
    </row>
    <row r="7864" spans="1:1" s="287" customFormat="1" ht="12" hidden="1" customHeight="1">
      <c r="A7864" s="286"/>
    </row>
    <row r="7865" spans="1:1" s="287" customFormat="1" ht="12" hidden="1" customHeight="1">
      <c r="A7865" s="286"/>
    </row>
    <row r="7866" spans="1:1" s="287" customFormat="1" ht="12" hidden="1" customHeight="1">
      <c r="A7866" s="286"/>
    </row>
    <row r="7867" spans="1:1" s="287" customFormat="1" ht="12" hidden="1" customHeight="1">
      <c r="A7867" s="286"/>
    </row>
    <row r="7868" spans="1:1" s="287" customFormat="1" ht="12" hidden="1" customHeight="1">
      <c r="A7868" s="286"/>
    </row>
    <row r="7869" spans="1:1" s="287" customFormat="1" ht="12" hidden="1" customHeight="1">
      <c r="A7869" s="286"/>
    </row>
    <row r="7870" spans="1:1" s="287" customFormat="1" ht="12" hidden="1" customHeight="1">
      <c r="A7870" s="286"/>
    </row>
    <row r="7871" spans="1:1" s="287" customFormat="1" ht="12" hidden="1" customHeight="1">
      <c r="A7871" s="286"/>
    </row>
    <row r="7872" spans="1:1" s="287" customFormat="1" ht="12" hidden="1" customHeight="1">
      <c r="A7872" s="286"/>
    </row>
    <row r="7873" spans="1:1" s="287" customFormat="1" ht="12" hidden="1" customHeight="1">
      <c r="A7873" s="286"/>
    </row>
    <row r="7874" spans="1:1" s="287" customFormat="1" ht="12" hidden="1" customHeight="1">
      <c r="A7874" s="286"/>
    </row>
    <row r="7875" spans="1:1" s="287" customFormat="1" ht="12" hidden="1" customHeight="1">
      <c r="A7875" s="286"/>
    </row>
    <row r="7876" spans="1:1" s="287" customFormat="1" ht="12" hidden="1" customHeight="1">
      <c r="A7876" s="286"/>
    </row>
    <row r="7877" spans="1:1" s="287" customFormat="1" ht="12" hidden="1" customHeight="1">
      <c r="A7877" s="286"/>
    </row>
    <row r="7878" spans="1:1" s="287" customFormat="1" ht="12" hidden="1" customHeight="1">
      <c r="A7878" s="286"/>
    </row>
    <row r="7879" spans="1:1" s="287" customFormat="1" ht="12" hidden="1" customHeight="1">
      <c r="A7879" s="286"/>
    </row>
    <row r="7880" spans="1:1" s="287" customFormat="1" ht="12" hidden="1" customHeight="1">
      <c r="A7880" s="286"/>
    </row>
    <row r="7881" spans="1:1" s="287" customFormat="1" ht="12" hidden="1" customHeight="1">
      <c r="A7881" s="286"/>
    </row>
    <row r="7882" spans="1:1" s="287" customFormat="1" ht="12" hidden="1" customHeight="1">
      <c r="A7882" s="286"/>
    </row>
    <row r="7883" spans="1:1" s="287" customFormat="1" ht="12" hidden="1" customHeight="1">
      <c r="A7883" s="286"/>
    </row>
    <row r="7884" spans="1:1" s="287" customFormat="1" ht="12" hidden="1" customHeight="1">
      <c r="A7884" s="286"/>
    </row>
    <row r="7885" spans="1:1" s="287" customFormat="1" ht="12" hidden="1" customHeight="1">
      <c r="A7885" s="286"/>
    </row>
    <row r="7886" spans="1:1" s="287" customFormat="1" ht="12" hidden="1" customHeight="1">
      <c r="A7886" s="286"/>
    </row>
    <row r="7887" spans="1:1" s="287" customFormat="1" ht="12" hidden="1" customHeight="1">
      <c r="A7887" s="286"/>
    </row>
    <row r="7888" spans="1:1" s="287" customFormat="1" ht="12" hidden="1" customHeight="1">
      <c r="A7888" s="286"/>
    </row>
    <row r="7889" spans="1:1" s="287" customFormat="1" ht="12" hidden="1" customHeight="1">
      <c r="A7889" s="286"/>
    </row>
    <row r="7890" spans="1:1" s="287" customFormat="1" ht="12" hidden="1" customHeight="1">
      <c r="A7890" s="286"/>
    </row>
    <row r="7891" spans="1:1" s="287" customFormat="1" ht="12" hidden="1" customHeight="1">
      <c r="A7891" s="286"/>
    </row>
    <row r="7892" spans="1:1" s="287" customFormat="1" ht="12" hidden="1" customHeight="1">
      <c r="A7892" s="286"/>
    </row>
    <row r="7893" spans="1:1" s="287" customFormat="1" ht="12" hidden="1" customHeight="1">
      <c r="A7893" s="286"/>
    </row>
    <row r="7894" spans="1:1" s="287" customFormat="1" ht="12" hidden="1" customHeight="1">
      <c r="A7894" s="286"/>
    </row>
    <row r="7895" spans="1:1" s="287" customFormat="1" ht="12" hidden="1" customHeight="1">
      <c r="A7895" s="286"/>
    </row>
    <row r="7896" spans="1:1" s="287" customFormat="1" ht="12" hidden="1" customHeight="1">
      <c r="A7896" s="286"/>
    </row>
    <row r="7897" spans="1:1" s="287" customFormat="1" ht="12" hidden="1" customHeight="1">
      <c r="A7897" s="286"/>
    </row>
    <row r="7898" spans="1:1" s="287" customFormat="1" ht="12" hidden="1" customHeight="1">
      <c r="A7898" s="286"/>
    </row>
    <row r="7899" spans="1:1" s="287" customFormat="1" ht="12" hidden="1" customHeight="1">
      <c r="A7899" s="286"/>
    </row>
    <row r="7900" spans="1:1" s="287" customFormat="1" ht="12" hidden="1" customHeight="1">
      <c r="A7900" s="286"/>
    </row>
    <row r="7901" spans="1:1" s="287" customFormat="1" ht="12" hidden="1" customHeight="1">
      <c r="A7901" s="286"/>
    </row>
    <row r="7902" spans="1:1" s="287" customFormat="1" ht="12" hidden="1" customHeight="1">
      <c r="A7902" s="286"/>
    </row>
    <row r="7903" spans="1:1" s="287" customFormat="1" ht="12" hidden="1" customHeight="1">
      <c r="A7903" s="286"/>
    </row>
    <row r="7904" spans="1:1" s="287" customFormat="1" ht="12" hidden="1" customHeight="1">
      <c r="A7904" s="286"/>
    </row>
    <row r="7905" spans="1:1" s="287" customFormat="1" ht="12" hidden="1" customHeight="1">
      <c r="A7905" s="286"/>
    </row>
    <row r="7906" spans="1:1" s="287" customFormat="1" ht="12" hidden="1" customHeight="1">
      <c r="A7906" s="286"/>
    </row>
    <row r="7907" spans="1:1" s="287" customFormat="1" ht="12" hidden="1" customHeight="1">
      <c r="A7907" s="286"/>
    </row>
    <row r="7908" spans="1:1" s="287" customFormat="1" ht="12" hidden="1" customHeight="1">
      <c r="A7908" s="286"/>
    </row>
    <row r="7909" spans="1:1" s="287" customFormat="1" ht="12" hidden="1" customHeight="1">
      <c r="A7909" s="286"/>
    </row>
    <row r="7910" spans="1:1" s="287" customFormat="1" ht="12" hidden="1" customHeight="1">
      <c r="A7910" s="286"/>
    </row>
    <row r="7911" spans="1:1" s="287" customFormat="1" ht="12" hidden="1" customHeight="1">
      <c r="A7911" s="286"/>
    </row>
    <row r="7912" spans="1:1" s="287" customFormat="1" ht="12" hidden="1" customHeight="1">
      <c r="A7912" s="286"/>
    </row>
    <row r="7913" spans="1:1" s="287" customFormat="1" ht="12" hidden="1" customHeight="1">
      <c r="A7913" s="286"/>
    </row>
    <row r="7914" spans="1:1" s="287" customFormat="1" ht="12" hidden="1" customHeight="1">
      <c r="A7914" s="286"/>
    </row>
    <row r="7915" spans="1:1" s="287" customFormat="1" ht="12" hidden="1" customHeight="1">
      <c r="A7915" s="286"/>
    </row>
    <row r="7916" spans="1:1" s="287" customFormat="1" ht="12" hidden="1" customHeight="1">
      <c r="A7916" s="286"/>
    </row>
    <row r="7917" spans="1:1" s="287" customFormat="1" ht="12" hidden="1" customHeight="1">
      <c r="A7917" s="286"/>
    </row>
    <row r="7918" spans="1:1" s="287" customFormat="1" ht="12" hidden="1" customHeight="1">
      <c r="A7918" s="286"/>
    </row>
    <row r="7919" spans="1:1" s="287" customFormat="1" ht="12" hidden="1" customHeight="1">
      <c r="A7919" s="286"/>
    </row>
    <row r="7920" spans="1:1" s="287" customFormat="1" ht="12" hidden="1" customHeight="1">
      <c r="A7920" s="286"/>
    </row>
    <row r="7921" spans="1:1" s="287" customFormat="1" ht="12" hidden="1" customHeight="1">
      <c r="A7921" s="286"/>
    </row>
    <row r="7922" spans="1:1" s="287" customFormat="1" ht="12" hidden="1" customHeight="1">
      <c r="A7922" s="286"/>
    </row>
    <row r="7923" spans="1:1" s="287" customFormat="1" ht="12" hidden="1" customHeight="1">
      <c r="A7923" s="286"/>
    </row>
    <row r="7924" spans="1:1" s="287" customFormat="1" ht="12" hidden="1" customHeight="1">
      <c r="A7924" s="286"/>
    </row>
    <row r="7925" spans="1:1" s="287" customFormat="1" ht="12" hidden="1" customHeight="1">
      <c r="A7925" s="286"/>
    </row>
    <row r="7926" spans="1:1" s="287" customFormat="1" ht="12" hidden="1" customHeight="1">
      <c r="A7926" s="286"/>
    </row>
    <row r="7927" spans="1:1" s="287" customFormat="1" ht="12" hidden="1" customHeight="1">
      <c r="A7927" s="286"/>
    </row>
    <row r="7928" spans="1:1" s="287" customFormat="1" ht="12" hidden="1" customHeight="1">
      <c r="A7928" s="286"/>
    </row>
    <row r="7929" spans="1:1" s="287" customFormat="1" ht="12" hidden="1" customHeight="1">
      <c r="A7929" s="286"/>
    </row>
    <row r="7930" spans="1:1" s="287" customFormat="1" ht="12" hidden="1" customHeight="1">
      <c r="A7930" s="286"/>
    </row>
    <row r="7931" spans="1:1" s="287" customFormat="1" ht="12" hidden="1" customHeight="1">
      <c r="A7931" s="286"/>
    </row>
    <row r="7932" spans="1:1" s="287" customFormat="1" ht="12" hidden="1" customHeight="1">
      <c r="A7932" s="286"/>
    </row>
    <row r="7933" spans="1:1" s="287" customFormat="1" ht="12" hidden="1" customHeight="1">
      <c r="A7933" s="286"/>
    </row>
    <row r="7934" spans="1:1" s="287" customFormat="1" ht="12" hidden="1" customHeight="1">
      <c r="A7934" s="286"/>
    </row>
    <row r="7935" spans="1:1" s="287" customFormat="1" ht="12" hidden="1" customHeight="1">
      <c r="A7935" s="286"/>
    </row>
    <row r="7936" spans="1:1" s="287" customFormat="1" ht="12" hidden="1" customHeight="1">
      <c r="A7936" s="286"/>
    </row>
    <row r="7937" spans="1:1" s="287" customFormat="1" ht="12" hidden="1" customHeight="1">
      <c r="A7937" s="286"/>
    </row>
    <row r="7938" spans="1:1" s="287" customFormat="1" ht="12" hidden="1" customHeight="1">
      <c r="A7938" s="286"/>
    </row>
    <row r="7939" spans="1:1" s="287" customFormat="1" ht="12" hidden="1" customHeight="1">
      <c r="A7939" s="286"/>
    </row>
    <row r="7940" spans="1:1" s="287" customFormat="1" ht="12" hidden="1" customHeight="1">
      <c r="A7940" s="286"/>
    </row>
    <row r="7941" spans="1:1" s="287" customFormat="1" ht="12" hidden="1" customHeight="1">
      <c r="A7941" s="286"/>
    </row>
    <row r="7942" spans="1:1" s="287" customFormat="1" ht="12" hidden="1" customHeight="1">
      <c r="A7942" s="286"/>
    </row>
    <row r="7943" spans="1:1" s="287" customFormat="1" ht="12" hidden="1" customHeight="1">
      <c r="A7943" s="286"/>
    </row>
    <row r="7944" spans="1:1" s="287" customFormat="1" ht="12" hidden="1" customHeight="1">
      <c r="A7944" s="286"/>
    </row>
    <row r="7945" spans="1:1" s="287" customFormat="1" ht="12" hidden="1" customHeight="1">
      <c r="A7945" s="286"/>
    </row>
    <row r="7946" spans="1:1" s="287" customFormat="1" ht="12" hidden="1" customHeight="1">
      <c r="A7946" s="286"/>
    </row>
    <row r="7947" spans="1:1" s="287" customFormat="1" ht="12" hidden="1" customHeight="1">
      <c r="A7947" s="286"/>
    </row>
    <row r="7948" spans="1:1" s="287" customFormat="1" ht="12" hidden="1" customHeight="1">
      <c r="A7948" s="286"/>
    </row>
    <row r="7949" spans="1:1" s="287" customFormat="1" ht="12" hidden="1" customHeight="1">
      <c r="A7949" s="286"/>
    </row>
    <row r="7950" spans="1:1" s="287" customFormat="1" ht="12" hidden="1" customHeight="1">
      <c r="A7950" s="286"/>
    </row>
    <row r="7951" spans="1:1" s="287" customFormat="1" ht="12" hidden="1" customHeight="1">
      <c r="A7951" s="286"/>
    </row>
    <row r="7952" spans="1:1" s="287" customFormat="1" ht="12" hidden="1" customHeight="1">
      <c r="A7952" s="286"/>
    </row>
    <row r="7953" spans="1:1" s="287" customFormat="1" ht="12" hidden="1" customHeight="1">
      <c r="A7953" s="286"/>
    </row>
    <row r="7954" spans="1:1" s="287" customFormat="1" ht="12" hidden="1" customHeight="1">
      <c r="A7954" s="286"/>
    </row>
    <row r="7955" spans="1:1" s="287" customFormat="1" ht="12" hidden="1" customHeight="1">
      <c r="A7955" s="286"/>
    </row>
    <row r="7956" spans="1:1" s="287" customFormat="1" ht="12" hidden="1" customHeight="1">
      <c r="A7956" s="286"/>
    </row>
    <row r="7957" spans="1:1" s="287" customFormat="1" ht="12" hidden="1" customHeight="1">
      <c r="A7957" s="286"/>
    </row>
    <row r="7958" spans="1:1" s="287" customFormat="1" ht="12" hidden="1" customHeight="1">
      <c r="A7958" s="286"/>
    </row>
    <row r="7959" spans="1:1" s="287" customFormat="1" ht="12" hidden="1" customHeight="1">
      <c r="A7959" s="286"/>
    </row>
    <row r="7960" spans="1:1" s="287" customFormat="1" ht="12" hidden="1" customHeight="1">
      <c r="A7960" s="286"/>
    </row>
    <row r="7961" spans="1:1" s="287" customFormat="1" ht="12" hidden="1" customHeight="1">
      <c r="A7961" s="286"/>
    </row>
    <row r="7962" spans="1:1" s="287" customFormat="1" ht="12" hidden="1" customHeight="1">
      <c r="A7962" s="286"/>
    </row>
    <row r="7963" spans="1:1" s="287" customFormat="1" ht="12" hidden="1" customHeight="1">
      <c r="A7963" s="286"/>
    </row>
    <row r="7964" spans="1:1" s="287" customFormat="1" ht="12" hidden="1" customHeight="1">
      <c r="A7964" s="286"/>
    </row>
    <row r="7965" spans="1:1" s="287" customFormat="1" ht="12" hidden="1" customHeight="1">
      <c r="A7965" s="286"/>
    </row>
    <row r="7966" spans="1:1" s="287" customFormat="1" ht="12" hidden="1" customHeight="1">
      <c r="A7966" s="286"/>
    </row>
    <row r="7967" spans="1:1" s="287" customFormat="1" ht="12" hidden="1" customHeight="1">
      <c r="A7967" s="286"/>
    </row>
    <row r="7968" spans="1:1" s="287" customFormat="1" ht="12" hidden="1" customHeight="1">
      <c r="A7968" s="286"/>
    </row>
    <row r="7969" spans="1:1" s="287" customFormat="1" ht="12" hidden="1" customHeight="1">
      <c r="A7969" s="286"/>
    </row>
    <row r="7970" spans="1:1" s="287" customFormat="1" ht="12" hidden="1" customHeight="1">
      <c r="A7970" s="286"/>
    </row>
    <row r="7971" spans="1:1" s="287" customFormat="1" ht="12" hidden="1" customHeight="1">
      <c r="A7971" s="286"/>
    </row>
    <row r="7972" spans="1:1" s="287" customFormat="1" ht="12" hidden="1" customHeight="1">
      <c r="A7972" s="286"/>
    </row>
    <row r="7973" spans="1:1" s="287" customFormat="1" ht="12" hidden="1" customHeight="1">
      <c r="A7973" s="286"/>
    </row>
    <row r="7974" spans="1:1" s="287" customFormat="1" ht="12" hidden="1" customHeight="1">
      <c r="A7974" s="286"/>
    </row>
    <row r="7975" spans="1:1" s="287" customFormat="1" ht="12" hidden="1" customHeight="1">
      <c r="A7975" s="286"/>
    </row>
    <row r="7976" spans="1:1" s="287" customFormat="1" ht="12" hidden="1" customHeight="1">
      <c r="A7976" s="286"/>
    </row>
    <row r="7977" spans="1:1" s="287" customFormat="1" ht="12" hidden="1" customHeight="1">
      <c r="A7977" s="286"/>
    </row>
    <row r="7978" spans="1:1" s="287" customFormat="1" ht="12" hidden="1" customHeight="1">
      <c r="A7978" s="286"/>
    </row>
    <row r="7979" spans="1:1" s="287" customFormat="1" ht="12" hidden="1" customHeight="1">
      <c r="A7979" s="286"/>
    </row>
    <row r="7980" spans="1:1" s="287" customFormat="1" ht="12" hidden="1" customHeight="1">
      <c r="A7980" s="286"/>
    </row>
    <row r="7981" spans="1:1" s="287" customFormat="1" ht="12" hidden="1" customHeight="1">
      <c r="A7981" s="286"/>
    </row>
    <row r="7982" spans="1:1" s="287" customFormat="1" ht="12" hidden="1" customHeight="1">
      <c r="A7982" s="286"/>
    </row>
    <row r="7983" spans="1:1" s="287" customFormat="1" ht="12" hidden="1" customHeight="1">
      <c r="A7983" s="286"/>
    </row>
    <row r="7984" spans="1:1" s="287" customFormat="1" ht="12" hidden="1" customHeight="1">
      <c r="A7984" s="286"/>
    </row>
    <row r="7985" spans="1:1" s="287" customFormat="1" ht="12" hidden="1" customHeight="1">
      <c r="A7985" s="286"/>
    </row>
    <row r="7986" spans="1:1" s="287" customFormat="1" ht="12" hidden="1" customHeight="1">
      <c r="A7986" s="286"/>
    </row>
    <row r="7987" spans="1:1" s="287" customFormat="1" ht="12" hidden="1" customHeight="1">
      <c r="A7987" s="286"/>
    </row>
    <row r="7988" spans="1:1" s="287" customFormat="1" ht="12" hidden="1" customHeight="1">
      <c r="A7988" s="286"/>
    </row>
    <row r="7989" spans="1:1" s="287" customFormat="1" ht="12" hidden="1" customHeight="1">
      <c r="A7989" s="286"/>
    </row>
    <row r="7990" spans="1:1" s="287" customFormat="1" ht="12" hidden="1" customHeight="1">
      <c r="A7990" s="286"/>
    </row>
    <row r="7991" spans="1:1" s="287" customFormat="1" ht="12" hidden="1" customHeight="1">
      <c r="A7991" s="286"/>
    </row>
    <row r="7992" spans="1:1" s="287" customFormat="1" ht="12" hidden="1" customHeight="1">
      <c r="A7992" s="286"/>
    </row>
    <row r="7993" spans="1:1" s="287" customFormat="1" ht="12" hidden="1" customHeight="1">
      <c r="A7993" s="286"/>
    </row>
    <row r="7994" spans="1:1" s="287" customFormat="1" ht="12" hidden="1" customHeight="1">
      <c r="A7994" s="286"/>
    </row>
    <row r="7995" spans="1:1" s="287" customFormat="1" ht="12" hidden="1" customHeight="1">
      <c r="A7995" s="286"/>
    </row>
    <row r="7996" spans="1:1" s="287" customFormat="1" ht="12" hidden="1" customHeight="1">
      <c r="A7996" s="286"/>
    </row>
    <row r="7997" spans="1:1" s="287" customFormat="1" ht="12" hidden="1" customHeight="1">
      <c r="A7997" s="286"/>
    </row>
    <row r="7998" spans="1:1" s="287" customFormat="1" ht="12" hidden="1" customHeight="1">
      <c r="A7998" s="286"/>
    </row>
    <row r="7999" spans="1:1" s="287" customFormat="1" ht="12" hidden="1" customHeight="1">
      <c r="A7999" s="286"/>
    </row>
    <row r="8000" spans="1:1" s="287" customFormat="1" ht="12" hidden="1" customHeight="1">
      <c r="A8000" s="286"/>
    </row>
    <row r="8001" spans="1:1" s="287" customFormat="1" ht="12" hidden="1" customHeight="1">
      <c r="A8001" s="286"/>
    </row>
    <row r="8002" spans="1:1" s="287" customFormat="1" ht="12" hidden="1" customHeight="1">
      <c r="A8002" s="286"/>
    </row>
    <row r="8003" spans="1:1" s="287" customFormat="1" ht="12" hidden="1" customHeight="1">
      <c r="A8003" s="286"/>
    </row>
    <row r="8004" spans="1:1" s="287" customFormat="1" ht="12" hidden="1" customHeight="1">
      <c r="A8004" s="286"/>
    </row>
    <row r="8005" spans="1:1" s="287" customFormat="1" ht="12" hidden="1" customHeight="1">
      <c r="A8005" s="286"/>
    </row>
    <row r="8006" spans="1:1" s="287" customFormat="1" ht="12" hidden="1" customHeight="1">
      <c r="A8006" s="286"/>
    </row>
    <row r="8007" spans="1:1" s="287" customFormat="1" ht="12" hidden="1" customHeight="1">
      <c r="A8007" s="286"/>
    </row>
    <row r="8008" spans="1:1" s="287" customFormat="1" ht="12" hidden="1" customHeight="1">
      <c r="A8008" s="286"/>
    </row>
    <row r="8009" spans="1:1" s="287" customFormat="1" ht="12" hidden="1" customHeight="1">
      <c r="A8009" s="286"/>
    </row>
    <row r="8010" spans="1:1" s="287" customFormat="1" ht="12" hidden="1" customHeight="1">
      <c r="A8010" s="286"/>
    </row>
    <row r="8011" spans="1:1" s="287" customFormat="1" ht="12" hidden="1" customHeight="1">
      <c r="A8011" s="286"/>
    </row>
    <row r="8012" spans="1:1" s="287" customFormat="1" ht="12" hidden="1" customHeight="1">
      <c r="A8012" s="286"/>
    </row>
    <row r="8013" spans="1:1" s="287" customFormat="1" ht="12" hidden="1" customHeight="1">
      <c r="A8013" s="286"/>
    </row>
    <row r="8014" spans="1:1" s="287" customFormat="1" ht="12" hidden="1" customHeight="1">
      <c r="A8014" s="286"/>
    </row>
    <row r="8015" spans="1:1" s="287" customFormat="1" ht="12" hidden="1" customHeight="1">
      <c r="A8015" s="286"/>
    </row>
    <row r="8016" spans="1:1" s="287" customFormat="1" ht="12" hidden="1" customHeight="1">
      <c r="A8016" s="286"/>
    </row>
    <row r="8017" spans="1:1" s="287" customFormat="1" ht="12" hidden="1" customHeight="1">
      <c r="A8017" s="286"/>
    </row>
    <row r="8018" spans="1:1" s="287" customFormat="1" ht="12" hidden="1" customHeight="1">
      <c r="A8018" s="286"/>
    </row>
    <row r="8019" spans="1:1" s="287" customFormat="1" ht="12" hidden="1" customHeight="1">
      <c r="A8019" s="286"/>
    </row>
    <row r="8020" spans="1:1" s="287" customFormat="1" ht="12" hidden="1" customHeight="1">
      <c r="A8020" s="286"/>
    </row>
    <row r="8021" spans="1:1" s="287" customFormat="1" ht="12" hidden="1" customHeight="1">
      <c r="A8021" s="286"/>
    </row>
    <row r="8022" spans="1:1" s="287" customFormat="1" ht="12" hidden="1" customHeight="1">
      <c r="A8022" s="286"/>
    </row>
    <row r="8023" spans="1:1" s="287" customFormat="1" ht="12" hidden="1" customHeight="1">
      <c r="A8023" s="286"/>
    </row>
    <row r="8024" spans="1:1" s="287" customFormat="1" ht="12" hidden="1" customHeight="1">
      <c r="A8024" s="286"/>
    </row>
    <row r="8025" spans="1:1" s="287" customFormat="1" ht="12" hidden="1" customHeight="1">
      <c r="A8025" s="286"/>
    </row>
    <row r="8026" spans="1:1" s="287" customFormat="1" ht="12" hidden="1" customHeight="1">
      <c r="A8026" s="286"/>
    </row>
    <row r="8027" spans="1:1" s="287" customFormat="1" ht="12" hidden="1" customHeight="1">
      <c r="A8027" s="286"/>
    </row>
    <row r="8028" spans="1:1" s="287" customFormat="1" ht="12" hidden="1" customHeight="1">
      <c r="A8028" s="286"/>
    </row>
    <row r="8029" spans="1:1" s="287" customFormat="1" ht="12" hidden="1" customHeight="1">
      <c r="A8029" s="286"/>
    </row>
    <row r="8030" spans="1:1" s="287" customFormat="1" ht="12" hidden="1" customHeight="1">
      <c r="A8030" s="286"/>
    </row>
    <row r="8031" spans="1:1" s="287" customFormat="1" ht="12" hidden="1" customHeight="1">
      <c r="A8031" s="286"/>
    </row>
    <row r="8032" spans="1:1" s="287" customFormat="1" ht="12" hidden="1" customHeight="1">
      <c r="A8032" s="286"/>
    </row>
    <row r="8033" spans="1:1" s="287" customFormat="1" ht="12" hidden="1" customHeight="1">
      <c r="A8033" s="286"/>
    </row>
    <row r="8034" spans="1:1" s="287" customFormat="1" ht="12" hidden="1" customHeight="1">
      <c r="A8034" s="286"/>
    </row>
    <row r="8035" spans="1:1" s="287" customFormat="1" ht="12" hidden="1" customHeight="1">
      <c r="A8035" s="286"/>
    </row>
    <row r="8036" spans="1:1" s="287" customFormat="1" ht="12" hidden="1" customHeight="1">
      <c r="A8036" s="286"/>
    </row>
    <row r="8037" spans="1:1" s="287" customFormat="1" ht="12" hidden="1" customHeight="1">
      <c r="A8037" s="286"/>
    </row>
    <row r="8038" spans="1:1" s="287" customFormat="1" ht="12" hidden="1" customHeight="1">
      <c r="A8038" s="286"/>
    </row>
    <row r="8039" spans="1:1" s="287" customFormat="1" ht="12" hidden="1" customHeight="1">
      <c r="A8039" s="286"/>
    </row>
    <row r="8040" spans="1:1" s="287" customFormat="1" ht="12" hidden="1" customHeight="1">
      <c r="A8040" s="286"/>
    </row>
    <row r="8041" spans="1:1" s="287" customFormat="1" ht="12" hidden="1" customHeight="1">
      <c r="A8041" s="286"/>
    </row>
    <row r="8042" spans="1:1" s="287" customFormat="1" ht="12" hidden="1" customHeight="1">
      <c r="A8042" s="286"/>
    </row>
    <row r="8043" spans="1:1" s="287" customFormat="1" ht="12" hidden="1" customHeight="1">
      <c r="A8043" s="286"/>
    </row>
    <row r="8044" spans="1:1" s="287" customFormat="1" ht="12" hidden="1" customHeight="1">
      <c r="A8044" s="286"/>
    </row>
    <row r="8045" spans="1:1" s="287" customFormat="1" ht="12" hidden="1" customHeight="1">
      <c r="A8045" s="286"/>
    </row>
    <row r="8046" spans="1:1" s="287" customFormat="1" ht="12" hidden="1" customHeight="1">
      <c r="A8046" s="286"/>
    </row>
    <row r="8047" spans="1:1" s="287" customFormat="1" ht="12" hidden="1" customHeight="1">
      <c r="A8047" s="286"/>
    </row>
    <row r="8048" spans="1:1" s="287" customFormat="1" ht="12" hidden="1" customHeight="1">
      <c r="A8048" s="286"/>
    </row>
    <row r="8049" spans="1:1" s="287" customFormat="1" ht="12" hidden="1" customHeight="1">
      <c r="A8049" s="286"/>
    </row>
    <row r="8050" spans="1:1" s="287" customFormat="1" ht="12" hidden="1" customHeight="1">
      <c r="A8050" s="286"/>
    </row>
    <row r="8051" spans="1:1" s="287" customFormat="1" ht="12" hidden="1" customHeight="1">
      <c r="A8051" s="286"/>
    </row>
    <row r="8052" spans="1:1" s="287" customFormat="1" ht="12" hidden="1" customHeight="1">
      <c r="A8052" s="286"/>
    </row>
    <row r="8053" spans="1:1" s="287" customFormat="1" ht="12" hidden="1" customHeight="1">
      <c r="A8053" s="286"/>
    </row>
    <row r="8054" spans="1:1" s="287" customFormat="1" ht="12" hidden="1" customHeight="1">
      <c r="A8054" s="286"/>
    </row>
    <row r="8055" spans="1:1" s="287" customFormat="1" ht="12" hidden="1" customHeight="1">
      <c r="A8055" s="286"/>
    </row>
    <row r="8056" spans="1:1" s="287" customFormat="1" ht="12" hidden="1" customHeight="1">
      <c r="A8056" s="286"/>
    </row>
    <row r="8057" spans="1:1" s="287" customFormat="1" ht="12" hidden="1" customHeight="1">
      <c r="A8057" s="286"/>
    </row>
    <row r="8058" spans="1:1" s="287" customFormat="1" ht="12" hidden="1" customHeight="1">
      <c r="A8058" s="286"/>
    </row>
    <row r="8059" spans="1:1" s="287" customFormat="1" ht="12" hidden="1" customHeight="1">
      <c r="A8059" s="286"/>
    </row>
    <row r="8060" spans="1:1" s="287" customFormat="1" ht="12" hidden="1" customHeight="1">
      <c r="A8060" s="286"/>
    </row>
    <row r="8061" spans="1:1" s="287" customFormat="1" ht="12" hidden="1" customHeight="1">
      <c r="A8061" s="286"/>
    </row>
    <row r="8062" spans="1:1" s="287" customFormat="1" ht="12" hidden="1" customHeight="1">
      <c r="A8062" s="286"/>
    </row>
    <row r="8063" spans="1:1" s="287" customFormat="1" ht="12" hidden="1" customHeight="1">
      <c r="A8063" s="286"/>
    </row>
    <row r="8064" spans="1:1" s="287" customFormat="1" ht="12" hidden="1" customHeight="1">
      <c r="A8064" s="286"/>
    </row>
    <row r="8065" spans="1:1" s="287" customFormat="1" ht="12" hidden="1" customHeight="1">
      <c r="A8065" s="286"/>
    </row>
    <row r="8066" spans="1:1" s="287" customFormat="1" ht="12" hidden="1" customHeight="1">
      <c r="A8066" s="286"/>
    </row>
    <row r="8067" spans="1:1" s="287" customFormat="1" ht="12" hidden="1" customHeight="1">
      <c r="A8067" s="286"/>
    </row>
    <row r="8068" spans="1:1" s="287" customFormat="1" ht="12" hidden="1" customHeight="1">
      <c r="A8068" s="286"/>
    </row>
    <row r="8069" spans="1:1" s="287" customFormat="1" ht="12" hidden="1" customHeight="1">
      <c r="A8069" s="286"/>
    </row>
    <row r="8070" spans="1:1" s="287" customFormat="1" ht="12" hidden="1" customHeight="1">
      <c r="A8070" s="286"/>
    </row>
    <row r="8071" spans="1:1" s="287" customFormat="1" ht="12" hidden="1" customHeight="1">
      <c r="A8071" s="286"/>
    </row>
    <row r="8072" spans="1:1" s="287" customFormat="1" ht="12" hidden="1" customHeight="1">
      <c r="A8072" s="286"/>
    </row>
    <row r="8073" spans="1:1" s="287" customFormat="1" ht="12" hidden="1" customHeight="1">
      <c r="A8073" s="286"/>
    </row>
    <row r="8074" spans="1:1" s="287" customFormat="1" ht="12" hidden="1" customHeight="1">
      <c r="A8074" s="286"/>
    </row>
    <row r="8075" spans="1:1" s="287" customFormat="1" ht="12" hidden="1" customHeight="1">
      <c r="A8075" s="286"/>
    </row>
    <row r="8076" spans="1:1" s="287" customFormat="1" ht="12" hidden="1" customHeight="1">
      <c r="A8076" s="286"/>
    </row>
    <row r="8077" spans="1:1" s="287" customFormat="1" ht="12" hidden="1" customHeight="1">
      <c r="A8077" s="286"/>
    </row>
    <row r="8078" spans="1:1" s="287" customFormat="1" ht="12" hidden="1" customHeight="1">
      <c r="A8078" s="286"/>
    </row>
    <row r="8079" spans="1:1" s="287" customFormat="1" ht="12" hidden="1" customHeight="1">
      <c r="A8079" s="286"/>
    </row>
    <row r="8080" spans="1:1" s="287" customFormat="1" ht="12" hidden="1" customHeight="1">
      <c r="A8080" s="286"/>
    </row>
    <row r="8081" spans="1:1" s="287" customFormat="1" ht="12" hidden="1" customHeight="1">
      <c r="A8081" s="286"/>
    </row>
    <row r="8082" spans="1:1" s="287" customFormat="1" ht="12" hidden="1" customHeight="1">
      <c r="A8082" s="286"/>
    </row>
    <row r="8083" spans="1:1" s="287" customFormat="1" ht="12" hidden="1" customHeight="1">
      <c r="A8083" s="286"/>
    </row>
    <row r="8084" spans="1:1" s="287" customFormat="1" ht="12" hidden="1" customHeight="1">
      <c r="A8084" s="286"/>
    </row>
    <row r="8085" spans="1:1" s="287" customFormat="1" ht="12" hidden="1" customHeight="1">
      <c r="A8085" s="286"/>
    </row>
    <row r="8086" spans="1:1" s="287" customFormat="1" ht="12" hidden="1" customHeight="1">
      <c r="A8086" s="286"/>
    </row>
    <row r="8087" spans="1:1" s="287" customFormat="1" ht="12" hidden="1" customHeight="1">
      <c r="A8087" s="286"/>
    </row>
    <row r="8088" spans="1:1" s="287" customFormat="1" ht="12" hidden="1" customHeight="1">
      <c r="A8088" s="286"/>
    </row>
    <row r="8089" spans="1:1" s="287" customFormat="1" ht="12" hidden="1" customHeight="1">
      <c r="A8089" s="286"/>
    </row>
    <row r="8090" spans="1:1" s="287" customFormat="1" ht="12" hidden="1" customHeight="1">
      <c r="A8090" s="286"/>
    </row>
    <row r="8091" spans="1:1" s="287" customFormat="1" ht="12" hidden="1" customHeight="1">
      <c r="A8091" s="286"/>
    </row>
    <row r="8092" spans="1:1" s="287" customFormat="1" ht="12" hidden="1" customHeight="1">
      <c r="A8092" s="286"/>
    </row>
    <row r="8093" spans="1:1" s="287" customFormat="1" ht="12" hidden="1" customHeight="1">
      <c r="A8093" s="286"/>
    </row>
    <row r="8094" spans="1:1" s="287" customFormat="1" ht="12" hidden="1" customHeight="1">
      <c r="A8094" s="286"/>
    </row>
    <row r="8095" spans="1:1" s="287" customFormat="1" ht="12" hidden="1" customHeight="1">
      <c r="A8095" s="286"/>
    </row>
    <row r="8096" spans="1:1" s="287" customFormat="1" ht="12" hidden="1" customHeight="1">
      <c r="A8096" s="286"/>
    </row>
    <row r="8097" spans="1:1" s="287" customFormat="1" ht="12" hidden="1" customHeight="1">
      <c r="A8097" s="286"/>
    </row>
    <row r="8098" spans="1:1" s="287" customFormat="1" ht="12" hidden="1" customHeight="1">
      <c r="A8098" s="286"/>
    </row>
    <row r="8099" spans="1:1" s="287" customFormat="1" ht="12" hidden="1" customHeight="1">
      <c r="A8099" s="286"/>
    </row>
    <row r="8100" spans="1:1" s="287" customFormat="1" ht="12" hidden="1" customHeight="1">
      <c r="A8100" s="286"/>
    </row>
    <row r="8101" spans="1:1" s="287" customFormat="1" ht="12" hidden="1" customHeight="1">
      <c r="A8101" s="286"/>
    </row>
    <row r="8102" spans="1:1" s="287" customFormat="1" ht="12" hidden="1" customHeight="1">
      <c r="A8102" s="286"/>
    </row>
    <row r="8103" spans="1:1" s="287" customFormat="1" ht="12" hidden="1" customHeight="1">
      <c r="A8103" s="286"/>
    </row>
    <row r="8104" spans="1:1" s="287" customFormat="1" ht="12" hidden="1" customHeight="1">
      <c r="A8104" s="286"/>
    </row>
    <row r="8105" spans="1:1" s="287" customFormat="1" ht="12" hidden="1" customHeight="1">
      <c r="A8105" s="286"/>
    </row>
    <row r="8106" spans="1:1" s="287" customFormat="1" ht="12" hidden="1" customHeight="1">
      <c r="A8106" s="286"/>
    </row>
    <row r="8107" spans="1:1" s="287" customFormat="1" ht="12" hidden="1" customHeight="1">
      <c r="A8107" s="286"/>
    </row>
    <row r="8108" spans="1:1" s="287" customFormat="1" ht="12" hidden="1" customHeight="1">
      <c r="A8108" s="286"/>
    </row>
    <row r="8109" spans="1:1" s="287" customFormat="1" ht="12" hidden="1" customHeight="1">
      <c r="A8109" s="286"/>
    </row>
    <row r="8110" spans="1:1" s="287" customFormat="1" ht="12" hidden="1" customHeight="1">
      <c r="A8110" s="286"/>
    </row>
    <row r="8111" spans="1:1" s="287" customFormat="1" ht="12" hidden="1" customHeight="1">
      <c r="A8111" s="286"/>
    </row>
    <row r="8112" spans="1:1" s="287" customFormat="1" ht="12" hidden="1" customHeight="1">
      <c r="A8112" s="286"/>
    </row>
    <row r="8113" spans="1:1" s="287" customFormat="1" ht="12" hidden="1" customHeight="1">
      <c r="A8113" s="286"/>
    </row>
    <row r="8114" spans="1:1" s="287" customFormat="1" ht="12" hidden="1" customHeight="1">
      <c r="A8114" s="286"/>
    </row>
    <row r="8115" spans="1:1" s="287" customFormat="1" ht="12" hidden="1" customHeight="1">
      <c r="A8115" s="286"/>
    </row>
    <row r="8116" spans="1:1" s="287" customFormat="1" ht="12" hidden="1" customHeight="1">
      <c r="A8116" s="286"/>
    </row>
    <row r="8117" spans="1:1" s="287" customFormat="1" ht="12" hidden="1" customHeight="1">
      <c r="A8117" s="286"/>
    </row>
    <row r="8118" spans="1:1" s="287" customFormat="1" ht="12" hidden="1" customHeight="1">
      <c r="A8118" s="286"/>
    </row>
    <row r="8119" spans="1:1" s="287" customFormat="1" ht="12" hidden="1" customHeight="1">
      <c r="A8119" s="286"/>
    </row>
    <row r="8120" spans="1:1" s="287" customFormat="1" ht="12" hidden="1" customHeight="1">
      <c r="A8120" s="286"/>
    </row>
    <row r="8121" spans="1:1" s="287" customFormat="1" ht="12" hidden="1" customHeight="1">
      <c r="A8121" s="286"/>
    </row>
    <row r="8122" spans="1:1" s="287" customFormat="1" ht="12" hidden="1" customHeight="1">
      <c r="A8122" s="286"/>
    </row>
    <row r="8123" spans="1:1" s="287" customFormat="1" ht="12" hidden="1" customHeight="1">
      <c r="A8123" s="286"/>
    </row>
    <row r="8124" spans="1:1" s="287" customFormat="1" ht="12" hidden="1" customHeight="1">
      <c r="A8124" s="286"/>
    </row>
    <row r="8125" spans="1:1" s="287" customFormat="1" ht="12" hidden="1" customHeight="1">
      <c r="A8125" s="286"/>
    </row>
    <row r="8126" spans="1:1" s="287" customFormat="1" ht="12" hidden="1" customHeight="1">
      <c r="A8126" s="286"/>
    </row>
    <row r="8127" spans="1:1" s="287" customFormat="1" ht="12" hidden="1" customHeight="1">
      <c r="A8127" s="286"/>
    </row>
    <row r="8128" spans="1:1" s="287" customFormat="1" ht="12" hidden="1" customHeight="1">
      <c r="A8128" s="286"/>
    </row>
    <row r="8129" spans="1:1" s="287" customFormat="1" ht="12" hidden="1" customHeight="1">
      <c r="A8129" s="286"/>
    </row>
    <row r="8130" spans="1:1" s="287" customFormat="1" ht="12" hidden="1" customHeight="1">
      <c r="A8130" s="286"/>
    </row>
    <row r="8131" spans="1:1" s="287" customFormat="1" ht="12" hidden="1" customHeight="1">
      <c r="A8131" s="286"/>
    </row>
    <row r="8132" spans="1:1" s="287" customFormat="1" ht="12" hidden="1" customHeight="1">
      <c r="A8132" s="286"/>
    </row>
    <row r="8133" spans="1:1" s="287" customFormat="1" ht="12" hidden="1" customHeight="1">
      <c r="A8133" s="286"/>
    </row>
    <row r="8134" spans="1:1" s="287" customFormat="1" ht="12" hidden="1" customHeight="1">
      <c r="A8134" s="286"/>
    </row>
    <row r="8135" spans="1:1" s="287" customFormat="1" ht="12" hidden="1" customHeight="1">
      <c r="A8135" s="286"/>
    </row>
    <row r="8136" spans="1:1" s="287" customFormat="1" ht="12" hidden="1" customHeight="1">
      <c r="A8136" s="286"/>
    </row>
    <row r="8137" spans="1:1" s="287" customFormat="1" ht="12" hidden="1" customHeight="1">
      <c r="A8137" s="286"/>
    </row>
    <row r="8138" spans="1:1" s="287" customFormat="1" ht="12" hidden="1" customHeight="1">
      <c r="A8138" s="286"/>
    </row>
    <row r="8139" spans="1:1" s="287" customFormat="1" ht="12" hidden="1" customHeight="1">
      <c r="A8139" s="286"/>
    </row>
    <row r="8140" spans="1:1" s="287" customFormat="1" ht="12" hidden="1" customHeight="1">
      <c r="A8140" s="286"/>
    </row>
    <row r="8141" spans="1:1" s="287" customFormat="1" ht="12" hidden="1" customHeight="1">
      <c r="A8141" s="286"/>
    </row>
    <row r="8142" spans="1:1" s="287" customFormat="1" ht="12" hidden="1" customHeight="1">
      <c r="A8142" s="286"/>
    </row>
    <row r="8143" spans="1:1" s="287" customFormat="1" ht="12" hidden="1" customHeight="1">
      <c r="A8143" s="286"/>
    </row>
    <row r="8144" spans="1:1" s="287" customFormat="1" ht="12" hidden="1" customHeight="1">
      <c r="A8144" s="286"/>
    </row>
    <row r="8145" spans="1:1" s="287" customFormat="1" ht="12" hidden="1" customHeight="1">
      <c r="A8145" s="286"/>
    </row>
    <row r="8146" spans="1:1" s="287" customFormat="1" ht="12" hidden="1" customHeight="1">
      <c r="A8146" s="286"/>
    </row>
    <row r="8147" spans="1:1" s="287" customFormat="1" ht="12" hidden="1" customHeight="1">
      <c r="A8147" s="286"/>
    </row>
    <row r="8148" spans="1:1" s="287" customFormat="1" ht="12" hidden="1" customHeight="1">
      <c r="A8148" s="286"/>
    </row>
    <row r="8149" spans="1:1" s="287" customFormat="1" ht="12" hidden="1" customHeight="1">
      <c r="A8149" s="286"/>
    </row>
    <row r="8150" spans="1:1" s="287" customFormat="1" ht="12" hidden="1" customHeight="1">
      <c r="A8150" s="286"/>
    </row>
    <row r="8151" spans="1:1" s="287" customFormat="1" ht="12" hidden="1" customHeight="1">
      <c r="A8151" s="286"/>
    </row>
    <row r="8152" spans="1:1" s="287" customFormat="1" ht="12" hidden="1" customHeight="1">
      <c r="A8152" s="286"/>
    </row>
    <row r="8153" spans="1:1" s="287" customFormat="1" ht="12" hidden="1" customHeight="1">
      <c r="A8153" s="286"/>
    </row>
    <row r="8154" spans="1:1" s="287" customFormat="1" ht="12" hidden="1" customHeight="1">
      <c r="A8154" s="286"/>
    </row>
    <row r="8155" spans="1:1" s="287" customFormat="1" ht="12" hidden="1" customHeight="1">
      <c r="A8155" s="286"/>
    </row>
    <row r="8156" spans="1:1" s="287" customFormat="1" ht="12" hidden="1" customHeight="1">
      <c r="A8156" s="286"/>
    </row>
    <row r="8157" spans="1:1" s="287" customFormat="1" ht="12" hidden="1" customHeight="1">
      <c r="A8157" s="286"/>
    </row>
    <row r="8158" spans="1:1" s="287" customFormat="1" ht="12" hidden="1" customHeight="1">
      <c r="A8158" s="286"/>
    </row>
    <row r="8159" spans="1:1" s="287" customFormat="1" ht="12" hidden="1" customHeight="1">
      <c r="A8159" s="286"/>
    </row>
    <row r="8160" spans="1:1" s="287" customFormat="1" ht="12" hidden="1" customHeight="1">
      <c r="A8160" s="286"/>
    </row>
    <row r="8161" spans="1:1" s="287" customFormat="1" ht="12" hidden="1" customHeight="1">
      <c r="A8161" s="286"/>
    </row>
    <row r="8162" spans="1:1" s="287" customFormat="1" ht="12" hidden="1" customHeight="1">
      <c r="A8162" s="286"/>
    </row>
    <row r="8163" spans="1:1" s="287" customFormat="1" ht="12" hidden="1" customHeight="1">
      <c r="A8163" s="286"/>
    </row>
    <row r="8164" spans="1:1" s="287" customFormat="1" ht="12" hidden="1" customHeight="1">
      <c r="A8164" s="286"/>
    </row>
    <row r="8165" spans="1:1" s="287" customFormat="1" ht="12" hidden="1" customHeight="1">
      <c r="A8165" s="286"/>
    </row>
    <row r="8166" spans="1:1" s="287" customFormat="1" ht="12" hidden="1" customHeight="1">
      <c r="A8166" s="286"/>
    </row>
    <row r="8167" spans="1:1" s="287" customFormat="1" ht="12" hidden="1" customHeight="1">
      <c r="A8167" s="286"/>
    </row>
    <row r="8168" spans="1:1" s="287" customFormat="1" ht="12" hidden="1" customHeight="1">
      <c r="A8168" s="286"/>
    </row>
    <row r="8169" spans="1:1" s="287" customFormat="1" ht="12" hidden="1" customHeight="1">
      <c r="A8169" s="286"/>
    </row>
    <row r="8170" spans="1:1" s="287" customFormat="1" ht="12" hidden="1" customHeight="1">
      <c r="A8170" s="286"/>
    </row>
    <row r="8171" spans="1:1" s="287" customFormat="1" ht="12" hidden="1" customHeight="1">
      <c r="A8171" s="286"/>
    </row>
    <row r="8172" spans="1:1" s="287" customFormat="1" ht="12" hidden="1" customHeight="1">
      <c r="A8172" s="286"/>
    </row>
    <row r="8173" spans="1:1" s="287" customFormat="1" ht="12" hidden="1" customHeight="1">
      <c r="A8173" s="286"/>
    </row>
    <row r="8174" spans="1:1" s="287" customFormat="1" ht="12" hidden="1" customHeight="1">
      <c r="A8174" s="286"/>
    </row>
    <row r="8175" spans="1:1" s="287" customFormat="1" ht="12" hidden="1" customHeight="1">
      <c r="A8175" s="286"/>
    </row>
    <row r="8176" spans="1:1" s="287" customFormat="1" ht="12" hidden="1" customHeight="1">
      <c r="A8176" s="286"/>
    </row>
    <row r="8177" spans="1:1" s="287" customFormat="1" ht="12" hidden="1" customHeight="1">
      <c r="A8177" s="286"/>
    </row>
    <row r="8178" spans="1:1" s="287" customFormat="1" ht="12" hidden="1" customHeight="1">
      <c r="A8178" s="286"/>
    </row>
    <row r="8179" spans="1:1" s="287" customFormat="1" ht="12" hidden="1" customHeight="1">
      <c r="A8179" s="286"/>
    </row>
    <row r="8180" spans="1:1" s="287" customFormat="1" ht="12" hidden="1" customHeight="1">
      <c r="A8180" s="286"/>
    </row>
    <row r="8181" spans="1:1" s="287" customFormat="1" ht="12" hidden="1" customHeight="1">
      <c r="A8181" s="286"/>
    </row>
    <row r="8182" spans="1:1" s="287" customFormat="1" ht="12" hidden="1" customHeight="1">
      <c r="A8182" s="286"/>
    </row>
    <row r="8183" spans="1:1" s="287" customFormat="1" ht="12" hidden="1" customHeight="1">
      <c r="A8183" s="286"/>
    </row>
    <row r="8184" spans="1:1" s="287" customFormat="1" ht="12" hidden="1" customHeight="1">
      <c r="A8184" s="286"/>
    </row>
    <row r="8185" spans="1:1" s="287" customFormat="1" ht="12" hidden="1" customHeight="1">
      <c r="A8185" s="286"/>
    </row>
    <row r="8186" spans="1:1" s="287" customFormat="1" ht="12" hidden="1" customHeight="1">
      <c r="A8186" s="286"/>
    </row>
    <row r="8187" spans="1:1" s="287" customFormat="1" ht="12" hidden="1" customHeight="1">
      <c r="A8187" s="286"/>
    </row>
    <row r="8188" spans="1:1" s="287" customFormat="1" ht="12" hidden="1" customHeight="1">
      <c r="A8188" s="286"/>
    </row>
    <row r="8189" spans="1:1" s="287" customFormat="1" ht="12" hidden="1" customHeight="1">
      <c r="A8189" s="286"/>
    </row>
    <row r="8190" spans="1:1" s="287" customFormat="1" ht="12" hidden="1" customHeight="1">
      <c r="A8190" s="286"/>
    </row>
    <row r="8191" spans="1:1" s="287" customFormat="1" ht="12" hidden="1" customHeight="1">
      <c r="A8191" s="286"/>
    </row>
    <row r="8192" spans="1:1" s="287" customFormat="1" ht="12" hidden="1" customHeight="1">
      <c r="A8192" s="286"/>
    </row>
    <row r="8193" spans="1:1" s="287" customFormat="1" ht="12" hidden="1" customHeight="1">
      <c r="A8193" s="286"/>
    </row>
    <row r="8194" spans="1:1" s="287" customFormat="1" ht="12" hidden="1" customHeight="1">
      <c r="A8194" s="286"/>
    </row>
    <row r="8195" spans="1:1" s="287" customFormat="1" ht="12" hidden="1" customHeight="1">
      <c r="A8195" s="286"/>
    </row>
    <row r="8196" spans="1:1" s="287" customFormat="1" ht="12" hidden="1" customHeight="1">
      <c r="A8196" s="286"/>
    </row>
    <row r="8197" spans="1:1" s="287" customFormat="1" ht="12" hidden="1" customHeight="1">
      <c r="A8197" s="286"/>
    </row>
    <row r="8198" spans="1:1" s="287" customFormat="1" ht="12" hidden="1" customHeight="1">
      <c r="A8198" s="286"/>
    </row>
    <row r="8199" spans="1:1" s="287" customFormat="1" ht="12" hidden="1" customHeight="1">
      <c r="A8199" s="286"/>
    </row>
    <row r="8200" spans="1:1" s="287" customFormat="1" ht="12" hidden="1" customHeight="1">
      <c r="A8200" s="286"/>
    </row>
    <row r="8201" spans="1:1" s="287" customFormat="1" ht="12" hidden="1" customHeight="1">
      <c r="A8201" s="286"/>
    </row>
    <row r="8202" spans="1:1" s="287" customFormat="1" ht="12" hidden="1" customHeight="1">
      <c r="A8202" s="286"/>
    </row>
    <row r="8203" spans="1:1" s="287" customFormat="1" ht="12" hidden="1" customHeight="1">
      <c r="A8203" s="286"/>
    </row>
    <row r="8204" spans="1:1" s="287" customFormat="1" ht="12" hidden="1" customHeight="1">
      <c r="A8204" s="286"/>
    </row>
    <row r="8205" spans="1:1" s="287" customFormat="1" ht="12" hidden="1" customHeight="1">
      <c r="A8205" s="286"/>
    </row>
    <row r="8206" spans="1:1" s="287" customFormat="1" ht="12" hidden="1" customHeight="1">
      <c r="A8206" s="286"/>
    </row>
    <row r="8207" spans="1:1" s="287" customFormat="1" ht="12" hidden="1" customHeight="1">
      <c r="A8207" s="286"/>
    </row>
    <row r="8208" spans="1:1" s="287" customFormat="1" ht="12" hidden="1" customHeight="1">
      <c r="A8208" s="286"/>
    </row>
    <row r="8209" spans="1:1" s="287" customFormat="1" ht="12" hidden="1" customHeight="1">
      <c r="A8209" s="286"/>
    </row>
    <row r="8210" spans="1:1" s="287" customFormat="1" ht="12" hidden="1" customHeight="1">
      <c r="A8210" s="286"/>
    </row>
    <row r="8211" spans="1:1" s="287" customFormat="1" ht="12" hidden="1" customHeight="1">
      <c r="A8211" s="286"/>
    </row>
    <row r="8212" spans="1:1" s="287" customFormat="1" ht="12" hidden="1" customHeight="1">
      <c r="A8212" s="286"/>
    </row>
    <row r="8213" spans="1:1" s="287" customFormat="1" ht="12" hidden="1" customHeight="1">
      <c r="A8213" s="286"/>
    </row>
    <row r="8214" spans="1:1" s="287" customFormat="1" ht="12" hidden="1" customHeight="1">
      <c r="A8214" s="286"/>
    </row>
    <row r="8215" spans="1:1" s="287" customFormat="1" ht="12" hidden="1" customHeight="1">
      <c r="A8215" s="286"/>
    </row>
    <row r="8216" spans="1:1" s="287" customFormat="1" ht="12" hidden="1" customHeight="1">
      <c r="A8216" s="286"/>
    </row>
    <row r="8217" spans="1:1" s="287" customFormat="1" ht="12" hidden="1" customHeight="1">
      <c r="A8217" s="286"/>
    </row>
    <row r="8218" spans="1:1" s="287" customFormat="1" ht="12" hidden="1" customHeight="1">
      <c r="A8218" s="286"/>
    </row>
    <row r="8219" spans="1:1" s="287" customFormat="1" ht="12" hidden="1" customHeight="1">
      <c r="A8219" s="286"/>
    </row>
    <row r="8220" spans="1:1" s="287" customFormat="1" ht="12" hidden="1" customHeight="1">
      <c r="A8220" s="286"/>
    </row>
    <row r="8221" spans="1:1" s="287" customFormat="1" ht="12" hidden="1" customHeight="1">
      <c r="A8221" s="286"/>
    </row>
    <row r="8222" spans="1:1" s="287" customFormat="1" ht="12" hidden="1" customHeight="1">
      <c r="A8222" s="286"/>
    </row>
    <row r="8223" spans="1:1" s="287" customFormat="1" ht="12" hidden="1" customHeight="1">
      <c r="A8223" s="286"/>
    </row>
    <row r="8224" spans="1:1" s="287" customFormat="1" ht="12" hidden="1" customHeight="1">
      <c r="A8224" s="286"/>
    </row>
    <row r="8225" spans="1:1" s="287" customFormat="1" ht="12" hidden="1" customHeight="1">
      <c r="A8225" s="286"/>
    </row>
    <row r="8226" spans="1:1" s="287" customFormat="1" ht="12" hidden="1" customHeight="1">
      <c r="A8226" s="286"/>
    </row>
    <row r="8227" spans="1:1" s="287" customFormat="1" ht="12" hidden="1" customHeight="1">
      <c r="A8227" s="286"/>
    </row>
    <row r="8228" spans="1:1" s="287" customFormat="1" ht="12" hidden="1" customHeight="1">
      <c r="A8228" s="286"/>
    </row>
    <row r="8229" spans="1:1" s="287" customFormat="1" ht="12" hidden="1" customHeight="1">
      <c r="A8229" s="286"/>
    </row>
    <row r="8230" spans="1:1" s="287" customFormat="1" ht="12" hidden="1" customHeight="1">
      <c r="A8230" s="286"/>
    </row>
    <row r="8231" spans="1:1" s="287" customFormat="1" ht="12" hidden="1" customHeight="1">
      <c r="A8231" s="286"/>
    </row>
    <row r="8232" spans="1:1" s="287" customFormat="1" ht="12" hidden="1" customHeight="1">
      <c r="A8232" s="286"/>
    </row>
    <row r="8233" spans="1:1" s="287" customFormat="1" ht="12" hidden="1" customHeight="1">
      <c r="A8233" s="286"/>
    </row>
    <row r="8234" spans="1:1" s="287" customFormat="1" ht="12" hidden="1" customHeight="1">
      <c r="A8234" s="286"/>
    </row>
    <row r="8235" spans="1:1" s="287" customFormat="1" ht="12" hidden="1" customHeight="1">
      <c r="A8235" s="286"/>
    </row>
    <row r="8236" spans="1:1" s="287" customFormat="1" ht="12" hidden="1" customHeight="1">
      <c r="A8236" s="286"/>
    </row>
    <row r="8237" spans="1:1" s="287" customFormat="1" ht="12" hidden="1" customHeight="1">
      <c r="A8237" s="286"/>
    </row>
    <row r="8238" spans="1:1" s="287" customFormat="1" ht="12" hidden="1" customHeight="1">
      <c r="A8238" s="286"/>
    </row>
    <row r="8239" spans="1:1" s="287" customFormat="1" ht="12" hidden="1" customHeight="1">
      <c r="A8239" s="286"/>
    </row>
    <row r="8240" spans="1:1" s="287" customFormat="1" ht="12" hidden="1" customHeight="1">
      <c r="A8240" s="286"/>
    </row>
    <row r="8241" spans="1:1" s="287" customFormat="1" ht="12" hidden="1" customHeight="1">
      <c r="A8241" s="286"/>
    </row>
    <row r="8242" spans="1:1" s="287" customFormat="1" ht="12" hidden="1" customHeight="1">
      <c r="A8242" s="286"/>
    </row>
    <row r="8243" spans="1:1" s="287" customFormat="1" ht="12" hidden="1" customHeight="1">
      <c r="A8243" s="286"/>
    </row>
    <row r="8244" spans="1:1" s="287" customFormat="1" ht="12" hidden="1" customHeight="1">
      <c r="A8244" s="286"/>
    </row>
    <row r="8245" spans="1:1" s="287" customFormat="1" ht="12" hidden="1" customHeight="1">
      <c r="A8245" s="286"/>
    </row>
    <row r="8246" spans="1:1" s="287" customFormat="1" ht="12" hidden="1" customHeight="1">
      <c r="A8246" s="286"/>
    </row>
    <row r="8247" spans="1:1" s="287" customFormat="1" ht="12" hidden="1" customHeight="1">
      <c r="A8247" s="286"/>
    </row>
    <row r="8248" spans="1:1" s="287" customFormat="1" ht="12" hidden="1" customHeight="1">
      <c r="A8248" s="286"/>
    </row>
    <row r="8249" spans="1:1" s="287" customFormat="1" ht="12" hidden="1" customHeight="1">
      <c r="A8249" s="286"/>
    </row>
    <row r="8250" spans="1:1" s="287" customFormat="1" ht="12" hidden="1" customHeight="1">
      <c r="A8250" s="286"/>
    </row>
    <row r="8251" spans="1:1" s="287" customFormat="1" ht="12" hidden="1" customHeight="1">
      <c r="A8251" s="286"/>
    </row>
    <row r="8252" spans="1:1" s="287" customFormat="1" ht="12" hidden="1" customHeight="1">
      <c r="A8252" s="286"/>
    </row>
    <row r="8253" spans="1:1" s="287" customFormat="1" ht="12" hidden="1" customHeight="1">
      <c r="A8253" s="286"/>
    </row>
    <row r="8254" spans="1:1" s="287" customFormat="1" ht="12" hidden="1" customHeight="1">
      <c r="A8254" s="286"/>
    </row>
    <row r="8255" spans="1:1" s="287" customFormat="1" ht="12" hidden="1" customHeight="1">
      <c r="A8255" s="286"/>
    </row>
    <row r="8256" spans="1:1" s="287" customFormat="1" ht="12" hidden="1" customHeight="1">
      <c r="A8256" s="286"/>
    </row>
    <row r="8257" spans="1:1" s="287" customFormat="1" ht="12" hidden="1" customHeight="1">
      <c r="A8257" s="286"/>
    </row>
    <row r="8258" spans="1:1" s="287" customFormat="1" ht="12" hidden="1" customHeight="1">
      <c r="A8258" s="286"/>
    </row>
    <row r="8259" spans="1:1" s="287" customFormat="1" ht="12" hidden="1" customHeight="1">
      <c r="A8259" s="286"/>
    </row>
    <row r="8260" spans="1:1" s="287" customFormat="1" ht="12" hidden="1" customHeight="1">
      <c r="A8260" s="286"/>
    </row>
    <row r="8261" spans="1:1" s="287" customFormat="1" ht="12" hidden="1" customHeight="1">
      <c r="A8261" s="286"/>
    </row>
    <row r="8262" spans="1:1" s="287" customFormat="1" ht="12" hidden="1" customHeight="1">
      <c r="A8262" s="286"/>
    </row>
    <row r="8263" spans="1:1" s="287" customFormat="1" ht="12" hidden="1" customHeight="1">
      <c r="A8263" s="286"/>
    </row>
    <row r="8264" spans="1:1" s="287" customFormat="1" ht="12" hidden="1" customHeight="1">
      <c r="A8264" s="286"/>
    </row>
    <row r="8265" spans="1:1" s="287" customFormat="1" ht="12" hidden="1" customHeight="1">
      <c r="A8265" s="286"/>
    </row>
    <row r="8266" spans="1:1" s="287" customFormat="1" ht="12" hidden="1" customHeight="1">
      <c r="A8266" s="286"/>
    </row>
    <row r="8267" spans="1:1" s="287" customFormat="1" ht="12" hidden="1" customHeight="1">
      <c r="A8267" s="286"/>
    </row>
    <row r="8268" spans="1:1" s="287" customFormat="1" ht="12" hidden="1" customHeight="1">
      <c r="A8268" s="286"/>
    </row>
    <row r="8269" spans="1:1" s="287" customFormat="1" ht="12" hidden="1" customHeight="1">
      <c r="A8269" s="286"/>
    </row>
    <row r="8270" spans="1:1" s="287" customFormat="1" ht="12" hidden="1" customHeight="1">
      <c r="A8270" s="286"/>
    </row>
    <row r="8271" spans="1:1" s="287" customFormat="1" ht="12" hidden="1" customHeight="1">
      <c r="A8271" s="286"/>
    </row>
    <row r="8272" spans="1:1" s="287" customFormat="1" ht="12" hidden="1" customHeight="1">
      <c r="A8272" s="286"/>
    </row>
    <row r="8273" spans="1:1" s="287" customFormat="1" ht="12" hidden="1" customHeight="1">
      <c r="A8273" s="286"/>
    </row>
    <row r="8274" spans="1:1" s="287" customFormat="1" ht="12" hidden="1" customHeight="1">
      <c r="A8274" s="286"/>
    </row>
    <row r="8275" spans="1:1" s="287" customFormat="1" ht="12" hidden="1" customHeight="1">
      <c r="A8275" s="286"/>
    </row>
    <row r="8276" spans="1:1" s="287" customFormat="1" ht="12" hidden="1" customHeight="1">
      <c r="A8276" s="286"/>
    </row>
    <row r="8277" spans="1:1" s="287" customFormat="1" ht="12" hidden="1" customHeight="1">
      <c r="A8277" s="286"/>
    </row>
    <row r="8278" spans="1:1" s="287" customFormat="1" ht="12" hidden="1" customHeight="1">
      <c r="A8278" s="286"/>
    </row>
    <row r="8279" spans="1:1" s="287" customFormat="1" ht="12" hidden="1" customHeight="1">
      <c r="A8279" s="286"/>
    </row>
    <row r="8280" spans="1:1" s="287" customFormat="1" ht="12" hidden="1" customHeight="1">
      <c r="A8280" s="286"/>
    </row>
    <row r="8281" spans="1:1" s="287" customFormat="1" ht="12" hidden="1" customHeight="1">
      <c r="A8281" s="286"/>
    </row>
    <row r="8282" spans="1:1" s="287" customFormat="1" ht="12" hidden="1" customHeight="1">
      <c r="A8282" s="286"/>
    </row>
    <row r="8283" spans="1:1" s="287" customFormat="1" ht="12" hidden="1" customHeight="1">
      <c r="A8283" s="286"/>
    </row>
    <row r="8284" spans="1:1" s="287" customFormat="1" ht="12" hidden="1" customHeight="1">
      <c r="A8284" s="286"/>
    </row>
    <row r="8285" spans="1:1" s="287" customFormat="1" ht="12" hidden="1" customHeight="1">
      <c r="A8285" s="286"/>
    </row>
    <row r="8286" spans="1:1" s="287" customFormat="1" ht="12" hidden="1" customHeight="1">
      <c r="A8286" s="286"/>
    </row>
    <row r="8287" spans="1:1" s="287" customFormat="1" ht="12" hidden="1" customHeight="1">
      <c r="A8287" s="286"/>
    </row>
    <row r="8288" spans="1:1" s="287" customFormat="1" ht="12" hidden="1" customHeight="1">
      <c r="A8288" s="286"/>
    </row>
    <row r="8289" spans="1:1" s="287" customFormat="1" ht="12" hidden="1" customHeight="1">
      <c r="A8289" s="286"/>
    </row>
    <row r="8290" spans="1:1" s="287" customFormat="1" ht="12" hidden="1" customHeight="1">
      <c r="A8290" s="286"/>
    </row>
    <row r="8291" spans="1:1" s="287" customFormat="1" ht="12" hidden="1" customHeight="1">
      <c r="A8291" s="286"/>
    </row>
    <row r="8292" spans="1:1" s="287" customFormat="1" ht="12" hidden="1" customHeight="1">
      <c r="A8292" s="286"/>
    </row>
    <row r="8293" spans="1:1" s="287" customFormat="1" ht="12" hidden="1" customHeight="1">
      <c r="A8293" s="286"/>
    </row>
    <row r="8294" spans="1:1" s="287" customFormat="1" ht="12" hidden="1" customHeight="1">
      <c r="A8294" s="286"/>
    </row>
    <row r="8295" spans="1:1" s="287" customFormat="1" ht="12" hidden="1" customHeight="1">
      <c r="A8295" s="286"/>
    </row>
    <row r="8296" spans="1:1" s="287" customFormat="1" ht="12" hidden="1" customHeight="1">
      <c r="A8296" s="286"/>
    </row>
    <row r="8297" spans="1:1" s="287" customFormat="1" ht="12" hidden="1" customHeight="1">
      <c r="A8297" s="286"/>
    </row>
    <row r="8298" spans="1:1" s="287" customFormat="1" ht="12" hidden="1" customHeight="1">
      <c r="A8298" s="286"/>
    </row>
    <row r="8299" spans="1:1" s="287" customFormat="1" ht="12" hidden="1" customHeight="1">
      <c r="A8299" s="286"/>
    </row>
    <row r="8300" spans="1:1" s="287" customFormat="1" ht="12" hidden="1" customHeight="1">
      <c r="A8300" s="286"/>
    </row>
    <row r="8301" spans="1:1" s="287" customFormat="1" ht="12" hidden="1" customHeight="1">
      <c r="A8301" s="286"/>
    </row>
    <row r="8302" spans="1:1" s="287" customFormat="1" ht="12" hidden="1" customHeight="1">
      <c r="A8302" s="286"/>
    </row>
    <row r="8303" spans="1:1" s="287" customFormat="1" ht="12" hidden="1" customHeight="1">
      <c r="A8303" s="286"/>
    </row>
    <row r="8304" spans="1:1" s="287" customFormat="1" ht="12" hidden="1" customHeight="1">
      <c r="A8304" s="286"/>
    </row>
    <row r="8305" spans="1:1" s="287" customFormat="1" ht="12" hidden="1" customHeight="1">
      <c r="A8305" s="286"/>
    </row>
    <row r="8306" spans="1:1" s="287" customFormat="1" ht="12" hidden="1" customHeight="1">
      <c r="A8306" s="286"/>
    </row>
    <row r="8307" spans="1:1" s="287" customFormat="1" ht="12" hidden="1" customHeight="1">
      <c r="A8307" s="286"/>
    </row>
    <row r="8308" spans="1:1" s="287" customFormat="1" ht="12" hidden="1" customHeight="1">
      <c r="A8308" s="286"/>
    </row>
    <row r="8309" spans="1:1" s="287" customFormat="1" ht="12" hidden="1" customHeight="1">
      <c r="A8309" s="286"/>
    </row>
    <row r="8310" spans="1:1" s="287" customFormat="1" ht="12" hidden="1" customHeight="1">
      <c r="A8310" s="286"/>
    </row>
    <row r="8311" spans="1:1" s="287" customFormat="1" ht="12" hidden="1" customHeight="1">
      <c r="A8311" s="286"/>
    </row>
    <row r="8312" spans="1:1" s="287" customFormat="1" ht="12" hidden="1" customHeight="1">
      <c r="A8312" s="286"/>
    </row>
    <row r="8313" spans="1:1" s="287" customFormat="1" ht="12" hidden="1" customHeight="1">
      <c r="A8313" s="286"/>
    </row>
    <row r="8314" spans="1:1" s="287" customFormat="1" ht="12" hidden="1" customHeight="1">
      <c r="A8314" s="286"/>
    </row>
    <row r="8315" spans="1:1" s="287" customFormat="1" ht="12" hidden="1" customHeight="1">
      <c r="A8315" s="286"/>
    </row>
    <row r="8316" spans="1:1" s="287" customFormat="1" ht="12" hidden="1" customHeight="1">
      <c r="A8316" s="286"/>
    </row>
    <row r="8317" spans="1:1" s="287" customFormat="1" ht="12" hidden="1" customHeight="1">
      <c r="A8317" s="286"/>
    </row>
    <row r="8318" spans="1:1" s="287" customFormat="1" ht="12" hidden="1" customHeight="1">
      <c r="A8318" s="286"/>
    </row>
    <row r="8319" spans="1:1" s="287" customFormat="1" ht="12" hidden="1" customHeight="1">
      <c r="A8319" s="286"/>
    </row>
    <row r="8320" spans="1:1" s="287" customFormat="1" ht="12" hidden="1" customHeight="1">
      <c r="A8320" s="286"/>
    </row>
    <row r="8321" spans="1:1" s="287" customFormat="1" ht="12" hidden="1" customHeight="1">
      <c r="A8321" s="286"/>
    </row>
    <row r="8322" spans="1:1" s="287" customFormat="1" ht="12" hidden="1" customHeight="1">
      <c r="A8322" s="286"/>
    </row>
    <row r="8323" spans="1:1" s="287" customFormat="1" ht="12" hidden="1" customHeight="1">
      <c r="A8323" s="286"/>
    </row>
    <row r="8324" spans="1:1" s="287" customFormat="1" ht="12" hidden="1" customHeight="1">
      <c r="A8324" s="286"/>
    </row>
    <row r="8325" spans="1:1" s="287" customFormat="1" ht="12" hidden="1" customHeight="1">
      <c r="A8325" s="286"/>
    </row>
    <row r="8326" spans="1:1" s="287" customFormat="1" ht="12" hidden="1" customHeight="1">
      <c r="A8326" s="286"/>
    </row>
    <row r="8327" spans="1:1" s="287" customFormat="1" ht="12" hidden="1" customHeight="1">
      <c r="A8327" s="286"/>
    </row>
    <row r="8328" spans="1:1" s="287" customFormat="1" ht="12" hidden="1" customHeight="1">
      <c r="A8328" s="286"/>
    </row>
    <row r="8329" spans="1:1" s="287" customFormat="1" ht="12" hidden="1" customHeight="1">
      <c r="A8329" s="286"/>
    </row>
    <row r="8330" spans="1:1" s="287" customFormat="1" ht="12" hidden="1" customHeight="1">
      <c r="A8330" s="286"/>
    </row>
    <row r="8331" spans="1:1" s="287" customFormat="1" ht="12" hidden="1" customHeight="1">
      <c r="A8331" s="286"/>
    </row>
    <row r="8332" spans="1:1" s="287" customFormat="1" ht="12" hidden="1" customHeight="1">
      <c r="A8332" s="286"/>
    </row>
    <row r="8333" spans="1:1" s="287" customFormat="1" ht="12" hidden="1" customHeight="1">
      <c r="A8333" s="286"/>
    </row>
    <row r="8334" spans="1:1" s="287" customFormat="1" ht="12" hidden="1" customHeight="1">
      <c r="A8334" s="286"/>
    </row>
    <row r="8335" spans="1:1" s="287" customFormat="1" ht="12" hidden="1" customHeight="1">
      <c r="A8335" s="286"/>
    </row>
    <row r="8336" spans="1:1" s="287" customFormat="1" ht="12" hidden="1" customHeight="1">
      <c r="A8336" s="286"/>
    </row>
    <row r="8337" spans="1:1" s="287" customFormat="1" ht="12" hidden="1" customHeight="1">
      <c r="A8337" s="286"/>
    </row>
    <row r="8338" spans="1:1" s="287" customFormat="1" ht="12" hidden="1" customHeight="1">
      <c r="A8338" s="286"/>
    </row>
    <row r="8339" spans="1:1" s="287" customFormat="1" ht="12" hidden="1" customHeight="1">
      <c r="A8339" s="286"/>
    </row>
    <row r="8340" spans="1:1" s="287" customFormat="1" ht="12" hidden="1" customHeight="1">
      <c r="A8340" s="286"/>
    </row>
    <row r="8341" spans="1:1" s="287" customFormat="1" ht="12" hidden="1" customHeight="1">
      <c r="A8341" s="286"/>
    </row>
    <row r="8342" spans="1:1" s="287" customFormat="1" ht="12" hidden="1" customHeight="1">
      <c r="A8342" s="286"/>
    </row>
    <row r="8343" spans="1:1" s="287" customFormat="1" ht="12" hidden="1" customHeight="1">
      <c r="A8343" s="286"/>
    </row>
    <row r="8344" spans="1:1" s="287" customFormat="1" ht="12" hidden="1" customHeight="1">
      <c r="A8344" s="286"/>
    </row>
    <row r="8345" spans="1:1" s="287" customFormat="1" ht="12" hidden="1" customHeight="1">
      <c r="A8345" s="286"/>
    </row>
    <row r="8346" spans="1:1" s="287" customFormat="1" ht="12" hidden="1" customHeight="1">
      <c r="A8346" s="286"/>
    </row>
    <row r="8347" spans="1:1" s="287" customFormat="1" ht="12" hidden="1" customHeight="1">
      <c r="A8347" s="286"/>
    </row>
    <row r="8348" spans="1:1" s="287" customFormat="1" ht="12" hidden="1" customHeight="1">
      <c r="A8348" s="286"/>
    </row>
    <row r="8349" spans="1:1" s="287" customFormat="1" ht="12" hidden="1" customHeight="1">
      <c r="A8349" s="286"/>
    </row>
    <row r="8350" spans="1:1" s="287" customFormat="1" ht="12" hidden="1" customHeight="1">
      <c r="A8350" s="286"/>
    </row>
    <row r="8351" spans="1:1" s="287" customFormat="1" ht="12" hidden="1" customHeight="1">
      <c r="A8351" s="286"/>
    </row>
    <row r="8352" spans="1:1" s="287" customFormat="1" ht="12" hidden="1" customHeight="1">
      <c r="A8352" s="286"/>
    </row>
    <row r="8353" spans="1:1" s="287" customFormat="1" ht="12" hidden="1" customHeight="1">
      <c r="A8353" s="286"/>
    </row>
    <row r="8354" spans="1:1" s="287" customFormat="1" ht="12" hidden="1" customHeight="1">
      <c r="A8354" s="286"/>
    </row>
    <row r="8355" spans="1:1" s="287" customFormat="1" ht="12" hidden="1" customHeight="1">
      <c r="A8355" s="286"/>
    </row>
    <row r="8356" spans="1:1" s="287" customFormat="1" ht="12" hidden="1" customHeight="1">
      <c r="A8356" s="286"/>
    </row>
    <row r="8357" spans="1:1" s="287" customFormat="1" ht="12" hidden="1" customHeight="1">
      <c r="A8357" s="286"/>
    </row>
    <row r="8358" spans="1:1" s="287" customFormat="1" ht="12" hidden="1" customHeight="1">
      <c r="A8358" s="286"/>
    </row>
    <row r="8359" spans="1:1" s="287" customFormat="1" ht="12" hidden="1" customHeight="1">
      <c r="A8359" s="286"/>
    </row>
    <row r="8360" spans="1:1" s="287" customFormat="1" ht="12" hidden="1" customHeight="1">
      <c r="A8360" s="286"/>
    </row>
    <row r="8361" spans="1:1" s="287" customFormat="1" ht="12" hidden="1" customHeight="1">
      <c r="A8361" s="286"/>
    </row>
    <row r="8362" spans="1:1" s="287" customFormat="1" ht="12" hidden="1" customHeight="1">
      <c r="A8362" s="286"/>
    </row>
    <row r="8363" spans="1:1" s="287" customFormat="1" ht="12" hidden="1" customHeight="1">
      <c r="A8363" s="286"/>
    </row>
    <row r="8364" spans="1:1" s="287" customFormat="1" ht="12" hidden="1" customHeight="1">
      <c r="A8364" s="286"/>
    </row>
    <row r="8365" spans="1:1" s="287" customFormat="1" ht="12" hidden="1" customHeight="1">
      <c r="A8365" s="286"/>
    </row>
    <row r="8366" spans="1:1" s="287" customFormat="1" ht="12" hidden="1" customHeight="1">
      <c r="A8366" s="286"/>
    </row>
    <row r="8367" spans="1:1" s="287" customFormat="1" ht="12" hidden="1" customHeight="1">
      <c r="A8367" s="286"/>
    </row>
    <row r="8368" spans="1:1" s="287" customFormat="1" ht="12" hidden="1" customHeight="1">
      <c r="A8368" s="286"/>
    </row>
    <row r="8369" spans="1:1" s="287" customFormat="1" ht="12" hidden="1" customHeight="1">
      <c r="A8369" s="286"/>
    </row>
    <row r="8370" spans="1:1" s="287" customFormat="1" ht="12" hidden="1" customHeight="1">
      <c r="A8370" s="286"/>
    </row>
    <row r="8371" spans="1:1" s="287" customFormat="1" ht="12" hidden="1" customHeight="1">
      <c r="A8371" s="286"/>
    </row>
    <row r="8372" spans="1:1" s="287" customFormat="1" ht="12" hidden="1" customHeight="1">
      <c r="A8372" s="286"/>
    </row>
    <row r="8373" spans="1:1" s="287" customFormat="1" ht="12" hidden="1" customHeight="1">
      <c r="A8373" s="286"/>
    </row>
    <row r="8374" spans="1:1" s="287" customFormat="1" ht="12" hidden="1" customHeight="1">
      <c r="A8374" s="286"/>
    </row>
    <row r="8375" spans="1:1" s="287" customFormat="1" ht="12" hidden="1" customHeight="1">
      <c r="A8375" s="286"/>
    </row>
    <row r="8376" spans="1:1" s="287" customFormat="1" ht="12" hidden="1" customHeight="1">
      <c r="A8376" s="286"/>
    </row>
    <row r="8377" spans="1:1" s="287" customFormat="1" ht="12" hidden="1" customHeight="1">
      <c r="A8377" s="286"/>
    </row>
    <row r="8378" spans="1:1" s="287" customFormat="1" ht="12" hidden="1" customHeight="1">
      <c r="A8378" s="286"/>
    </row>
    <row r="8379" spans="1:1" s="287" customFormat="1" ht="12" hidden="1" customHeight="1">
      <c r="A8379" s="286"/>
    </row>
    <row r="8380" spans="1:1" s="287" customFormat="1" ht="12" hidden="1" customHeight="1">
      <c r="A8380" s="286"/>
    </row>
    <row r="8381" spans="1:1" s="287" customFormat="1" ht="12" hidden="1" customHeight="1">
      <c r="A8381" s="286"/>
    </row>
    <row r="8382" spans="1:1" s="287" customFormat="1" ht="12" hidden="1" customHeight="1">
      <c r="A8382" s="286"/>
    </row>
    <row r="8383" spans="1:1" s="287" customFormat="1" ht="12" hidden="1" customHeight="1">
      <c r="A8383" s="286"/>
    </row>
    <row r="8384" spans="1:1" s="287" customFormat="1" ht="12" hidden="1" customHeight="1">
      <c r="A8384" s="286"/>
    </row>
    <row r="8385" spans="1:1" s="287" customFormat="1" ht="12" hidden="1" customHeight="1">
      <c r="A8385" s="286"/>
    </row>
    <row r="8386" spans="1:1" s="287" customFormat="1" ht="12" hidden="1" customHeight="1">
      <c r="A8386" s="286"/>
    </row>
    <row r="8387" spans="1:1" s="287" customFormat="1" ht="12" hidden="1" customHeight="1">
      <c r="A8387" s="286"/>
    </row>
    <row r="8388" spans="1:1" s="287" customFormat="1" ht="12" hidden="1" customHeight="1">
      <c r="A8388" s="286"/>
    </row>
    <row r="8389" spans="1:1" s="287" customFormat="1" ht="12" hidden="1" customHeight="1">
      <c r="A8389" s="286"/>
    </row>
    <row r="8390" spans="1:1" s="287" customFormat="1" ht="12" hidden="1" customHeight="1">
      <c r="A8390" s="286"/>
    </row>
    <row r="8391" spans="1:1" s="287" customFormat="1" ht="12" hidden="1" customHeight="1">
      <c r="A8391" s="286"/>
    </row>
    <row r="8392" spans="1:1" s="287" customFormat="1" ht="12" hidden="1" customHeight="1">
      <c r="A8392" s="286"/>
    </row>
    <row r="8393" spans="1:1" s="287" customFormat="1" ht="12" hidden="1" customHeight="1">
      <c r="A8393" s="286"/>
    </row>
    <row r="8394" spans="1:1" s="287" customFormat="1" ht="12" hidden="1" customHeight="1">
      <c r="A8394" s="286"/>
    </row>
    <row r="8395" spans="1:1" s="287" customFormat="1" ht="12" hidden="1" customHeight="1">
      <c r="A8395" s="286"/>
    </row>
    <row r="8396" spans="1:1" s="287" customFormat="1" ht="12" hidden="1" customHeight="1">
      <c r="A8396" s="286"/>
    </row>
    <row r="8397" spans="1:1" s="287" customFormat="1" ht="12" hidden="1" customHeight="1">
      <c r="A8397" s="286"/>
    </row>
    <row r="8398" spans="1:1" s="287" customFormat="1" ht="12" hidden="1" customHeight="1">
      <c r="A8398" s="286"/>
    </row>
    <row r="8399" spans="1:1" s="287" customFormat="1" ht="12" hidden="1" customHeight="1">
      <c r="A8399" s="286"/>
    </row>
    <row r="8400" spans="1:1" s="287" customFormat="1" ht="12" hidden="1" customHeight="1">
      <c r="A8400" s="286"/>
    </row>
    <row r="8401" spans="1:1" s="287" customFormat="1" ht="12" hidden="1" customHeight="1">
      <c r="A8401" s="286"/>
    </row>
    <row r="8402" spans="1:1" s="287" customFormat="1" ht="12" hidden="1" customHeight="1">
      <c r="A8402" s="286"/>
    </row>
    <row r="8403" spans="1:1" s="287" customFormat="1" ht="12" hidden="1" customHeight="1">
      <c r="A8403" s="286"/>
    </row>
    <row r="8404" spans="1:1" s="287" customFormat="1" ht="12" hidden="1" customHeight="1">
      <c r="A8404" s="286"/>
    </row>
    <row r="8405" spans="1:1" s="287" customFormat="1" ht="12" hidden="1" customHeight="1">
      <c r="A8405" s="286"/>
    </row>
    <row r="8406" spans="1:1" s="287" customFormat="1" ht="12" hidden="1" customHeight="1">
      <c r="A8406" s="286"/>
    </row>
    <row r="8407" spans="1:1" s="287" customFormat="1" ht="12" hidden="1" customHeight="1">
      <c r="A8407" s="286"/>
    </row>
    <row r="8408" spans="1:1" s="287" customFormat="1" ht="12" hidden="1" customHeight="1">
      <c r="A8408" s="286"/>
    </row>
    <row r="8409" spans="1:1" s="287" customFormat="1" ht="12" hidden="1" customHeight="1">
      <c r="A8409" s="286"/>
    </row>
    <row r="8410" spans="1:1" s="287" customFormat="1" ht="12" hidden="1" customHeight="1">
      <c r="A8410" s="286"/>
    </row>
    <row r="8411" spans="1:1" s="287" customFormat="1" ht="12" hidden="1" customHeight="1">
      <c r="A8411" s="286"/>
    </row>
    <row r="8412" spans="1:1" s="287" customFormat="1" ht="12" hidden="1" customHeight="1">
      <c r="A8412" s="286"/>
    </row>
    <row r="8413" spans="1:1" s="287" customFormat="1" ht="12" hidden="1" customHeight="1">
      <c r="A8413" s="286"/>
    </row>
    <row r="8414" spans="1:1" s="287" customFormat="1" ht="12" hidden="1" customHeight="1">
      <c r="A8414" s="286"/>
    </row>
    <row r="8415" spans="1:1" s="287" customFormat="1" ht="12" hidden="1" customHeight="1">
      <c r="A8415" s="286"/>
    </row>
    <row r="8416" spans="1:1" s="287" customFormat="1" ht="12" hidden="1" customHeight="1">
      <c r="A8416" s="286"/>
    </row>
    <row r="8417" spans="1:1" s="287" customFormat="1" ht="12" hidden="1" customHeight="1">
      <c r="A8417" s="286"/>
    </row>
    <row r="8418" spans="1:1" s="287" customFormat="1" ht="12" hidden="1" customHeight="1">
      <c r="A8418" s="286"/>
    </row>
    <row r="8419" spans="1:1" s="287" customFormat="1" ht="12" hidden="1" customHeight="1">
      <c r="A8419" s="286"/>
    </row>
    <row r="8420" spans="1:1" s="287" customFormat="1" ht="12" hidden="1" customHeight="1">
      <c r="A8420" s="286"/>
    </row>
    <row r="8421" spans="1:1" s="287" customFormat="1" ht="12" hidden="1" customHeight="1">
      <c r="A8421" s="286"/>
    </row>
    <row r="8422" spans="1:1" s="287" customFormat="1" ht="12" hidden="1" customHeight="1">
      <c r="A8422" s="286"/>
    </row>
    <row r="8423" spans="1:1" s="287" customFormat="1" ht="12" hidden="1" customHeight="1">
      <c r="A8423" s="286"/>
    </row>
    <row r="8424" spans="1:1" s="287" customFormat="1" ht="12" hidden="1" customHeight="1">
      <c r="A8424" s="286"/>
    </row>
    <row r="8425" spans="1:1" s="287" customFormat="1" ht="12" hidden="1" customHeight="1">
      <c r="A8425" s="286"/>
    </row>
    <row r="8426" spans="1:1" s="287" customFormat="1" ht="12" hidden="1" customHeight="1">
      <c r="A8426" s="286"/>
    </row>
    <row r="8427" spans="1:1" s="287" customFormat="1" ht="12" hidden="1" customHeight="1">
      <c r="A8427" s="286"/>
    </row>
    <row r="8428" spans="1:1" s="287" customFormat="1" ht="12" hidden="1" customHeight="1">
      <c r="A8428" s="286"/>
    </row>
    <row r="8429" spans="1:1" s="287" customFormat="1" ht="12" hidden="1" customHeight="1">
      <c r="A8429" s="286"/>
    </row>
    <row r="8430" spans="1:1" s="287" customFormat="1" ht="12" hidden="1" customHeight="1">
      <c r="A8430" s="286"/>
    </row>
    <row r="8431" spans="1:1" s="287" customFormat="1" ht="12" hidden="1" customHeight="1">
      <c r="A8431" s="286"/>
    </row>
    <row r="8432" spans="1:1" s="287" customFormat="1" ht="12" hidden="1" customHeight="1">
      <c r="A8432" s="286"/>
    </row>
    <row r="8433" spans="1:1" s="287" customFormat="1" ht="12" hidden="1" customHeight="1">
      <c r="A8433" s="286"/>
    </row>
    <row r="8434" spans="1:1" s="287" customFormat="1" ht="12" hidden="1" customHeight="1">
      <c r="A8434" s="286"/>
    </row>
    <row r="8435" spans="1:1" s="287" customFormat="1" ht="12" hidden="1" customHeight="1">
      <c r="A8435" s="286"/>
    </row>
    <row r="8436" spans="1:1" s="287" customFormat="1" ht="12" hidden="1" customHeight="1">
      <c r="A8436" s="286"/>
    </row>
    <row r="8437" spans="1:1" s="287" customFormat="1" ht="12" hidden="1" customHeight="1">
      <c r="A8437" s="286"/>
    </row>
    <row r="8438" spans="1:1" s="287" customFormat="1" ht="12" hidden="1" customHeight="1">
      <c r="A8438" s="286"/>
    </row>
    <row r="8439" spans="1:1" s="287" customFormat="1" ht="12" hidden="1" customHeight="1">
      <c r="A8439" s="286"/>
    </row>
    <row r="8440" spans="1:1" s="287" customFormat="1" ht="12" hidden="1" customHeight="1">
      <c r="A8440" s="286"/>
    </row>
    <row r="8441" spans="1:1" s="287" customFormat="1" ht="12" hidden="1" customHeight="1">
      <c r="A8441" s="286"/>
    </row>
    <row r="8442" spans="1:1" s="287" customFormat="1" ht="12" hidden="1" customHeight="1">
      <c r="A8442" s="286"/>
    </row>
    <row r="8443" spans="1:1" s="287" customFormat="1" ht="12" hidden="1" customHeight="1">
      <c r="A8443" s="286"/>
    </row>
    <row r="8444" spans="1:1" s="287" customFormat="1" ht="12" hidden="1" customHeight="1">
      <c r="A8444" s="286"/>
    </row>
    <row r="8445" spans="1:1" s="287" customFormat="1" ht="12" hidden="1" customHeight="1">
      <c r="A8445" s="286"/>
    </row>
    <row r="8446" spans="1:1" s="287" customFormat="1" ht="12" hidden="1" customHeight="1">
      <c r="A8446" s="286"/>
    </row>
    <row r="8447" spans="1:1" s="287" customFormat="1" ht="12" hidden="1" customHeight="1">
      <c r="A8447" s="286"/>
    </row>
    <row r="8448" spans="1:1" s="287" customFormat="1" ht="12" hidden="1" customHeight="1">
      <c r="A8448" s="286"/>
    </row>
    <row r="8449" spans="1:1" s="287" customFormat="1" ht="12" hidden="1" customHeight="1">
      <c r="A8449" s="286"/>
    </row>
    <row r="8450" spans="1:1" s="287" customFormat="1" ht="12" hidden="1" customHeight="1">
      <c r="A8450" s="286"/>
    </row>
    <row r="8451" spans="1:1" s="287" customFormat="1" ht="12" hidden="1" customHeight="1">
      <c r="A8451" s="286"/>
    </row>
    <row r="8452" spans="1:1" s="287" customFormat="1" ht="12" hidden="1" customHeight="1">
      <c r="A8452" s="286"/>
    </row>
    <row r="8453" spans="1:1" s="287" customFormat="1" ht="12" hidden="1" customHeight="1">
      <c r="A8453" s="286"/>
    </row>
    <row r="8454" spans="1:1" s="287" customFormat="1" ht="12" hidden="1" customHeight="1">
      <c r="A8454" s="286"/>
    </row>
    <row r="8455" spans="1:1" s="287" customFormat="1" ht="12" hidden="1" customHeight="1">
      <c r="A8455" s="286"/>
    </row>
    <row r="8456" spans="1:1" s="287" customFormat="1" ht="12" hidden="1" customHeight="1">
      <c r="A8456" s="286"/>
    </row>
    <row r="8457" spans="1:1" s="287" customFormat="1" ht="12" hidden="1" customHeight="1">
      <c r="A8457" s="286"/>
    </row>
    <row r="8458" spans="1:1" s="287" customFormat="1" ht="12" hidden="1" customHeight="1">
      <c r="A8458" s="286"/>
    </row>
    <row r="8459" spans="1:1" s="287" customFormat="1" ht="12" hidden="1" customHeight="1">
      <c r="A8459" s="286"/>
    </row>
    <row r="8460" spans="1:1" s="287" customFormat="1" ht="12" hidden="1" customHeight="1">
      <c r="A8460" s="286"/>
    </row>
    <row r="8461" spans="1:1" s="287" customFormat="1" ht="12" hidden="1" customHeight="1">
      <c r="A8461" s="286"/>
    </row>
    <row r="8462" spans="1:1" s="287" customFormat="1" ht="12" hidden="1" customHeight="1">
      <c r="A8462" s="286"/>
    </row>
    <row r="8463" spans="1:1" s="287" customFormat="1" ht="12" hidden="1" customHeight="1">
      <c r="A8463" s="286"/>
    </row>
    <row r="8464" spans="1:1" s="287" customFormat="1" ht="12" hidden="1" customHeight="1">
      <c r="A8464" s="286"/>
    </row>
    <row r="8465" spans="1:1" s="287" customFormat="1" ht="12" hidden="1" customHeight="1">
      <c r="A8465" s="286"/>
    </row>
    <row r="8466" spans="1:1" s="287" customFormat="1" ht="12" hidden="1" customHeight="1">
      <c r="A8466" s="286"/>
    </row>
    <row r="8467" spans="1:1" s="287" customFormat="1" ht="12" hidden="1" customHeight="1">
      <c r="A8467" s="286"/>
    </row>
    <row r="8468" spans="1:1" s="287" customFormat="1" ht="12" hidden="1" customHeight="1">
      <c r="A8468" s="286"/>
    </row>
    <row r="8469" spans="1:1" s="287" customFormat="1" ht="12" hidden="1" customHeight="1">
      <c r="A8469" s="286"/>
    </row>
    <row r="8470" spans="1:1" s="287" customFormat="1" ht="12" hidden="1" customHeight="1">
      <c r="A8470" s="286"/>
    </row>
    <row r="8471" spans="1:1" s="287" customFormat="1" ht="12" hidden="1" customHeight="1">
      <c r="A8471" s="286"/>
    </row>
    <row r="8472" spans="1:1" s="287" customFormat="1" ht="12" hidden="1" customHeight="1">
      <c r="A8472" s="286"/>
    </row>
    <row r="8473" spans="1:1" s="287" customFormat="1" ht="12" hidden="1" customHeight="1">
      <c r="A8473" s="286"/>
    </row>
    <row r="8474" spans="1:1" s="287" customFormat="1" ht="12" hidden="1" customHeight="1">
      <c r="A8474" s="286"/>
    </row>
    <row r="8475" spans="1:1" s="287" customFormat="1" ht="12" hidden="1" customHeight="1">
      <c r="A8475" s="286"/>
    </row>
    <row r="8476" spans="1:1" s="287" customFormat="1" ht="12" hidden="1" customHeight="1">
      <c r="A8476" s="286"/>
    </row>
    <row r="8477" spans="1:1" s="287" customFormat="1" ht="12" hidden="1" customHeight="1">
      <c r="A8477" s="286"/>
    </row>
    <row r="8478" spans="1:1" s="287" customFormat="1" ht="12" hidden="1" customHeight="1">
      <c r="A8478" s="286"/>
    </row>
    <row r="8479" spans="1:1" s="287" customFormat="1" ht="12" hidden="1" customHeight="1">
      <c r="A8479" s="286"/>
    </row>
    <row r="8480" spans="1:1" s="287" customFormat="1" ht="12" hidden="1" customHeight="1">
      <c r="A8480" s="286"/>
    </row>
    <row r="8481" spans="1:1" s="287" customFormat="1" ht="12" hidden="1" customHeight="1">
      <c r="A8481" s="286"/>
    </row>
    <row r="8482" spans="1:1" s="287" customFormat="1" ht="12" hidden="1" customHeight="1">
      <c r="A8482" s="286"/>
    </row>
    <row r="8483" spans="1:1" s="287" customFormat="1" ht="12" hidden="1" customHeight="1">
      <c r="A8483" s="286"/>
    </row>
    <row r="8484" spans="1:1" s="287" customFormat="1" ht="12" hidden="1" customHeight="1">
      <c r="A8484" s="286"/>
    </row>
    <row r="8485" spans="1:1" s="287" customFormat="1" ht="12" hidden="1" customHeight="1">
      <c r="A8485" s="286"/>
    </row>
    <row r="8486" spans="1:1" s="287" customFormat="1" ht="12" hidden="1" customHeight="1">
      <c r="A8486" s="286"/>
    </row>
    <row r="8487" spans="1:1" s="287" customFormat="1" ht="12" hidden="1" customHeight="1">
      <c r="A8487" s="286"/>
    </row>
    <row r="8488" spans="1:1" s="287" customFormat="1" ht="12" hidden="1" customHeight="1">
      <c r="A8488" s="286"/>
    </row>
    <row r="8489" spans="1:1" s="287" customFormat="1" ht="12" hidden="1" customHeight="1">
      <c r="A8489" s="286"/>
    </row>
    <row r="8490" spans="1:1" s="287" customFormat="1" ht="12" hidden="1" customHeight="1">
      <c r="A8490" s="286"/>
    </row>
    <row r="8491" spans="1:1" s="287" customFormat="1" ht="12" hidden="1" customHeight="1">
      <c r="A8491" s="286"/>
    </row>
    <row r="8492" spans="1:1" s="287" customFormat="1" ht="12" hidden="1" customHeight="1">
      <c r="A8492" s="286"/>
    </row>
    <row r="8493" spans="1:1" s="287" customFormat="1" ht="12" hidden="1" customHeight="1">
      <c r="A8493" s="286"/>
    </row>
    <row r="8494" spans="1:1" s="287" customFormat="1" ht="12" hidden="1" customHeight="1">
      <c r="A8494" s="286"/>
    </row>
    <row r="8495" spans="1:1" s="287" customFormat="1" ht="12" hidden="1" customHeight="1">
      <c r="A8495" s="286"/>
    </row>
    <row r="8496" spans="1:1" s="287" customFormat="1" ht="12" hidden="1" customHeight="1">
      <c r="A8496" s="286"/>
    </row>
    <row r="8497" spans="1:1" s="287" customFormat="1" ht="12" hidden="1" customHeight="1">
      <c r="A8497" s="286"/>
    </row>
    <row r="8498" spans="1:1" s="287" customFormat="1" ht="12" hidden="1" customHeight="1">
      <c r="A8498" s="286"/>
    </row>
    <row r="8499" spans="1:1" s="287" customFormat="1" ht="12" hidden="1" customHeight="1">
      <c r="A8499" s="286"/>
    </row>
    <row r="8500" spans="1:1" s="287" customFormat="1" ht="12" hidden="1" customHeight="1">
      <c r="A8500" s="286"/>
    </row>
    <row r="8501" spans="1:1" s="287" customFormat="1" ht="12" hidden="1" customHeight="1">
      <c r="A8501" s="286"/>
    </row>
    <row r="8502" spans="1:1" s="287" customFormat="1" ht="12" hidden="1" customHeight="1">
      <c r="A8502" s="286"/>
    </row>
    <row r="8503" spans="1:1" s="287" customFormat="1" ht="12" hidden="1" customHeight="1">
      <c r="A8503" s="286"/>
    </row>
    <row r="8504" spans="1:1" s="287" customFormat="1" ht="12" hidden="1" customHeight="1">
      <c r="A8504" s="286"/>
    </row>
    <row r="8505" spans="1:1" s="287" customFormat="1" ht="12" hidden="1" customHeight="1">
      <c r="A8505" s="286"/>
    </row>
    <row r="8506" spans="1:1" s="287" customFormat="1" ht="12" hidden="1" customHeight="1">
      <c r="A8506" s="286"/>
    </row>
    <row r="8507" spans="1:1" s="287" customFormat="1" ht="12" hidden="1" customHeight="1">
      <c r="A8507" s="286"/>
    </row>
    <row r="8508" spans="1:1" s="287" customFormat="1" ht="12" hidden="1" customHeight="1">
      <c r="A8508" s="286"/>
    </row>
    <row r="8509" spans="1:1" s="287" customFormat="1" ht="12" hidden="1" customHeight="1">
      <c r="A8509" s="286"/>
    </row>
    <row r="8510" spans="1:1" s="287" customFormat="1" ht="12" hidden="1" customHeight="1">
      <c r="A8510" s="286"/>
    </row>
    <row r="8511" spans="1:1" s="287" customFormat="1" ht="12" hidden="1" customHeight="1">
      <c r="A8511" s="286"/>
    </row>
    <row r="8512" spans="1:1" s="287" customFormat="1" ht="12" hidden="1" customHeight="1">
      <c r="A8512" s="286"/>
    </row>
    <row r="8513" spans="1:1" s="287" customFormat="1" ht="12" hidden="1" customHeight="1">
      <c r="A8513" s="286"/>
    </row>
    <row r="8514" spans="1:1" s="287" customFormat="1" ht="12" hidden="1" customHeight="1">
      <c r="A8514" s="286"/>
    </row>
    <row r="8515" spans="1:1" s="287" customFormat="1" ht="12" hidden="1" customHeight="1">
      <c r="A8515" s="286"/>
    </row>
    <row r="8516" spans="1:1" s="287" customFormat="1" ht="12" hidden="1" customHeight="1">
      <c r="A8516" s="286"/>
    </row>
    <row r="8517" spans="1:1" s="287" customFormat="1" ht="12" hidden="1" customHeight="1">
      <c r="A8517" s="286"/>
    </row>
    <row r="8518" spans="1:1" s="287" customFormat="1" ht="12" hidden="1" customHeight="1">
      <c r="A8518" s="286"/>
    </row>
    <row r="8519" spans="1:1" s="287" customFormat="1" ht="12" hidden="1" customHeight="1">
      <c r="A8519" s="286"/>
    </row>
    <row r="8520" spans="1:1" s="287" customFormat="1" ht="12" hidden="1" customHeight="1">
      <c r="A8520" s="286"/>
    </row>
    <row r="8521" spans="1:1" s="287" customFormat="1" ht="12" hidden="1" customHeight="1">
      <c r="A8521" s="286"/>
    </row>
    <row r="8522" spans="1:1" s="287" customFormat="1" ht="12" hidden="1" customHeight="1">
      <c r="A8522" s="286"/>
    </row>
    <row r="8523" spans="1:1" s="287" customFormat="1" ht="12" hidden="1" customHeight="1">
      <c r="A8523" s="286"/>
    </row>
    <row r="8524" spans="1:1" s="287" customFormat="1" ht="12" hidden="1" customHeight="1">
      <c r="A8524" s="286"/>
    </row>
    <row r="8525" spans="1:1" s="287" customFormat="1" ht="12" hidden="1" customHeight="1">
      <c r="A8525" s="286"/>
    </row>
    <row r="8526" spans="1:1" s="287" customFormat="1" ht="12" hidden="1" customHeight="1">
      <c r="A8526" s="286"/>
    </row>
    <row r="8527" spans="1:1" s="287" customFormat="1" ht="12" hidden="1" customHeight="1">
      <c r="A8527" s="286"/>
    </row>
    <row r="8528" spans="1:1" s="287" customFormat="1" ht="12" hidden="1" customHeight="1">
      <c r="A8528" s="286"/>
    </row>
    <row r="8529" spans="1:1" s="287" customFormat="1" ht="12" hidden="1" customHeight="1">
      <c r="A8529" s="286"/>
    </row>
    <row r="8530" spans="1:1" s="287" customFormat="1" ht="12" hidden="1" customHeight="1">
      <c r="A8530" s="286"/>
    </row>
    <row r="8531" spans="1:1" s="287" customFormat="1" ht="12" hidden="1" customHeight="1">
      <c r="A8531" s="286"/>
    </row>
    <row r="8532" spans="1:1" s="287" customFormat="1" ht="12" hidden="1" customHeight="1">
      <c r="A8532" s="286"/>
    </row>
    <row r="8533" spans="1:1" s="287" customFormat="1" ht="12" hidden="1" customHeight="1">
      <c r="A8533" s="286"/>
    </row>
    <row r="8534" spans="1:1" s="287" customFormat="1" ht="12" hidden="1" customHeight="1">
      <c r="A8534" s="286"/>
    </row>
    <row r="8535" spans="1:1" s="287" customFormat="1" ht="12" hidden="1" customHeight="1">
      <c r="A8535" s="286"/>
    </row>
    <row r="8536" spans="1:1" s="287" customFormat="1" ht="12" hidden="1" customHeight="1">
      <c r="A8536" s="286"/>
    </row>
    <row r="8537" spans="1:1" s="287" customFormat="1" ht="12" hidden="1" customHeight="1">
      <c r="A8537" s="286"/>
    </row>
    <row r="8538" spans="1:1" s="287" customFormat="1" ht="12" hidden="1" customHeight="1">
      <c r="A8538" s="286"/>
    </row>
    <row r="8539" spans="1:1" s="287" customFormat="1" ht="12" hidden="1" customHeight="1">
      <c r="A8539" s="286"/>
    </row>
    <row r="8540" spans="1:1" s="287" customFormat="1" ht="12" hidden="1" customHeight="1">
      <c r="A8540" s="286"/>
    </row>
    <row r="8541" spans="1:1" s="287" customFormat="1" ht="12" hidden="1" customHeight="1">
      <c r="A8541" s="286"/>
    </row>
    <row r="8542" spans="1:1" s="287" customFormat="1" ht="12" hidden="1" customHeight="1">
      <c r="A8542" s="286"/>
    </row>
    <row r="8543" spans="1:1" s="287" customFormat="1" ht="12" hidden="1" customHeight="1">
      <c r="A8543" s="286"/>
    </row>
    <row r="8544" spans="1:1" s="287" customFormat="1" ht="12" hidden="1" customHeight="1">
      <c r="A8544" s="286"/>
    </row>
    <row r="8545" spans="1:1" s="287" customFormat="1" ht="12" hidden="1" customHeight="1">
      <c r="A8545" s="286"/>
    </row>
    <row r="8546" spans="1:1" s="287" customFormat="1" ht="12" hidden="1" customHeight="1">
      <c r="A8546" s="286"/>
    </row>
    <row r="8547" spans="1:1" s="287" customFormat="1" ht="12" hidden="1" customHeight="1">
      <c r="A8547" s="286"/>
    </row>
    <row r="8548" spans="1:1" s="287" customFormat="1" ht="12" hidden="1" customHeight="1">
      <c r="A8548" s="286"/>
    </row>
    <row r="8549" spans="1:1" s="287" customFormat="1" ht="12" hidden="1" customHeight="1">
      <c r="A8549" s="286"/>
    </row>
    <row r="8550" spans="1:1" s="287" customFormat="1" ht="12" hidden="1" customHeight="1">
      <c r="A8550" s="286"/>
    </row>
    <row r="8551" spans="1:1" s="287" customFormat="1" ht="12" hidden="1" customHeight="1">
      <c r="A8551" s="286"/>
    </row>
    <row r="8552" spans="1:1" s="287" customFormat="1" ht="12" hidden="1" customHeight="1">
      <c r="A8552" s="286"/>
    </row>
    <row r="8553" spans="1:1" s="287" customFormat="1" ht="12" hidden="1" customHeight="1">
      <c r="A8553" s="286"/>
    </row>
    <row r="8554" spans="1:1" s="287" customFormat="1" ht="12" hidden="1" customHeight="1">
      <c r="A8554" s="286"/>
    </row>
    <row r="8555" spans="1:1" s="287" customFormat="1" ht="12" hidden="1" customHeight="1">
      <c r="A8555" s="286"/>
    </row>
    <row r="8556" spans="1:1" s="287" customFormat="1" ht="12" hidden="1" customHeight="1">
      <c r="A8556" s="286"/>
    </row>
    <row r="8557" spans="1:1" s="287" customFormat="1" ht="12" hidden="1" customHeight="1">
      <c r="A8557" s="286"/>
    </row>
    <row r="8558" spans="1:1" s="287" customFormat="1" ht="12" hidden="1" customHeight="1">
      <c r="A8558" s="286"/>
    </row>
    <row r="8559" spans="1:1" s="287" customFormat="1" ht="12" hidden="1" customHeight="1">
      <c r="A8559" s="286"/>
    </row>
    <row r="8560" spans="1:1" s="287" customFormat="1" ht="12" hidden="1" customHeight="1">
      <c r="A8560" s="286"/>
    </row>
    <row r="8561" spans="1:1" s="287" customFormat="1" ht="12" hidden="1" customHeight="1">
      <c r="A8561" s="286"/>
    </row>
    <row r="8562" spans="1:1" s="287" customFormat="1" ht="12" hidden="1" customHeight="1">
      <c r="A8562" s="286"/>
    </row>
    <row r="8563" spans="1:1" s="287" customFormat="1" ht="12" hidden="1" customHeight="1">
      <c r="A8563" s="286"/>
    </row>
    <row r="8564" spans="1:1" s="287" customFormat="1" ht="12" hidden="1" customHeight="1">
      <c r="A8564" s="286"/>
    </row>
    <row r="8565" spans="1:1" s="287" customFormat="1" ht="12" hidden="1" customHeight="1">
      <c r="A8565" s="286"/>
    </row>
    <row r="8566" spans="1:1" s="287" customFormat="1" ht="12" hidden="1" customHeight="1">
      <c r="A8566" s="286"/>
    </row>
    <row r="8567" spans="1:1" s="287" customFormat="1" ht="12" hidden="1" customHeight="1">
      <c r="A8567" s="286"/>
    </row>
    <row r="8568" spans="1:1" s="287" customFormat="1" ht="12" hidden="1" customHeight="1">
      <c r="A8568" s="286"/>
    </row>
    <row r="8569" spans="1:1" s="287" customFormat="1" ht="12" hidden="1" customHeight="1">
      <c r="A8569" s="286"/>
    </row>
    <row r="8570" spans="1:1" s="287" customFormat="1" ht="12" hidden="1" customHeight="1">
      <c r="A8570" s="286"/>
    </row>
    <row r="8571" spans="1:1" s="287" customFormat="1" ht="12" hidden="1" customHeight="1">
      <c r="A8571" s="286"/>
    </row>
    <row r="8572" spans="1:1" s="287" customFormat="1" ht="12" hidden="1" customHeight="1">
      <c r="A8572" s="286"/>
    </row>
    <row r="8573" spans="1:1" s="287" customFormat="1" ht="12" hidden="1" customHeight="1">
      <c r="A8573" s="286"/>
    </row>
    <row r="8574" spans="1:1" s="287" customFormat="1" ht="12" hidden="1" customHeight="1">
      <c r="A8574" s="286"/>
    </row>
    <row r="8575" spans="1:1" s="287" customFormat="1" ht="12" hidden="1" customHeight="1">
      <c r="A8575" s="286"/>
    </row>
    <row r="8576" spans="1:1" s="287" customFormat="1" ht="12" hidden="1" customHeight="1">
      <c r="A8576" s="286"/>
    </row>
    <row r="8577" spans="1:1" s="287" customFormat="1" ht="12" hidden="1" customHeight="1">
      <c r="A8577" s="286"/>
    </row>
    <row r="8578" spans="1:1" s="287" customFormat="1" ht="12" hidden="1" customHeight="1">
      <c r="A8578" s="286"/>
    </row>
    <row r="8579" spans="1:1" s="287" customFormat="1" ht="12" hidden="1" customHeight="1">
      <c r="A8579" s="286"/>
    </row>
    <row r="8580" spans="1:1" s="287" customFormat="1" ht="12" hidden="1" customHeight="1">
      <c r="A8580" s="286"/>
    </row>
    <row r="8581" spans="1:1" s="287" customFormat="1" ht="12" hidden="1" customHeight="1">
      <c r="A8581" s="286"/>
    </row>
    <row r="8582" spans="1:1" s="287" customFormat="1" ht="12" hidden="1" customHeight="1">
      <c r="A8582" s="286"/>
    </row>
    <row r="8583" spans="1:1" s="287" customFormat="1" ht="12" hidden="1" customHeight="1">
      <c r="A8583" s="286"/>
    </row>
    <row r="8584" spans="1:1" s="287" customFormat="1" ht="12" hidden="1" customHeight="1">
      <c r="A8584" s="286"/>
    </row>
    <row r="8585" spans="1:1" s="287" customFormat="1" ht="12" hidden="1" customHeight="1">
      <c r="A8585" s="286"/>
    </row>
    <row r="8586" spans="1:1" s="287" customFormat="1" ht="12" hidden="1" customHeight="1">
      <c r="A8586" s="286"/>
    </row>
    <row r="8587" spans="1:1" s="287" customFormat="1" ht="12" hidden="1" customHeight="1">
      <c r="A8587" s="286"/>
    </row>
    <row r="8588" spans="1:1" s="287" customFormat="1" ht="12" hidden="1" customHeight="1">
      <c r="A8588" s="286"/>
    </row>
    <row r="8589" spans="1:1" s="287" customFormat="1" ht="12" hidden="1" customHeight="1">
      <c r="A8589" s="286"/>
    </row>
    <row r="8590" spans="1:1" s="287" customFormat="1" ht="12" hidden="1" customHeight="1">
      <c r="A8590" s="286"/>
    </row>
    <row r="8591" spans="1:1" s="287" customFormat="1" ht="12" hidden="1" customHeight="1">
      <c r="A8591" s="286"/>
    </row>
    <row r="8592" spans="1:1" s="287" customFormat="1" ht="12" hidden="1" customHeight="1">
      <c r="A8592" s="286"/>
    </row>
    <row r="8593" spans="1:1" s="287" customFormat="1" ht="12" hidden="1" customHeight="1">
      <c r="A8593" s="286"/>
    </row>
    <row r="8594" spans="1:1" s="287" customFormat="1" ht="12" hidden="1" customHeight="1">
      <c r="A8594" s="286"/>
    </row>
    <row r="8595" spans="1:1" s="287" customFormat="1" ht="12" hidden="1" customHeight="1">
      <c r="A8595" s="286"/>
    </row>
    <row r="8596" spans="1:1" s="287" customFormat="1" ht="12" hidden="1" customHeight="1">
      <c r="A8596" s="286"/>
    </row>
    <row r="8597" spans="1:1" s="287" customFormat="1" ht="12" hidden="1" customHeight="1">
      <c r="A8597" s="286"/>
    </row>
    <row r="8598" spans="1:1" s="287" customFormat="1" ht="12" hidden="1" customHeight="1">
      <c r="A8598" s="286"/>
    </row>
    <row r="8599" spans="1:1" s="287" customFormat="1" ht="12" hidden="1" customHeight="1">
      <c r="A8599" s="286"/>
    </row>
    <row r="8600" spans="1:1" s="287" customFormat="1" ht="12" hidden="1" customHeight="1">
      <c r="A8600" s="286"/>
    </row>
    <row r="8601" spans="1:1" s="287" customFormat="1" ht="12" hidden="1" customHeight="1">
      <c r="A8601" s="286"/>
    </row>
    <row r="8602" spans="1:1" s="287" customFormat="1" ht="12" hidden="1" customHeight="1">
      <c r="A8602" s="286"/>
    </row>
    <row r="8603" spans="1:1" s="287" customFormat="1" ht="12" hidden="1" customHeight="1">
      <c r="A8603" s="286"/>
    </row>
    <row r="8604" spans="1:1" s="287" customFormat="1" ht="12" hidden="1" customHeight="1">
      <c r="A8604" s="286"/>
    </row>
    <row r="8605" spans="1:1" s="287" customFormat="1" ht="12" hidden="1" customHeight="1">
      <c r="A8605" s="286"/>
    </row>
    <row r="8606" spans="1:1" s="287" customFormat="1" ht="12" hidden="1" customHeight="1">
      <c r="A8606" s="286"/>
    </row>
    <row r="8607" spans="1:1" s="287" customFormat="1" ht="12" hidden="1" customHeight="1">
      <c r="A8607" s="286"/>
    </row>
    <row r="8608" spans="1:1" s="287" customFormat="1" ht="12" hidden="1" customHeight="1">
      <c r="A8608" s="286"/>
    </row>
    <row r="8609" spans="1:1" s="287" customFormat="1" ht="12" hidden="1" customHeight="1">
      <c r="A8609" s="286"/>
    </row>
    <row r="8610" spans="1:1" s="287" customFormat="1" ht="12" hidden="1" customHeight="1">
      <c r="A8610" s="286"/>
    </row>
    <row r="8611" spans="1:1" s="287" customFormat="1" ht="12" hidden="1" customHeight="1">
      <c r="A8611" s="286"/>
    </row>
    <row r="8612" spans="1:1" s="287" customFormat="1" ht="12" hidden="1" customHeight="1">
      <c r="A8612" s="286"/>
    </row>
    <row r="8613" spans="1:1" s="287" customFormat="1" ht="12" hidden="1" customHeight="1">
      <c r="A8613" s="286"/>
    </row>
    <row r="8614" spans="1:1" s="287" customFormat="1" ht="12" hidden="1" customHeight="1">
      <c r="A8614" s="286"/>
    </row>
    <row r="8615" spans="1:1" s="287" customFormat="1" ht="12" hidden="1" customHeight="1">
      <c r="A8615" s="286"/>
    </row>
    <row r="8616" spans="1:1" s="287" customFormat="1" ht="12" hidden="1" customHeight="1">
      <c r="A8616" s="286"/>
    </row>
    <row r="8617" spans="1:1" s="287" customFormat="1" ht="12" hidden="1" customHeight="1">
      <c r="A8617" s="286"/>
    </row>
    <row r="8618" spans="1:1" s="287" customFormat="1" ht="12" hidden="1" customHeight="1">
      <c r="A8618" s="286"/>
    </row>
    <row r="8619" spans="1:1" s="287" customFormat="1" ht="12" hidden="1" customHeight="1">
      <c r="A8619" s="286"/>
    </row>
    <row r="8620" spans="1:1" s="287" customFormat="1" ht="12" hidden="1" customHeight="1">
      <c r="A8620" s="286"/>
    </row>
    <row r="8621" spans="1:1" s="287" customFormat="1" ht="12" hidden="1" customHeight="1">
      <c r="A8621" s="286"/>
    </row>
    <row r="8622" spans="1:1" s="287" customFormat="1" ht="12" hidden="1" customHeight="1">
      <c r="A8622" s="286"/>
    </row>
    <row r="8623" spans="1:1" s="287" customFormat="1" ht="12" hidden="1" customHeight="1">
      <c r="A8623" s="286"/>
    </row>
    <row r="8624" spans="1:1" s="287" customFormat="1" ht="12" hidden="1" customHeight="1">
      <c r="A8624" s="286"/>
    </row>
    <row r="8625" spans="1:1" s="287" customFormat="1" ht="12" hidden="1" customHeight="1">
      <c r="A8625" s="286"/>
    </row>
    <row r="8626" spans="1:1" s="287" customFormat="1" ht="12" hidden="1" customHeight="1">
      <c r="A8626" s="286"/>
    </row>
    <row r="8627" spans="1:1" s="287" customFormat="1" ht="12" hidden="1" customHeight="1">
      <c r="A8627" s="286"/>
    </row>
    <row r="8628" spans="1:1" s="287" customFormat="1" ht="12" hidden="1" customHeight="1">
      <c r="A8628" s="286"/>
    </row>
    <row r="8629" spans="1:1" s="287" customFormat="1" ht="12" hidden="1" customHeight="1">
      <c r="A8629" s="286"/>
    </row>
    <row r="8630" spans="1:1" s="287" customFormat="1" ht="12" hidden="1" customHeight="1">
      <c r="A8630" s="286"/>
    </row>
    <row r="8631" spans="1:1" s="287" customFormat="1" ht="12" hidden="1" customHeight="1">
      <c r="A8631" s="286"/>
    </row>
    <row r="8632" spans="1:1" s="287" customFormat="1" ht="12" hidden="1" customHeight="1">
      <c r="A8632" s="286"/>
    </row>
    <row r="8633" spans="1:1" s="287" customFormat="1" ht="12" hidden="1" customHeight="1">
      <c r="A8633" s="286"/>
    </row>
    <row r="8634" spans="1:1" s="287" customFormat="1" ht="12" hidden="1" customHeight="1">
      <c r="A8634" s="286"/>
    </row>
    <row r="8635" spans="1:1" s="287" customFormat="1" ht="12" hidden="1" customHeight="1">
      <c r="A8635" s="286"/>
    </row>
    <row r="8636" spans="1:1" s="287" customFormat="1" ht="12" hidden="1" customHeight="1">
      <c r="A8636" s="286"/>
    </row>
    <row r="8637" spans="1:1" s="287" customFormat="1" ht="12" hidden="1" customHeight="1">
      <c r="A8637" s="286"/>
    </row>
    <row r="8638" spans="1:1" s="287" customFormat="1" ht="12" hidden="1" customHeight="1">
      <c r="A8638" s="286"/>
    </row>
    <row r="8639" spans="1:1" s="287" customFormat="1" ht="12" hidden="1" customHeight="1">
      <c r="A8639" s="286"/>
    </row>
    <row r="8640" spans="1:1" s="287" customFormat="1" ht="12" hidden="1" customHeight="1">
      <c r="A8640" s="286"/>
    </row>
    <row r="8641" spans="1:1" s="287" customFormat="1" ht="12" hidden="1" customHeight="1">
      <c r="A8641" s="286"/>
    </row>
    <row r="8642" spans="1:1" s="287" customFormat="1" ht="12" hidden="1" customHeight="1">
      <c r="A8642" s="286"/>
    </row>
    <row r="8643" spans="1:1" s="287" customFormat="1" ht="12" hidden="1" customHeight="1">
      <c r="A8643" s="286"/>
    </row>
    <row r="8644" spans="1:1" s="287" customFormat="1" ht="12" hidden="1" customHeight="1">
      <c r="A8644" s="286"/>
    </row>
    <row r="8645" spans="1:1" s="287" customFormat="1" ht="12" hidden="1" customHeight="1">
      <c r="A8645" s="286"/>
    </row>
    <row r="8646" spans="1:1" s="287" customFormat="1" ht="12" hidden="1" customHeight="1">
      <c r="A8646" s="286"/>
    </row>
    <row r="8647" spans="1:1" s="287" customFormat="1" ht="12" hidden="1" customHeight="1">
      <c r="A8647" s="286"/>
    </row>
    <row r="8648" spans="1:1" s="287" customFormat="1" ht="12" hidden="1" customHeight="1">
      <c r="A8648" s="286"/>
    </row>
    <row r="8649" spans="1:1" s="287" customFormat="1" ht="12" hidden="1" customHeight="1">
      <c r="A8649" s="286"/>
    </row>
    <row r="8650" spans="1:1" s="287" customFormat="1" ht="12" hidden="1" customHeight="1">
      <c r="A8650" s="286"/>
    </row>
    <row r="8651" spans="1:1" s="287" customFormat="1" ht="12" hidden="1" customHeight="1">
      <c r="A8651" s="286"/>
    </row>
    <row r="8652" spans="1:1" s="287" customFormat="1" ht="12" hidden="1" customHeight="1">
      <c r="A8652" s="286"/>
    </row>
    <row r="8653" spans="1:1" s="287" customFormat="1" ht="12" hidden="1" customHeight="1">
      <c r="A8653" s="286"/>
    </row>
    <row r="8654" spans="1:1" s="287" customFormat="1" ht="12" hidden="1" customHeight="1">
      <c r="A8654" s="286"/>
    </row>
    <row r="8655" spans="1:1" s="287" customFormat="1" ht="12" hidden="1" customHeight="1">
      <c r="A8655" s="286"/>
    </row>
    <row r="8656" spans="1:1" s="287" customFormat="1" ht="12" hidden="1" customHeight="1">
      <c r="A8656" s="286"/>
    </row>
    <row r="8657" spans="1:1" s="287" customFormat="1" ht="12" hidden="1" customHeight="1">
      <c r="A8657" s="286"/>
    </row>
    <row r="8658" spans="1:1" s="287" customFormat="1" ht="12" hidden="1" customHeight="1">
      <c r="A8658" s="286"/>
    </row>
    <row r="8659" spans="1:1" s="287" customFormat="1" ht="12" hidden="1" customHeight="1">
      <c r="A8659" s="286"/>
    </row>
    <row r="8660" spans="1:1" s="287" customFormat="1" ht="12" hidden="1" customHeight="1">
      <c r="A8660" s="286"/>
    </row>
    <row r="8661" spans="1:1" s="287" customFormat="1" ht="12" hidden="1" customHeight="1">
      <c r="A8661" s="286"/>
    </row>
    <row r="8662" spans="1:1" s="287" customFormat="1" ht="12" hidden="1" customHeight="1">
      <c r="A8662" s="286"/>
    </row>
    <row r="8663" spans="1:1" s="287" customFormat="1" ht="12" hidden="1" customHeight="1">
      <c r="A8663" s="286"/>
    </row>
    <row r="8664" spans="1:1" s="287" customFormat="1" ht="12" hidden="1" customHeight="1">
      <c r="A8664" s="286"/>
    </row>
    <row r="8665" spans="1:1" s="287" customFormat="1" ht="12" hidden="1" customHeight="1">
      <c r="A8665" s="286"/>
    </row>
    <row r="8666" spans="1:1" s="287" customFormat="1" ht="12" hidden="1" customHeight="1">
      <c r="A8666" s="286"/>
    </row>
    <row r="8667" spans="1:1" s="287" customFormat="1" ht="12" hidden="1" customHeight="1">
      <c r="A8667" s="286"/>
    </row>
    <row r="8668" spans="1:1" s="287" customFormat="1" ht="12" hidden="1" customHeight="1">
      <c r="A8668" s="286"/>
    </row>
    <row r="8669" spans="1:1" s="287" customFormat="1" ht="12" hidden="1" customHeight="1">
      <c r="A8669" s="286"/>
    </row>
    <row r="8670" spans="1:1" s="287" customFormat="1" ht="12" hidden="1" customHeight="1">
      <c r="A8670" s="286"/>
    </row>
    <row r="8671" spans="1:1" s="287" customFormat="1" ht="12" hidden="1" customHeight="1">
      <c r="A8671" s="286"/>
    </row>
    <row r="8672" spans="1:1" s="287" customFormat="1" ht="12" hidden="1" customHeight="1">
      <c r="A8672" s="286"/>
    </row>
    <row r="8673" spans="1:1" s="287" customFormat="1" ht="12" hidden="1" customHeight="1">
      <c r="A8673" s="286"/>
    </row>
    <row r="8674" spans="1:1" s="287" customFormat="1" ht="12" hidden="1" customHeight="1">
      <c r="A8674" s="286"/>
    </row>
    <row r="8675" spans="1:1" s="287" customFormat="1" ht="12" hidden="1" customHeight="1">
      <c r="A8675" s="286"/>
    </row>
    <row r="8676" spans="1:1" s="287" customFormat="1" ht="12" hidden="1" customHeight="1">
      <c r="A8676" s="286"/>
    </row>
    <row r="8677" spans="1:1" s="287" customFormat="1" ht="12" hidden="1" customHeight="1">
      <c r="A8677" s="286"/>
    </row>
    <row r="8678" spans="1:1" s="287" customFormat="1" ht="12" hidden="1" customHeight="1">
      <c r="A8678" s="286"/>
    </row>
    <row r="8679" spans="1:1" s="287" customFormat="1" ht="12" hidden="1" customHeight="1">
      <c r="A8679" s="286"/>
    </row>
    <row r="8680" spans="1:1" s="287" customFormat="1" ht="12" hidden="1" customHeight="1">
      <c r="A8680" s="286"/>
    </row>
    <row r="8681" spans="1:1" s="287" customFormat="1" ht="12" hidden="1" customHeight="1">
      <c r="A8681" s="286"/>
    </row>
    <row r="8682" spans="1:1" s="287" customFormat="1" ht="12" hidden="1" customHeight="1">
      <c r="A8682" s="286"/>
    </row>
    <row r="8683" spans="1:1" s="287" customFormat="1" ht="12" hidden="1" customHeight="1">
      <c r="A8683" s="286"/>
    </row>
    <row r="8684" spans="1:1" s="287" customFormat="1" ht="12" hidden="1" customHeight="1">
      <c r="A8684" s="286"/>
    </row>
    <row r="8685" spans="1:1" s="287" customFormat="1" ht="12" hidden="1" customHeight="1">
      <c r="A8685" s="286"/>
    </row>
    <row r="8686" spans="1:1" s="287" customFormat="1" ht="12" hidden="1" customHeight="1">
      <c r="A8686" s="286"/>
    </row>
    <row r="8687" spans="1:1" s="287" customFormat="1" ht="12" hidden="1" customHeight="1">
      <c r="A8687" s="286"/>
    </row>
    <row r="8688" spans="1:1" s="287" customFormat="1" ht="12" hidden="1" customHeight="1">
      <c r="A8688" s="286"/>
    </row>
    <row r="8689" spans="1:1" s="287" customFormat="1" ht="12" hidden="1" customHeight="1">
      <c r="A8689" s="286"/>
    </row>
    <row r="8690" spans="1:1" s="287" customFormat="1" ht="12" hidden="1" customHeight="1">
      <c r="A8690" s="286"/>
    </row>
    <row r="8691" spans="1:1" s="287" customFormat="1" ht="12" hidden="1" customHeight="1">
      <c r="A8691" s="286"/>
    </row>
    <row r="8692" spans="1:1" s="287" customFormat="1" ht="12" hidden="1" customHeight="1">
      <c r="A8692" s="286"/>
    </row>
    <row r="8693" spans="1:1" s="287" customFormat="1" ht="12" hidden="1" customHeight="1">
      <c r="A8693" s="286"/>
    </row>
    <row r="8694" spans="1:1" s="287" customFormat="1" ht="12" hidden="1" customHeight="1">
      <c r="A8694" s="286"/>
    </row>
    <row r="8695" spans="1:1" s="287" customFormat="1" ht="12" hidden="1" customHeight="1">
      <c r="A8695" s="286"/>
    </row>
    <row r="8696" spans="1:1" s="287" customFormat="1" ht="12" hidden="1" customHeight="1">
      <c r="A8696" s="286"/>
    </row>
    <row r="8697" spans="1:1" s="287" customFormat="1" ht="12" hidden="1" customHeight="1">
      <c r="A8697" s="286"/>
    </row>
    <row r="8698" spans="1:1" s="287" customFormat="1" ht="12" hidden="1" customHeight="1">
      <c r="A8698" s="286"/>
    </row>
    <row r="8699" spans="1:1" s="287" customFormat="1" ht="12" hidden="1" customHeight="1">
      <c r="A8699" s="286"/>
    </row>
    <row r="8700" spans="1:1" s="287" customFormat="1" ht="12" hidden="1" customHeight="1">
      <c r="A8700" s="286"/>
    </row>
    <row r="8701" spans="1:1" s="287" customFormat="1" ht="12" hidden="1" customHeight="1">
      <c r="A8701" s="286"/>
    </row>
    <row r="8702" spans="1:1" s="287" customFormat="1" ht="12" hidden="1" customHeight="1">
      <c r="A8702" s="286"/>
    </row>
    <row r="8703" spans="1:1" s="287" customFormat="1" ht="12" hidden="1" customHeight="1">
      <c r="A8703" s="286"/>
    </row>
    <row r="8704" spans="1:1" s="287" customFormat="1" ht="12" hidden="1" customHeight="1">
      <c r="A8704" s="286"/>
    </row>
    <row r="8705" spans="1:1" s="287" customFormat="1" ht="12" hidden="1" customHeight="1">
      <c r="A8705" s="286"/>
    </row>
    <row r="8706" spans="1:1" s="287" customFormat="1" ht="12" hidden="1" customHeight="1">
      <c r="A8706" s="286"/>
    </row>
    <row r="8707" spans="1:1" s="287" customFormat="1" ht="12" hidden="1" customHeight="1">
      <c r="A8707" s="286"/>
    </row>
    <row r="8708" spans="1:1" s="287" customFormat="1" ht="12" hidden="1" customHeight="1">
      <c r="A8708" s="286"/>
    </row>
    <row r="8709" spans="1:1" s="287" customFormat="1" ht="12" hidden="1" customHeight="1">
      <c r="A8709" s="286"/>
    </row>
    <row r="8710" spans="1:1" s="287" customFormat="1" ht="12" hidden="1" customHeight="1">
      <c r="A8710" s="286"/>
    </row>
    <row r="8711" spans="1:1" s="287" customFormat="1" ht="12" hidden="1" customHeight="1">
      <c r="A8711" s="286"/>
    </row>
    <row r="8712" spans="1:1" s="287" customFormat="1" ht="12" hidden="1" customHeight="1">
      <c r="A8712" s="286"/>
    </row>
    <row r="8713" spans="1:1" s="287" customFormat="1" ht="12" hidden="1" customHeight="1">
      <c r="A8713" s="286"/>
    </row>
    <row r="8714" spans="1:1" s="287" customFormat="1" ht="12" hidden="1" customHeight="1">
      <c r="A8714" s="286"/>
    </row>
    <row r="8715" spans="1:1" s="287" customFormat="1" ht="12" hidden="1" customHeight="1">
      <c r="A8715" s="286"/>
    </row>
    <row r="8716" spans="1:1" s="287" customFormat="1" ht="12" hidden="1" customHeight="1">
      <c r="A8716" s="286"/>
    </row>
    <row r="8717" spans="1:1" s="287" customFormat="1" ht="12" hidden="1" customHeight="1">
      <c r="A8717" s="286"/>
    </row>
    <row r="8718" spans="1:1" s="287" customFormat="1" ht="12" hidden="1" customHeight="1">
      <c r="A8718" s="286"/>
    </row>
    <row r="8719" spans="1:1" s="287" customFormat="1" ht="12" hidden="1" customHeight="1">
      <c r="A8719" s="286"/>
    </row>
    <row r="8720" spans="1:1" s="287" customFormat="1" ht="12" hidden="1" customHeight="1">
      <c r="A8720" s="286"/>
    </row>
    <row r="8721" spans="1:1" s="287" customFormat="1" ht="12" hidden="1" customHeight="1">
      <c r="A8721" s="286"/>
    </row>
    <row r="8722" spans="1:1" s="287" customFormat="1" ht="12" hidden="1" customHeight="1">
      <c r="A8722" s="286"/>
    </row>
    <row r="8723" spans="1:1" s="287" customFormat="1" ht="12" hidden="1" customHeight="1">
      <c r="A8723" s="286"/>
    </row>
    <row r="8724" spans="1:1" s="287" customFormat="1" ht="12" hidden="1" customHeight="1">
      <c r="A8724" s="286"/>
    </row>
    <row r="8725" spans="1:1" s="287" customFormat="1" ht="12" hidden="1" customHeight="1">
      <c r="A8725" s="286"/>
    </row>
    <row r="8726" spans="1:1" s="287" customFormat="1" ht="12" hidden="1" customHeight="1">
      <c r="A8726" s="286"/>
    </row>
    <row r="8727" spans="1:1" s="287" customFormat="1" ht="12" hidden="1" customHeight="1">
      <c r="A8727" s="286"/>
    </row>
    <row r="8728" spans="1:1" s="287" customFormat="1" ht="12" hidden="1" customHeight="1">
      <c r="A8728" s="286"/>
    </row>
    <row r="8729" spans="1:1" s="287" customFormat="1" ht="12" hidden="1" customHeight="1">
      <c r="A8729" s="286"/>
    </row>
    <row r="8730" spans="1:1" s="287" customFormat="1" ht="12" hidden="1" customHeight="1">
      <c r="A8730" s="286"/>
    </row>
    <row r="8731" spans="1:1" s="287" customFormat="1" ht="12" hidden="1" customHeight="1">
      <c r="A8731" s="286"/>
    </row>
    <row r="8732" spans="1:1" s="287" customFormat="1" ht="12" hidden="1" customHeight="1">
      <c r="A8732" s="286"/>
    </row>
    <row r="8733" spans="1:1" s="287" customFormat="1" ht="12" hidden="1" customHeight="1">
      <c r="A8733" s="286"/>
    </row>
    <row r="8734" spans="1:1" s="287" customFormat="1" ht="12" hidden="1" customHeight="1">
      <c r="A8734" s="286"/>
    </row>
    <row r="8735" spans="1:1" s="287" customFormat="1" ht="12" hidden="1" customHeight="1">
      <c r="A8735" s="286"/>
    </row>
    <row r="8736" spans="1:1" s="287" customFormat="1" ht="12" hidden="1" customHeight="1">
      <c r="A8736" s="286"/>
    </row>
    <row r="8737" spans="1:1" s="287" customFormat="1" ht="12" hidden="1" customHeight="1">
      <c r="A8737" s="286"/>
    </row>
    <row r="8738" spans="1:1" s="287" customFormat="1" ht="12" hidden="1" customHeight="1">
      <c r="A8738" s="286"/>
    </row>
    <row r="8739" spans="1:1" s="287" customFormat="1" ht="12" hidden="1" customHeight="1">
      <c r="A8739" s="286"/>
    </row>
    <row r="8740" spans="1:1" s="287" customFormat="1" ht="12" hidden="1" customHeight="1">
      <c r="A8740" s="286"/>
    </row>
    <row r="8741" spans="1:1" s="287" customFormat="1" ht="12" hidden="1" customHeight="1">
      <c r="A8741" s="286"/>
    </row>
    <row r="8742" spans="1:1" s="287" customFormat="1" ht="12" hidden="1" customHeight="1">
      <c r="A8742" s="286"/>
    </row>
    <row r="8743" spans="1:1" s="287" customFormat="1" ht="12" hidden="1" customHeight="1">
      <c r="A8743" s="286"/>
    </row>
    <row r="8744" spans="1:1" s="287" customFormat="1" ht="12" hidden="1" customHeight="1">
      <c r="A8744" s="286"/>
    </row>
    <row r="8745" spans="1:1" s="287" customFormat="1" ht="12" hidden="1" customHeight="1">
      <c r="A8745" s="286"/>
    </row>
    <row r="8746" spans="1:1" s="287" customFormat="1" ht="12" hidden="1" customHeight="1">
      <c r="A8746" s="286"/>
    </row>
    <row r="8747" spans="1:1" s="287" customFormat="1" ht="12" hidden="1" customHeight="1">
      <c r="A8747" s="286"/>
    </row>
    <row r="8748" spans="1:1" s="287" customFormat="1" ht="12" hidden="1" customHeight="1">
      <c r="A8748" s="286"/>
    </row>
    <row r="8749" spans="1:1" s="287" customFormat="1" ht="12" hidden="1" customHeight="1">
      <c r="A8749" s="286"/>
    </row>
    <row r="8750" spans="1:1" s="287" customFormat="1" ht="12" hidden="1" customHeight="1">
      <c r="A8750" s="286"/>
    </row>
    <row r="8751" spans="1:1" s="287" customFormat="1" ht="12" hidden="1" customHeight="1">
      <c r="A8751" s="286"/>
    </row>
    <row r="8752" spans="1:1" s="287" customFormat="1" ht="12" hidden="1" customHeight="1">
      <c r="A8752" s="286"/>
    </row>
    <row r="8753" spans="1:1" s="287" customFormat="1" ht="12" hidden="1" customHeight="1">
      <c r="A8753" s="286"/>
    </row>
    <row r="8754" spans="1:1" s="287" customFormat="1" ht="12" hidden="1" customHeight="1">
      <c r="A8754" s="286"/>
    </row>
    <row r="8755" spans="1:1" s="287" customFormat="1" ht="12" hidden="1" customHeight="1">
      <c r="A8755" s="286"/>
    </row>
    <row r="8756" spans="1:1" s="287" customFormat="1" ht="12" hidden="1" customHeight="1">
      <c r="A8756" s="286"/>
    </row>
    <row r="8757" spans="1:1" s="287" customFormat="1" ht="12" hidden="1" customHeight="1">
      <c r="A8757" s="286"/>
    </row>
    <row r="8758" spans="1:1" s="287" customFormat="1" ht="12" hidden="1" customHeight="1">
      <c r="A8758" s="286"/>
    </row>
    <row r="8759" spans="1:1" s="287" customFormat="1" ht="12" hidden="1" customHeight="1">
      <c r="A8759" s="286"/>
    </row>
    <row r="8760" spans="1:1" s="287" customFormat="1" ht="12" hidden="1" customHeight="1">
      <c r="A8760" s="286"/>
    </row>
    <row r="8761" spans="1:1" s="287" customFormat="1" ht="12" hidden="1" customHeight="1">
      <c r="A8761" s="286"/>
    </row>
    <row r="8762" spans="1:1" s="287" customFormat="1" ht="12" hidden="1" customHeight="1">
      <c r="A8762" s="286"/>
    </row>
    <row r="8763" spans="1:1" s="287" customFormat="1" ht="12" hidden="1" customHeight="1">
      <c r="A8763" s="286"/>
    </row>
    <row r="8764" spans="1:1" s="287" customFormat="1" ht="12" hidden="1" customHeight="1">
      <c r="A8764" s="286"/>
    </row>
    <row r="8765" spans="1:1" s="287" customFormat="1" ht="12" hidden="1" customHeight="1">
      <c r="A8765" s="286"/>
    </row>
    <row r="8766" spans="1:1" s="287" customFormat="1" ht="12" hidden="1" customHeight="1">
      <c r="A8766" s="286"/>
    </row>
    <row r="8767" spans="1:1" s="287" customFormat="1" ht="12" hidden="1" customHeight="1">
      <c r="A8767" s="286"/>
    </row>
    <row r="8768" spans="1:1" s="287" customFormat="1" ht="12" hidden="1" customHeight="1">
      <c r="A8768" s="286"/>
    </row>
    <row r="8769" spans="1:1" s="287" customFormat="1" ht="12" hidden="1" customHeight="1">
      <c r="A8769" s="286"/>
    </row>
    <row r="8770" spans="1:1" s="287" customFormat="1" ht="12" hidden="1" customHeight="1">
      <c r="A8770" s="286"/>
    </row>
    <row r="8771" spans="1:1" s="287" customFormat="1" ht="12" hidden="1" customHeight="1">
      <c r="A8771" s="286"/>
    </row>
    <row r="8772" spans="1:1" s="287" customFormat="1" ht="12" hidden="1" customHeight="1">
      <c r="A8772" s="286"/>
    </row>
    <row r="8773" spans="1:1" s="287" customFormat="1" ht="12" hidden="1" customHeight="1">
      <c r="A8773" s="286"/>
    </row>
    <row r="8774" spans="1:1" s="287" customFormat="1" ht="12" hidden="1" customHeight="1">
      <c r="A8774" s="286"/>
    </row>
    <row r="8775" spans="1:1" s="287" customFormat="1" ht="12" hidden="1" customHeight="1">
      <c r="A8775" s="286"/>
    </row>
    <row r="8776" spans="1:1" s="287" customFormat="1" ht="12" hidden="1" customHeight="1">
      <c r="A8776" s="286"/>
    </row>
    <row r="8777" spans="1:1" s="287" customFormat="1" ht="12" hidden="1" customHeight="1">
      <c r="A8777" s="286"/>
    </row>
    <row r="8778" spans="1:1" s="287" customFormat="1" ht="12" hidden="1" customHeight="1">
      <c r="A8778" s="286"/>
    </row>
    <row r="8779" spans="1:1" s="287" customFormat="1" ht="12" hidden="1" customHeight="1">
      <c r="A8779" s="286"/>
    </row>
    <row r="8780" spans="1:1" s="287" customFormat="1" ht="12" hidden="1" customHeight="1">
      <c r="A8780" s="286"/>
    </row>
    <row r="8781" spans="1:1" s="287" customFormat="1" ht="12" hidden="1" customHeight="1">
      <c r="A8781" s="286"/>
    </row>
    <row r="8782" spans="1:1" s="287" customFormat="1" ht="12" hidden="1" customHeight="1">
      <c r="A8782" s="286"/>
    </row>
    <row r="8783" spans="1:1" s="287" customFormat="1" ht="12" hidden="1" customHeight="1">
      <c r="A8783" s="286"/>
    </row>
    <row r="8784" spans="1:1" s="287" customFormat="1" ht="12" hidden="1" customHeight="1">
      <c r="A8784" s="286"/>
    </row>
    <row r="8785" spans="1:1" s="287" customFormat="1" ht="12" hidden="1" customHeight="1">
      <c r="A8785" s="286"/>
    </row>
    <row r="8786" spans="1:1" s="287" customFormat="1" ht="12" hidden="1" customHeight="1">
      <c r="A8786" s="286"/>
    </row>
    <row r="8787" spans="1:1" s="287" customFormat="1" ht="12" hidden="1" customHeight="1">
      <c r="A8787" s="286"/>
    </row>
    <row r="8788" spans="1:1" s="287" customFormat="1" ht="12" hidden="1" customHeight="1">
      <c r="A8788" s="286"/>
    </row>
    <row r="8789" spans="1:1" s="287" customFormat="1" ht="12" hidden="1" customHeight="1">
      <c r="A8789" s="286"/>
    </row>
    <row r="8790" spans="1:1" s="287" customFormat="1" ht="12" hidden="1" customHeight="1">
      <c r="A8790" s="286"/>
    </row>
    <row r="8791" spans="1:1" s="287" customFormat="1" ht="12" hidden="1" customHeight="1">
      <c r="A8791" s="286"/>
    </row>
    <row r="8792" spans="1:1" s="287" customFormat="1" ht="12" hidden="1" customHeight="1">
      <c r="A8792" s="286"/>
    </row>
    <row r="8793" spans="1:1" s="287" customFormat="1" ht="12" hidden="1" customHeight="1">
      <c r="A8793" s="286"/>
    </row>
    <row r="8794" spans="1:1" s="287" customFormat="1" ht="12" hidden="1" customHeight="1">
      <c r="A8794" s="286"/>
    </row>
    <row r="8795" spans="1:1" s="287" customFormat="1" ht="12" hidden="1" customHeight="1">
      <c r="A8795" s="286"/>
    </row>
    <row r="8796" spans="1:1" s="287" customFormat="1" ht="12" hidden="1" customHeight="1">
      <c r="A8796" s="286"/>
    </row>
    <row r="8797" spans="1:1" s="287" customFormat="1" ht="12" hidden="1" customHeight="1">
      <c r="A8797" s="286"/>
    </row>
    <row r="8798" spans="1:1" s="287" customFormat="1" ht="12" hidden="1" customHeight="1">
      <c r="A8798" s="286"/>
    </row>
    <row r="8799" spans="1:1" s="287" customFormat="1" ht="12" hidden="1" customHeight="1">
      <c r="A8799" s="286"/>
    </row>
    <row r="8800" spans="1:1" s="287" customFormat="1" ht="12" hidden="1" customHeight="1">
      <c r="A8800" s="286"/>
    </row>
    <row r="8801" spans="1:1" s="287" customFormat="1" ht="12" hidden="1" customHeight="1">
      <c r="A8801" s="286"/>
    </row>
    <row r="8802" spans="1:1" s="287" customFormat="1" ht="12" hidden="1" customHeight="1">
      <c r="A8802" s="286"/>
    </row>
    <row r="8803" spans="1:1" s="287" customFormat="1" ht="12" hidden="1" customHeight="1">
      <c r="A8803" s="286"/>
    </row>
    <row r="8804" spans="1:1" s="287" customFormat="1" ht="12" hidden="1" customHeight="1">
      <c r="A8804" s="286"/>
    </row>
    <row r="8805" spans="1:1" s="287" customFormat="1" ht="12" hidden="1" customHeight="1">
      <c r="A8805" s="286"/>
    </row>
    <row r="8806" spans="1:1" s="287" customFormat="1" ht="12" hidden="1" customHeight="1">
      <c r="A8806" s="286"/>
    </row>
    <row r="8807" spans="1:1" s="287" customFormat="1" ht="12" hidden="1" customHeight="1">
      <c r="A8807" s="286"/>
    </row>
    <row r="8808" spans="1:1" s="287" customFormat="1" ht="12" hidden="1" customHeight="1">
      <c r="A8808" s="286"/>
    </row>
    <row r="8809" spans="1:1" s="287" customFormat="1" ht="12" hidden="1" customHeight="1">
      <c r="A8809" s="286"/>
    </row>
    <row r="8810" spans="1:1" s="287" customFormat="1" ht="12" hidden="1" customHeight="1">
      <c r="A8810" s="286"/>
    </row>
    <row r="8811" spans="1:1" s="287" customFormat="1" ht="12" hidden="1" customHeight="1">
      <c r="A8811" s="286"/>
    </row>
    <row r="8812" spans="1:1" s="287" customFormat="1" ht="12" hidden="1" customHeight="1">
      <c r="A8812" s="286"/>
    </row>
    <row r="8813" spans="1:1" s="287" customFormat="1" ht="12" hidden="1" customHeight="1">
      <c r="A8813" s="286"/>
    </row>
    <row r="8814" spans="1:1" s="287" customFormat="1" ht="12" hidden="1" customHeight="1">
      <c r="A8814" s="286"/>
    </row>
    <row r="8815" spans="1:1" s="287" customFormat="1" ht="12" hidden="1" customHeight="1">
      <c r="A8815" s="286"/>
    </row>
    <row r="8816" spans="1:1" s="287" customFormat="1" ht="12" hidden="1" customHeight="1">
      <c r="A8816" s="286"/>
    </row>
    <row r="8817" spans="1:1" s="287" customFormat="1" ht="12" hidden="1" customHeight="1">
      <c r="A8817" s="286"/>
    </row>
    <row r="8818" spans="1:1" s="287" customFormat="1" ht="12" hidden="1" customHeight="1">
      <c r="A8818" s="286"/>
    </row>
    <row r="8819" spans="1:1" s="287" customFormat="1" ht="12" hidden="1" customHeight="1">
      <c r="A8819" s="286"/>
    </row>
    <row r="8820" spans="1:1" s="287" customFormat="1" ht="12" hidden="1" customHeight="1">
      <c r="A8820" s="286"/>
    </row>
    <row r="8821" spans="1:1" s="287" customFormat="1" ht="12" hidden="1" customHeight="1">
      <c r="A8821" s="286"/>
    </row>
    <row r="8822" spans="1:1" s="287" customFormat="1" ht="12" hidden="1" customHeight="1">
      <c r="A8822" s="286"/>
    </row>
    <row r="8823" spans="1:1" s="287" customFormat="1" ht="12" hidden="1" customHeight="1">
      <c r="A8823" s="286"/>
    </row>
    <row r="8824" spans="1:1" s="287" customFormat="1" ht="12" hidden="1" customHeight="1">
      <c r="A8824" s="286"/>
    </row>
    <row r="8825" spans="1:1" s="287" customFormat="1" ht="12" hidden="1" customHeight="1">
      <c r="A8825" s="286"/>
    </row>
    <row r="8826" spans="1:1" s="287" customFormat="1" ht="12" hidden="1" customHeight="1">
      <c r="A8826" s="286"/>
    </row>
    <row r="8827" spans="1:1" s="287" customFormat="1" ht="12" hidden="1" customHeight="1">
      <c r="A8827" s="286"/>
    </row>
    <row r="8828" spans="1:1" s="287" customFormat="1" ht="12" hidden="1" customHeight="1">
      <c r="A8828" s="286"/>
    </row>
    <row r="8829" spans="1:1" s="287" customFormat="1" ht="12" hidden="1" customHeight="1">
      <c r="A8829" s="286"/>
    </row>
    <row r="8830" spans="1:1" s="287" customFormat="1" ht="12" hidden="1" customHeight="1">
      <c r="A8830" s="286"/>
    </row>
    <row r="8831" spans="1:1" s="287" customFormat="1" ht="12" hidden="1" customHeight="1">
      <c r="A8831" s="286"/>
    </row>
    <row r="8832" spans="1:1" s="287" customFormat="1" ht="12" hidden="1" customHeight="1">
      <c r="A8832" s="286"/>
    </row>
    <row r="8833" spans="1:1" s="287" customFormat="1" ht="12" hidden="1" customHeight="1">
      <c r="A8833" s="286"/>
    </row>
    <row r="8834" spans="1:1" s="287" customFormat="1" ht="12" hidden="1" customHeight="1">
      <c r="A8834" s="286"/>
    </row>
    <row r="8835" spans="1:1" s="287" customFormat="1" ht="12" hidden="1" customHeight="1">
      <c r="A8835" s="286"/>
    </row>
    <row r="8836" spans="1:1" s="287" customFormat="1" ht="12" hidden="1" customHeight="1">
      <c r="A8836" s="286"/>
    </row>
    <row r="8837" spans="1:1" s="287" customFormat="1" ht="12" hidden="1" customHeight="1">
      <c r="A8837" s="286"/>
    </row>
    <row r="8838" spans="1:1" s="287" customFormat="1" ht="12" hidden="1" customHeight="1">
      <c r="A8838" s="286"/>
    </row>
    <row r="8839" spans="1:1" s="287" customFormat="1" ht="12" hidden="1" customHeight="1">
      <c r="A8839" s="286"/>
    </row>
    <row r="8840" spans="1:1" s="287" customFormat="1" ht="12" hidden="1" customHeight="1">
      <c r="A8840" s="286"/>
    </row>
    <row r="8841" spans="1:1" s="287" customFormat="1" ht="12" hidden="1" customHeight="1">
      <c r="A8841" s="286"/>
    </row>
    <row r="8842" spans="1:1" s="287" customFormat="1" ht="12" hidden="1" customHeight="1">
      <c r="A8842" s="286"/>
    </row>
    <row r="8843" spans="1:1" s="287" customFormat="1" ht="12" hidden="1" customHeight="1">
      <c r="A8843" s="286"/>
    </row>
    <row r="8844" spans="1:1" s="287" customFormat="1" ht="12" hidden="1" customHeight="1">
      <c r="A8844" s="286"/>
    </row>
    <row r="8845" spans="1:1" s="287" customFormat="1" ht="12" hidden="1" customHeight="1">
      <c r="A8845" s="286"/>
    </row>
    <row r="8846" spans="1:1" s="287" customFormat="1" ht="12" hidden="1" customHeight="1">
      <c r="A8846" s="286"/>
    </row>
    <row r="8847" spans="1:1" s="287" customFormat="1" ht="12" hidden="1" customHeight="1">
      <c r="A8847" s="286"/>
    </row>
    <row r="8848" spans="1:1" s="287" customFormat="1" ht="12" hidden="1" customHeight="1">
      <c r="A8848" s="286"/>
    </row>
    <row r="8849" spans="1:1" s="287" customFormat="1" ht="12" hidden="1" customHeight="1">
      <c r="A8849" s="286"/>
    </row>
    <row r="8850" spans="1:1" s="287" customFormat="1" ht="12" hidden="1" customHeight="1">
      <c r="A8850" s="286"/>
    </row>
    <row r="8851" spans="1:1" s="287" customFormat="1" ht="12" hidden="1" customHeight="1">
      <c r="A8851" s="286"/>
    </row>
    <row r="8852" spans="1:1" s="287" customFormat="1" ht="12" hidden="1" customHeight="1">
      <c r="A8852" s="286"/>
    </row>
    <row r="8853" spans="1:1" s="287" customFormat="1" ht="12" hidden="1" customHeight="1">
      <c r="A8853" s="286"/>
    </row>
    <row r="8854" spans="1:1" s="287" customFormat="1" ht="12" hidden="1" customHeight="1">
      <c r="A8854" s="286"/>
    </row>
    <row r="8855" spans="1:1" s="287" customFormat="1" ht="12" hidden="1" customHeight="1">
      <c r="A8855" s="286"/>
    </row>
    <row r="8856" spans="1:1" s="287" customFormat="1" ht="12" hidden="1" customHeight="1">
      <c r="A8856" s="286"/>
    </row>
    <row r="8857" spans="1:1" s="287" customFormat="1" ht="12" hidden="1" customHeight="1">
      <c r="A8857" s="286"/>
    </row>
    <row r="8858" spans="1:1" s="287" customFormat="1" ht="12" hidden="1" customHeight="1">
      <c r="A8858" s="286"/>
    </row>
    <row r="8859" spans="1:1" s="287" customFormat="1" ht="12" hidden="1" customHeight="1">
      <c r="A8859" s="286"/>
    </row>
    <row r="8860" spans="1:1" s="287" customFormat="1" ht="12" hidden="1" customHeight="1">
      <c r="A8860" s="286"/>
    </row>
    <row r="8861" spans="1:1" s="287" customFormat="1" ht="12" hidden="1" customHeight="1">
      <c r="A8861" s="286"/>
    </row>
    <row r="8862" spans="1:1" s="287" customFormat="1" ht="12" hidden="1" customHeight="1">
      <c r="A8862" s="286"/>
    </row>
    <row r="8863" spans="1:1" s="287" customFormat="1" ht="12" hidden="1" customHeight="1">
      <c r="A8863" s="286"/>
    </row>
    <row r="8864" spans="1:1" s="287" customFormat="1" ht="12" hidden="1" customHeight="1">
      <c r="A8864" s="286"/>
    </row>
    <row r="8865" spans="1:1" s="287" customFormat="1" ht="12" hidden="1" customHeight="1">
      <c r="A8865" s="286"/>
    </row>
    <row r="8866" spans="1:1" s="287" customFormat="1" ht="12" hidden="1" customHeight="1">
      <c r="A8866" s="286"/>
    </row>
    <row r="8867" spans="1:1" s="287" customFormat="1" ht="12" hidden="1" customHeight="1">
      <c r="A8867" s="286"/>
    </row>
    <row r="8868" spans="1:1" s="287" customFormat="1" ht="12" hidden="1" customHeight="1">
      <c r="A8868" s="286"/>
    </row>
    <row r="8869" spans="1:1" s="287" customFormat="1" ht="12" hidden="1" customHeight="1">
      <c r="A8869" s="286"/>
    </row>
    <row r="8870" spans="1:1" s="287" customFormat="1" ht="12" hidden="1" customHeight="1">
      <c r="A8870" s="286"/>
    </row>
    <row r="8871" spans="1:1" s="287" customFormat="1" ht="12" hidden="1" customHeight="1">
      <c r="A8871" s="286"/>
    </row>
    <row r="8872" spans="1:1" s="287" customFormat="1" ht="12" hidden="1" customHeight="1">
      <c r="A8872" s="286"/>
    </row>
    <row r="8873" spans="1:1" s="287" customFormat="1" ht="12" hidden="1" customHeight="1">
      <c r="A8873" s="286"/>
    </row>
    <row r="8874" spans="1:1" s="287" customFormat="1" ht="12" hidden="1" customHeight="1">
      <c r="A8874" s="286"/>
    </row>
    <row r="8875" spans="1:1" s="287" customFormat="1" ht="12" hidden="1" customHeight="1">
      <c r="A8875" s="286"/>
    </row>
    <row r="8876" spans="1:1" s="287" customFormat="1" ht="12" hidden="1" customHeight="1">
      <c r="A8876" s="286"/>
    </row>
    <row r="8877" spans="1:1" s="287" customFormat="1" ht="12" hidden="1" customHeight="1">
      <c r="A8877" s="286"/>
    </row>
    <row r="8878" spans="1:1" s="287" customFormat="1" ht="12" hidden="1" customHeight="1">
      <c r="A8878" s="286"/>
    </row>
    <row r="8879" spans="1:1" s="287" customFormat="1" ht="12" hidden="1" customHeight="1">
      <c r="A8879" s="286"/>
    </row>
    <row r="8880" spans="1:1" s="287" customFormat="1" ht="12" hidden="1" customHeight="1">
      <c r="A8880" s="286"/>
    </row>
    <row r="8881" spans="1:1" s="287" customFormat="1" ht="12" hidden="1" customHeight="1">
      <c r="A8881" s="286"/>
    </row>
    <row r="8882" spans="1:1" s="287" customFormat="1" ht="12" hidden="1" customHeight="1">
      <c r="A8882" s="286"/>
    </row>
    <row r="8883" spans="1:1" s="287" customFormat="1" ht="12" hidden="1" customHeight="1">
      <c r="A8883" s="286"/>
    </row>
    <row r="8884" spans="1:1" s="287" customFormat="1" ht="12" hidden="1" customHeight="1">
      <c r="A8884" s="286"/>
    </row>
    <row r="8885" spans="1:1" s="287" customFormat="1" ht="12" hidden="1" customHeight="1">
      <c r="A8885" s="286"/>
    </row>
    <row r="8886" spans="1:1" s="287" customFormat="1" ht="12" hidden="1" customHeight="1">
      <c r="A8886" s="286"/>
    </row>
    <row r="8887" spans="1:1" s="287" customFormat="1" ht="12" hidden="1" customHeight="1">
      <c r="A8887" s="286"/>
    </row>
    <row r="8888" spans="1:1" s="287" customFormat="1" ht="12" hidden="1" customHeight="1">
      <c r="A8888" s="286"/>
    </row>
    <row r="8889" spans="1:1" s="287" customFormat="1" ht="12" hidden="1" customHeight="1">
      <c r="A8889" s="286"/>
    </row>
    <row r="8890" spans="1:1" s="287" customFormat="1" ht="12" hidden="1" customHeight="1">
      <c r="A8890" s="286"/>
    </row>
    <row r="8891" spans="1:1" s="287" customFormat="1" ht="12" hidden="1" customHeight="1">
      <c r="A8891" s="286"/>
    </row>
    <row r="8892" spans="1:1" s="287" customFormat="1" ht="12" hidden="1" customHeight="1">
      <c r="A8892" s="286"/>
    </row>
    <row r="8893" spans="1:1" s="287" customFormat="1" ht="12" hidden="1" customHeight="1">
      <c r="A8893" s="286"/>
    </row>
    <row r="8894" spans="1:1" s="287" customFormat="1" ht="12" hidden="1" customHeight="1">
      <c r="A8894" s="286"/>
    </row>
    <row r="8895" spans="1:1" s="287" customFormat="1" ht="12" hidden="1" customHeight="1">
      <c r="A8895" s="286"/>
    </row>
    <row r="8896" spans="1:1" s="287" customFormat="1" ht="12" hidden="1" customHeight="1">
      <c r="A8896" s="286"/>
    </row>
    <row r="8897" spans="1:1" s="287" customFormat="1" ht="12" hidden="1" customHeight="1">
      <c r="A8897" s="286"/>
    </row>
    <row r="8898" spans="1:1" s="287" customFormat="1" ht="12" hidden="1" customHeight="1">
      <c r="A8898" s="286"/>
    </row>
    <row r="8899" spans="1:1" s="287" customFormat="1" ht="12" hidden="1" customHeight="1">
      <c r="A8899" s="286"/>
    </row>
    <row r="8900" spans="1:1" s="287" customFormat="1" ht="12" hidden="1" customHeight="1">
      <c r="A8900" s="286"/>
    </row>
    <row r="8901" spans="1:1" s="287" customFormat="1" ht="12" hidden="1" customHeight="1">
      <c r="A8901" s="286"/>
    </row>
    <row r="8902" spans="1:1" s="287" customFormat="1" ht="12" hidden="1" customHeight="1">
      <c r="A8902" s="286"/>
    </row>
    <row r="8903" spans="1:1" s="287" customFormat="1" ht="12" hidden="1" customHeight="1">
      <c r="A8903" s="286"/>
    </row>
    <row r="8904" spans="1:1" s="287" customFormat="1" ht="12" hidden="1" customHeight="1">
      <c r="A8904" s="286"/>
    </row>
    <row r="8905" spans="1:1" s="287" customFormat="1" ht="12" hidden="1" customHeight="1">
      <c r="A8905" s="286"/>
    </row>
    <row r="8906" spans="1:1" s="287" customFormat="1" ht="12" hidden="1" customHeight="1">
      <c r="A8906" s="286"/>
    </row>
    <row r="8907" spans="1:1" s="287" customFormat="1" ht="12" hidden="1" customHeight="1">
      <c r="A8907" s="286"/>
    </row>
    <row r="8908" spans="1:1" s="287" customFormat="1" ht="12" hidden="1" customHeight="1">
      <c r="A8908" s="286"/>
    </row>
    <row r="8909" spans="1:1" s="287" customFormat="1" ht="12" hidden="1" customHeight="1">
      <c r="A8909" s="286"/>
    </row>
    <row r="8910" spans="1:1" s="287" customFormat="1" ht="12" hidden="1" customHeight="1">
      <c r="A8910" s="286"/>
    </row>
    <row r="8911" spans="1:1" s="287" customFormat="1" ht="12" hidden="1" customHeight="1">
      <c r="A8911" s="286"/>
    </row>
    <row r="8912" spans="1:1" s="287" customFormat="1" ht="12" hidden="1" customHeight="1">
      <c r="A8912" s="286"/>
    </row>
    <row r="8913" spans="1:1" s="287" customFormat="1" ht="12" hidden="1" customHeight="1">
      <c r="A8913" s="286"/>
    </row>
    <row r="8914" spans="1:1" s="287" customFormat="1" ht="12" hidden="1" customHeight="1">
      <c r="A8914" s="286"/>
    </row>
    <row r="8915" spans="1:1" s="287" customFormat="1" ht="12" hidden="1" customHeight="1">
      <c r="A8915" s="286"/>
    </row>
    <row r="8916" spans="1:1" s="287" customFormat="1" ht="12" hidden="1" customHeight="1">
      <c r="A8916" s="286"/>
    </row>
    <row r="8917" spans="1:1" s="287" customFormat="1" ht="12" hidden="1" customHeight="1">
      <c r="A8917" s="286"/>
    </row>
    <row r="8918" spans="1:1" s="287" customFormat="1" ht="12" hidden="1" customHeight="1">
      <c r="A8918" s="286"/>
    </row>
    <row r="8919" spans="1:1" s="287" customFormat="1" ht="12" hidden="1" customHeight="1">
      <c r="A8919" s="286"/>
    </row>
    <row r="8920" spans="1:1" s="287" customFormat="1" ht="12" hidden="1" customHeight="1">
      <c r="A8920" s="286"/>
    </row>
    <row r="8921" spans="1:1" s="287" customFormat="1" ht="12" hidden="1" customHeight="1">
      <c r="A8921" s="286"/>
    </row>
    <row r="8922" spans="1:1" s="287" customFormat="1" ht="12" hidden="1" customHeight="1">
      <c r="A8922" s="286"/>
    </row>
    <row r="8923" spans="1:1" s="287" customFormat="1" ht="12" hidden="1" customHeight="1">
      <c r="A8923" s="286"/>
    </row>
    <row r="8924" spans="1:1" s="287" customFormat="1" ht="12" hidden="1" customHeight="1">
      <c r="A8924" s="286"/>
    </row>
    <row r="8925" spans="1:1" s="287" customFormat="1" ht="12" hidden="1" customHeight="1">
      <c r="A8925" s="286"/>
    </row>
    <row r="8926" spans="1:1" s="287" customFormat="1" ht="12" hidden="1" customHeight="1">
      <c r="A8926" s="286"/>
    </row>
    <row r="8927" spans="1:1" s="287" customFormat="1" ht="12" hidden="1" customHeight="1">
      <c r="A8927" s="286"/>
    </row>
    <row r="8928" spans="1:1" s="287" customFormat="1" ht="12" hidden="1" customHeight="1">
      <c r="A8928" s="286"/>
    </row>
    <row r="8929" spans="1:1" s="287" customFormat="1" ht="12" hidden="1" customHeight="1">
      <c r="A8929" s="286"/>
    </row>
    <row r="8930" spans="1:1" s="287" customFormat="1" ht="12" hidden="1" customHeight="1">
      <c r="A8930" s="286"/>
    </row>
    <row r="8931" spans="1:1" s="287" customFormat="1" ht="12" hidden="1" customHeight="1">
      <c r="A8931" s="286"/>
    </row>
    <row r="8932" spans="1:1" s="287" customFormat="1" ht="12" hidden="1" customHeight="1">
      <c r="A8932" s="286"/>
    </row>
    <row r="8933" spans="1:1" s="287" customFormat="1" ht="12" hidden="1" customHeight="1">
      <c r="A8933" s="286"/>
    </row>
    <row r="8934" spans="1:1" s="287" customFormat="1" ht="12" hidden="1" customHeight="1">
      <c r="A8934" s="286"/>
    </row>
    <row r="8935" spans="1:1" s="287" customFormat="1" ht="12" hidden="1" customHeight="1">
      <c r="A8935" s="286"/>
    </row>
    <row r="8936" spans="1:1" s="287" customFormat="1" ht="12" hidden="1" customHeight="1">
      <c r="A8936" s="286"/>
    </row>
    <row r="8937" spans="1:1" s="287" customFormat="1" ht="12" hidden="1" customHeight="1">
      <c r="A8937" s="286"/>
    </row>
    <row r="8938" spans="1:1" s="287" customFormat="1" ht="12" hidden="1" customHeight="1">
      <c r="A8938" s="286"/>
    </row>
    <row r="8939" spans="1:1" s="287" customFormat="1" ht="12" hidden="1" customHeight="1">
      <c r="A8939" s="286"/>
    </row>
    <row r="8940" spans="1:1" s="287" customFormat="1" ht="12" hidden="1" customHeight="1">
      <c r="A8940" s="286"/>
    </row>
    <row r="8941" spans="1:1" s="287" customFormat="1" ht="12" hidden="1" customHeight="1">
      <c r="A8941" s="286"/>
    </row>
    <row r="8942" spans="1:1" s="287" customFormat="1" ht="12" hidden="1" customHeight="1">
      <c r="A8942" s="286"/>
    </row>
    <row r="8943" spans="1:1" s="287" customFormat="1" ht="12" hidden="1" customHeight="1">
      <c r="A8943" s="286"/>
    </row>
    <row r="8944" spans="1:1" s="287" customFormat="1" ht="12" hidden="1" customHeight="1">
      <c r="A8944" s="286"/>
    </row>
    <row r="8945" spans="1:1" s="287" customFormat="1" ht="12" hidden="1" customHeight="1">
      <c r="A8945" s="286"/>
    </row>
    <row r="8946" spans="1:1" s="287" customFormat="1" ht="12" hidden="1" customHeight="1">
      <c r="A8946" s="286"/>
    </row>
    <row r="8947" spans="1:1" s="287" customFormat="1" ht="12" hidden="1" customHeight="1">
      <c r="A8947" s="286"/>
    </row>
    <row r="8948" spans="1:1" s="287" customFormat="1" ht="12" hidden="1" customHeight="1">
      <c r="A8948" s="286"/>
    </row>
    <row r="8949" spans="1:1" s="287" customFormat="1" ht="12" hidden="1" customHeight="1">
      <c r="A8949" s="286"/>
    </row>
    <row r="8950" spans="1:1" s="287" customFormat="1" ht="12" hidden="1" customHeight="1">
      <c r="A8950" s="286"/>
    </row>
    <row r="8951" spans="1:1" s="287" customFormat="1" ht="12" hidden="1" customHeight="1">
      <c r="A8951" s="286"/>
    </row>
    <row r="8952" spans="1:1" s="287" customFormat="1" ht="12" hidden="1" customHeight="1">
      <c r="A8952" s="286"/>
    </row>
    <row r="8953" spans="1:1" s="287" customFormat="1" ht="12" hidden="1" customHeight="1">
      <c r="A8953" s="286"/>
    </row>
    <row r="8954" spans="1:1" s="287" customFormat="1" ht="12" hidden="1" customHeight="1">
      <c r="A8954" s="286"/>
    </row>
    <row r="8955" spans="1:1" s="287" customFormat="1" ht="12" hidden="1" customHeight="1">
      <c r="A8955" s="286"/>
    </row>
    <row r="8956" spans="1:1" s="287" customFormat="1" ht="12" hidden="1" customHeight="1">
      <c r="A8956" s="286"/>
    </row>
    <row r="8957" spans="1:1" s="287" customFormat="1" ht="12" hidden="1" customHeight="1">
      <c r="A8957" s="286"/>
    </row>
    <row r="8958" spans="1:1" s="287" customFormat="1" ht="12" hidden="1" customHeight="1">
      <c r="A8958" s="286"/>
    </row>
    <row r="8959" spans="1:1" s="287" customFormat="1" ht="12" hidden="1" customHeight="1">
      <c r="A8959" s="286"/>
    </row>
    <row r="8960" spans="1:1" s="287" customFormat="1" ht="12" hidden="1" customHeight="1">
      <c r="A8960" s="286"/>
    </row>
    <row r="8961" spans="1:1" s="287" customFormat="1" ht="12" hidden="1" customHeight="1">
      <c r="A8961" s="286"/>
    </row>
    <row r="8962" spans="1:1" s="287" customFormat="1" ht="12" hidden="1" customHeight="1">
      <c r="A8962" s="286"/>
    </row>
    <row r="8963" spans="1:1" s="287" customFormat="1" ht="12" hidden="1" customHeight="1">
      <c r="A8963" s="286"/>
    </row>
    <row r="8964" spans="1:1" s="287" customFormat="1" ht="12" hidden="1" customHeight="1">
      <c r="A8964" s="286"/>
    </row>
    <row r="8965" spans="1:1" s="287" customFormat="1" ht="12" hidden="1" customHeight="1">
      <c r="A8965" s="286"/>
    </row>
    <row r="8966" spans="1:1" s="287" customFormat="1" ht="12" hidden="1" customHeight="1">
      <c r="A8966" s="286"/>
    </row>
    <row r="8967" spans="1:1" s="287" customFormat="1" ht="12" hidden="1" customHeight="1">
      <c r="A8967" s="286"/>
    </row>
    <row r="8968" spans="1:1" s="287" customFormat="1" ht="12" hidden="1" customHeight="1">
      <c r="A8968" s="286"/>
    </row>
    <row r="8969" spans="1:1" s="287" customFormat="1" ht="12" hidden="1" customHeight="1">
      <c r="A8969" s="286"/>
    </row>
    <row r="8970" spans="1:1" s="287" customFormat="1" ht="12" hidden="1" customHeight="1">
      <c r="A8970" s="286"/>
    </row>
    <row r="8971" spans="1:1" s="287" customFormat="1" ht="12" hidden="1" customHeight="1">
      <c r="A8971" s="286"/>
    </row>
    <row r="8972" spans="1:1" s="287" customFormat="1" ht="12" hidden="1" customHeight="1">
      <c r="A8972" s="286"/>
    </row>
    <row r="8973" spans="1:1" s="287" customFormat="1" ht="12" hidden="1" customHeight="1">
      <c r="A8973" s="286"/>
    </row>
    <row r="8974" spans="1:1" s="287" customFormat="1" ht="12" hidden="1" customHeight="1">
      <c r="A8974" s="286"/>
    </row>
    <row r="8975" spans="1:1" s="287" customFormat="1" ht="12" hidden="1" customHeight="1">
      <c r="A8975" s="286"/>
    </row>
    <row r="8976" spans="1:1" s="287" customFormat="1" ht="12" hidden="1" customHeight="1">
      <c r="A8976" s="286"/>
    </row>
    <row r="8977" spans="1:1" s="287" customFormat="1" ht="12" hidden="1" customHeight="1">
      <c r="A8977" s="286"/>
    </row>
    <row r="8978" spans="1:1" s="287" customFormat="1" ht="12" hidden="1" customHeight="1">
      <c r="A8978" s="286"/>
    </row>
    <row r="8979" spans="1:1" s="287" customFormat="1" ht="12" hidden="1" customHeight="1">
      <c r="A8979" s="286"/>
    </row>
    <row r="8980" spans="1:1" s="287" customFormat="1" ht="12" hidden="1" customHeight="1">
      <c r="A8980" s="286"/>
    </row>
    <row r="8981" spans="1:1" s="287" customFormat="1" ht="12" hidden="1" customHeight="1">
      <c r="A8981" s="286"/>
    </row>
    <row r="8982" spans="1:1" s="287" customFormat="1" ht="12" hidden="1" customHeight="1">
      <c r="A8982" s="286"/>
    </row>
    <row r="8983" spans="1:1" s="287" customFormat="1" ht="12" hidden="1" customHeight="1">
      <c r="A8983" s="286"/>
    </row>
    <row r="8984" spans="1:1" s="287" customFormat="1" ht="12" hidden="1" customHeight="1">
      <c r="A8984" s="286"/>
    </row>
    <row r="8985" spans="1:1" s="287" customFormat="1" ht="12" hidden="1" customHeight="1">
      <c r="A8985" s="286"/>
    </row>
    <row r="8986" spans="1:1" s="287" customFormat="1" ht="12" hidden="1" customHeight="1">
      <c r="A8986" s="286"/>
    </row>
    <row r="8987" spans="1:1" s="287" customFormat="1" ht="12" hidden="1" customHeight="1">
      <c r="A8987" s="286"/>
    </row>
    <row r="8988" spans="1:1" s="287" customFormat="1" ht="12" hidden="1" customHeight="1">
      <c r="A8988" s="286"/>
    </row>
    <row r="8989" spans="1:1" s="287" customFormat="1" ht="12" hidden="1" customHeight="1">
      <c r="A8989" s="286"/>
    </row>
    <row r="8990" spans="1:1" s="287" customFormat="1" ht="12" hidden="1" customHeight="1">
      <c r="A8990" s="286"/>
    </row>
    <row r="8991" spans="1:1" s="287" customFormat="1" ht="12" hidden="1" customHeight="1">
      <c r="A8991" s="286"/>
    </row>
    <row r="8992" spans="1:1" s="287" customFormat="1" ht="12" hidden="1" customHeight="1">
      <c r="A8992" s="286"/>
    </row>
    <row r="8993" spans="1:1" s="287" customFormat="1" ht="12" hidden="1" customHeight="1">
      <c r="A8993" s="286"/>
    </row>
    <row r="8994" spans="1:1" s="287" customFormat="1" ht="12" hidden="1" customHeight="1">
      <c r="A8994" s="286"/>
    </row>
    <row r="8995" spans="1:1" s="287" customFormat="1" ht="12" hidden="1" customHeight="1">
      <c r="A8995" s="286"/>
    </row>
    <row r="8996" spans="1:1" s="287" customFormat="1" ht="12" hidden="1" customHeight="1">
      <c r="A8996" s="286"/>
    </row>
    <row r="8997" spans="1:1" s="287" customFormat="1" ht="12" hidden="1" customHeight="1">
      <c r="A8997" s="286"/>
    </row>
    <row r="8998" spans="1:1" s="287" customFormat="1" ht="12" hidden="1" customHeight="1">
      <c r="A8998" s="286"/>
    </row>
    <row r="8999" spans="1:1" s="287" customFormat="1" ht="12" hidden="1" customHeight="1">
      <c r="A8999" s="286"/>
    </row>
    <row r="9000" spans="1:1" s="287" customFormat="1" ht="12" hidden="1" customHeight="1">
      <c r="A9000" s="286"/>
    </row>
    <row r="9001" spans="1:1" s="287" customFormat="1" ht="12" hidden="1" customHeight="1">
      <c r="A9001" s="286"/>
    </row>
    <row r="9002" spans="1:1" s="287" customFormat="1" ht="12" hidden="1" customHeight="1">
      <c r="A9002" s="286"/>
    </row>
    <row r="9003" spans="1:1" s="287" customFormat="1" ht="12" hidden="1" customHeight="1">
      <c r="A9003" s="286"/>
    </row>
    <row r="9004" spans="1:1" s="287" customFormat="1" ht="12" hidden="1" customHeight="1">
      <c r="A9004" s="286"/>
    </row>
    <row r="9005" spans="1:1" s="287" customFormat="1" ht="12" hidden="1" customHeight="1">
      <c r="A9005" s="286"/>
    </row>
    <row r="9006" spans="1:1" s="287" customFormat="1" ht="12" hidden="1" customHeight="1">
      <c r="A9006" s="286"/>
    </row>
    <row r="9007" spans="1:1" s="287" customFormat="1" ht="12" hidden="1" customHeight="1">
      <c r="A9007" s="286"/>
    </row>
    <row r="9008" spans="1:1" s="287" customFormat="1" ht="12" hidden="1" customHeight="1">
      <c r="A9008" s="286"/>
    </row>
    <row r="9009" spans="1:1" s="287" customFormat="1" ht="12" hidden="1" customHeight="1">
      <c r="A9009" s="286"/>
    </row>
    <row r="9010" spans="1:1" s="287" customFormat="1" ht="12" hidden="1" customHeight="1">
      <c r="A9010" s="286"/>
    </row>
    <row r="9011" spans="1:1" s="287" customFormat="1" ht="12" hidden="1" customHeight="1">
      <c r="A9011" s="286"/>
    </row>
    <row r="9012" spans="1:1" s="287" customFormat="1" ht="12" hidden="1" customHeight="1">
      <c r="A9012" s="286"/>
    </row>
    <row r="9013" spans="1:1" s="287" customFormat="1" ht="12" hidden="1" customHeight="1">
      <c r="A9013" s="286"/>
    </row>
    <row r="9014" spans="1:1" s="287" customFormat="1" ht="12" hidden="1" customHeight="1">
      <c r="A9014" s="286"/>
    </row>
    <row r="9015" spans="1:1" s="287" customFormat="1" ht="12" hidden="1" customHeight="1">
      <c r="A9015" s="286"/>
    </row>
    <row r="9016" spans="1:1" s="287" customFormat="1" ht="12" hidden="1" customHeight="1">
      <c r="A9016" s="286"/>
    </row>
    <row r="9017" spans="1:1" s="287" customFormat="1" ht="12" hidden="1" customHeight="1">
      <c r="A9017" s="286"/>
    </row>
    <row r="9018" spans="1:1" s="287" customFormat="1" ht="12" hidden="1" customHeight="1">
      <c r="A9018" s="286"/>
    </row>
    <row r="9019" spans="1:1" s="287" customFormat="1" ht="12" hidden="1" customHeight="1">
      <c r="A9019" s="286"/>
    </row>
    <row r="9020" spans="1:1" s="287" customFormat="1" ht="12" hidden="1" customHeight="1">
      <c r="A9020" s="286"/>
    </row>
    <row r="9021" spans="1:1" s="287" customFormat="1" ht="12" hidden="1" customHeight="1">
      <c r="A9021" s="286"/>
    </row>
    <row r="9022" spans="1:1" s="287" customFormat="1" ht="12" hidden="1" customHeight="1">
      <c r="A9022" s="286"/>
    </row>
    <row r="9023" spans="1:1" s="287" customFormat="1" ht="12" hidden="1" customHeight="1">
      <c r="A9023" s="286"/>
    </row>
    <row r="9024" spans="1:1" s="287" customFormat="1" ht="12" hidden="1" customHeight="1">
      <c r="A9024" s="286"/>
    </row>
    <row r="9025" spans="1:1" s="287" customFormat="1" ht="12" hidden="1" customHeight="1">
      <c r="A9025" s="286"/>
    </row>
    <row r="9026" spans="1:1" s="287" customFormat="1" ht="12" hidden="1" customHeight="1">
      <c r="A9026" s="286"/>
    </row>
    <row r="9027" spans="1:1" s="287" customFormat="1" ht="12" hidden="1" customHeight="1">
      <c r="A9027" s="286"/>
    </row>
    <row r="9028" spans="1:1" s="287" customFormat="1" ht="12" hidden="1" customHeight="1">
      <c r="A9028" s="286"/>
    </row>
    <row r="9029" spans="1:1" s="287" customFormat="1" ht="12" hidden="1" customHeight="1">
      <c r="A9029" s="286"/>
    </row>
    <row r="9030" spans="1:1" s="287" customFormat="1" ht="12" hidden="1" customHeight="1">
      <c r="A9030" s="286"/>
    </row>
    <row r="9031" spans="1:1" s="287" customFormat="1" ht="12" hidden="1" customHeight="1">
      <c r="A9031" s="286"/>
    </row>
    <row r="9032" spans="1:1" s="287" customFormat="1" ht="12" hidden="1" customHeight="1">
      <c r="A9032" s="286"/>
    </row>
    <row r="9033" spans="1:1" s="287" customFormat="1" ht="12" hidden="1" customHeight="1">
      <c r="A9033" s="286"/>
    </row>
    <row r="9034" spans="1:1" s="287" customFormat="1" ht="12" hidden="1" customHeight="1">
      <c r="A9034" s="286"/>
    </row>
    <row r="9035" spans="1:1" s="287" customFormat="1" ht="12" hidden="1" customHeight="1">
      <c r="A9035" s="286"/>
    </row>
    <row r="9036" spans="1:1" s="287" customFormat="1" ht="12" hidden="1" customHeight="1">
      <c r="A9036" s="286"/>
    </row>
    <row r="9037" spans="1:1" s="287" customFormat="1" ht="12" hidden="1" customHeight="1">
      <c r="A9037" s="286"/>
    </row>
    <row r="9038" spans="1:1" s="287" customFormat="1" ht="12" hidden="1" customHeight="1">
      <c r="A9038" s="286"/>
    </row>
    <row r="9039" spans="1:1" s="287" customFormat="1" ht="12" hidden="1" customHeight="1">
      <c r="A9039" s="286"/>
    </row>
    <row r="9040" spans="1:1" s="287" customFormat="1" ht="12" hidden="1" customHeight="1">
      <c r="A9040" s="286"/>
    </row>
    <row r="9041" spans="1:1" s="287" customFormat="1" ht="12" hidden="1" customHeight="1">
      <c r="A9041" s="286"/>
    </row>
    <row r="9042" spans="1:1" s="287" customFormat="1" ht="12" hidden="1" customHeight="1">
      <c r="A9042" s="286"/>
    </row>
    <row r="9043" spans="1:1" s="287" customFormat="1" ht="12" hidden="1" customHeight="1">
      <c r="A9043" s="286"/>
    </row>
    <row r="9044" spans="1:1" s="287" customFormat="1" ht="12" hidden="1" customHeight="1">
      <c r="A9044" s="286"/>
    </row>
    <row r="9045" spans="1:1" s="287" customFormat="1" ht="12" hidden="1" customHeight="1">
      <c r="A9045" s="286"/>
    </row>
    <row r="9046" spans="1:1" s="287" customFormat="1" ht="12" hidden="1" customHeight="1">
      <c r="A9046" s="286"/>
    </row>
    <row r="9047" spans="1:1" s="287" customFormat="1" ht="12" hidden="1" customHeight="1">
      <c r="A9047" s="286"/>
    </row>
    <row r="9048" spans="1:1" s="287" customFormat="1" ht="12" hidden="1" customHeight="1">
      <c r="A9048" s="286"/>
    </row>
    <row r="9049" spans="1:1" s="287" customFormat="1" ht="12" hidden="1" customHeight="1">
      <c r="A9049" s="286"/>
    </row>
    <row r="9050" spans="1:1" s="287" customFormat="1" ht="12" hidden="1" customHeight="1">
      <c r="A9050" s="286"/>
    </row>
    <row r="9051" spans="1:1" s="287" customFormat="1" ht="12" hidden="1" customHeight="1">
      <c r="A9051" s="286"/>
    </row>
    <row r="9052" spans="1:1" s="287" customFormat="1" ht="12" hidden="1" customHeight="1">
      <c r="A9052" s="286"/>
    </row>
    <row r="9053" spans="1:1" s="287" customFormat="1" ht="12" hidden="1" customHeight="1">
      <c r="A9053" s="286"/>
    </row>
    <row r="9054" spans="1:1" s="287" customFormat="1" ht="12" hidden="1" customHeight="1">
      <c r="A9054" s="286"/>
    </row>
    <row r="9055" spans="1:1" s="287" customFormat="1" ht="12" hidden="1" customHeight="1">
      <c r="A9055" s="286"/>
    </row>
    <row r="9056" spans="1:1" s="287" customFormat="1" ht="12" hidden="1" customHeight="1">
      <c r="A9056" s="286"/>
    </row>
    <row r="9057" spans="1:1" s="287" customFormat="1" ht="12" hidden="1" customHeight="1">
      <c r="A9057" s="286"/>
    </row>
    <row r="9058" spans="1:1" s="287" customFormat="1" ht="12" hidden="1" customHeight="1">
      <c r="A9058" s="286"/>
    </row>
    <row r="9059" spans="1:1" s="287" customFormat="1" ht="12" hidden="1" customHeight="1">
      <c r="A9059" s="286"/>
    </row>
    <row r="9060" spans="1:1" s="287" customFormat="1" ht="12" hidden="1" customHeight="1">
      <c r="A9060" s="286"/>
    </row>
    <row r="9061" spans="1:1" s="287" customFormat="1" ht="12" hidden="1" customHeight="1">
      <c r="A9061" s="286"/>
    </row>
    <row r="9062" spans="1:1" s="287" customFormat="1" ht="12" hidden="1" customHeight="1">
      <c r="A9062" s="286"/>
    </row>
    <row r="9063" spans="1:1" s="287" customFormat="1" ht="12" hidden="1" customHeight="1">
      <c r="A9063" s="286"/>
    </row>
    <row r="9064" spans="1:1" s="287" customFormat="1" ht="12" hidden="1" customHeight="1">
      <c r="A9064" s="286"/>
    </row>
    <row r="9065" spans="1:1" s="287" customFormat="1" ht="12" hidden="1" customHeight="1">
      <c r="A9065" s="286"/>
    </row>
    <row r="9066" spans="1:1" s="287" customFormat="1" ht="12" hidden="1" customHeight="1">
      <c r="A9066" s="286"/>
    </row>
    <row r="9067" spans="1:1" s="287" customFormat="1" ht="12" hidden="1" customHeight="1">
      <c r="A9067" s="286"/>
    </row>
    <row r="9068" spans="1:1" s="287" customFormat="1" ht="12" hidden="1" customHeight="1">
      <c r="A9068" s="286"/>
    </row>
    <row r="9069" spans="1:1" s="287" customFormat="1" ht="12" hidden="1" customHeight="1">
      <c r="A9069" s="286"/>
    </row>
    <row r="9070" spans="1:1" s="287" customFormat="1" ht="12" hidden="1" customHeight="1">
      <c r="A9070" s="286"/>
    </row>
    <row r="9071" spans="1:1" s="287" customFormat="1" ht="12" hidden="1" customHeight="1">
      <c r="A9071" s="286"/>
    </row>
    <row r="9072" spans="1:1" s="287" customFormat="1" ht="12" hidden="1" customHeight="1">
      <c r="A9072" s="286"/>
    </row>
    <row r="9073" spans="1:1" s="287" customFormat="1" ht="12" hidden="1" customHeight="1">
      <c r="A9073" s="286"/>
    </row>
    <row r="9074" spans="1:1" s="287" customFormat="1" ht="12" hidden="1" customHeight="1">
      <c r="A9074" s="286"/>
    </row>
    <row r="9075" spans="1:1" s="287" customFormat="1" ht="12" hidden="1" customHeight="1">
      <c r="A9075" s="286"/>
    </row>
    <row r="9076" spans="1:1" s="287" customFormat="1" ht="12" hidden="1" customHeight="1">
      <c r="A9076" s="286"/>
    </row>
    <row r="9077" spans="1:1" s="287" customFormat="1" ht="12" hidden="1" customHeight="1">
      <c r="A9077" s="286"/>
    </row>
    <row r="9078" spans="1:1" s="287" customFormat="1" ht="12" hidden="1" customHeight="1">
      <c r="A9078" s="286"/>
    </row>
    <row r="9079" spans="1:1" s="287" customFormat="1" ht="12" hidden="1" customHeight="1">
      <c r="A9079" s="286"/>
    </row>
    <row r="9080" spans="1:1" s="287" customFormat="1" ht="12" hidden="1" customHeight="1">
      <c r="A9080" s="286"/>
    </row>
    <row r="9081" spans="1:1" s="287" customFormat="1" ht="12" hidden="1" customHeight="1">
      <c r="A9081" s="286"/>
    </row>
    <row r="9082" spans="1:1" s="287" customFormat="1" ht="12" hidden="1" customHeight="1">
      <c r="A9082" s="286"/>
    </row>
    <row r="9083" spans="1:1" s="287" customFormat="1" ht="12" hidden="1" customHeight="1">
      <c r="A9083" s="286"/>
    </row>
    <row r="9084" spans="1:1" s="287" customFormat="1" ht="12" hidden="1" customHeight="1">
      <c r="A9084" s="286"/>
    </row>
    <row r="9085" spans="1:1" s="287" customFormat="1" ht="12" hidden="1" customHeight="1">
      <c r="A9085" s="286"/>
    </row>
    <row r="9086" spans="1:1" s="287" customFormat="1" ht="12" hidden="1" customHeight="1">
      <c r="A9086" s="286"/>
    </row>
    <row r="9087" spans="1:1" s="287" customFormat="1" ht="12" hidden="1" customHeight="1">
      <c r="A9087" s="286"/>
    </row>
    <row r="9088" spans="1:1" s="287" customFormat="1" ht="12" hidden="1" customHeight="1">
      <c r="A9088" s="286"/>
    </row>
    <row r="9089" spans="1:1" s="287" customFormat="1" ht="12" hidden="1" customHeight="1">
      <c r="A9089" s="286"/>
    </row>
    <row r="9090" spans="1:1" s="287" customFormat="1" ht="12" hidden="1" customHeight="1">
      <c r="A9090" s="286"/>
    </row>
    <row r="9091" spans="1:1" s="287" customFormat="1" ht="12" hidden="1" customHeight="1">
      <c r="A9091" s="286"/>
    </row>
    <row r="9092" spans="1:1" s="287" customFormat="1" ht="12" hidden="1" customHeight="1">
      <c r="A9092" s="286"/>
    </row>
    <row r="9093" spans="1:1" s="287" customFormat="1" ht="12" hidden="1" customHeight="1">
      <c r="A9093" s="286"/>
    </row>
    <row r="9094" spans="1:1" s="287" customFormat="1" ht="12" hidden="1" customHeight="1">
      <c r="A9094" s="286"/>
    </row>
    <row r="9095" spans="1:1" s="287" customFormat="1" ht="12" hidden="1" customHeight="1">
      <c r="A9095" s="286"/>
    </row>
    <row r="9096" spans="1:1" s="287" customFormat="1" ht="12" hidden="1" customHeight="1">
      <c r="A9096" s="286"/>
    </row>
    <row r="9097" spans="1:1" s="287" customFormat="1" ht="12" hidden="1" customHeight="1">
      <c r="A9097" s="286"/>
    </row>
    <row r="9098" spans="1:1" s="287" customFormat="1" ht="12" hidden="1" customHeight="1">
      <c r="A9098" s="286"/>
    </row>
    <row r="9099" spans="1:1" s="287" customFormat="1" ht="12" hidden="1" customHeight="1">
      <c r="A9099" s="286"/>
    </row>
    <row r="9100" spans="1:1" s="287" customFormat="1" ht="12" hidden="1" customHeight="1">
      <c r="A9100" s="286"/>
    </row>
    <row r="9101" spans="1:1" s="287" customFormat="1" ht="12" hidden="1" customHeight="1">
      <c r="A9101" s="286"/>
    </row>
    <row r="9102" spans="1:1" s="287" customFormat="1" ht="12" hidden="1" customHeight="1">
      <c r="A9102" s="286"/>
    </row>
    <row r="9103" spans="1:1" s="287" customFormat="1" ht="12" hidden="1" customHeight="1">
      <c r="A9103" s="286"/>
    </row>
    <row r="9104" spans="1:1" s="287" customFormat="1" ht="12" hidden="1" customHeight="1">
      <c r="A9104" s="286"/>
    </row>
    <row r="9105" spans="1:1" s="287" customFormat="1" ht="12" hidden="1" customHeight="1">
      <c r="A9105" s="286"/>
    </row>
    <row r="9106" spans="1:1" s="287" customFormat="1" ht="12" hidden="1" customHeight="1">
      <c r="A9106" s="286"/>
    </row>
    <row r="9107" spans="1:1" s="287" customFormat="1" ht="12" hidden="1" customHeight="1">
      <c r="A9107" s="286"/>
    </row>
    <row r="9108" spans="1:1" s="287" customFormat="1" ht="12" hidden="1" customHeight="1">
      <c r="A9108" s="286"/>
    </row>
    <row r="9109" spans="1:1" s="287" customFormat="1" ht="12" hidden="1" customHeight="1">
      <c r="A9109" s="286"/>
    </row>
    <row r="9110" spans="1:1" s="287" customFormat="1" ht="12" hidden="1" customHeight="1">
      <c r="A9110" s="286"/>
    </row>
    <row r="9111" spans="1:1" s="287" customFormat="1" ht="12" hidden="1" customHeight="1">
      <c r="A9111" s="286"/>
    </row>
    <row r="9112" spans="1:1" s="287" customFormat="1" ht="12" hidden="1" customHeight="1">
      <c r="A9112" s="286"/>
    </row>
    <row r="9113" spans="1:1" s="287" customFormat="1" ht="12" hidden="1" customHeight="1">
      <c r="A9113" s="286"/>
    </row>
    <row r="9114" spans="1:1" s="287" customFormat="1" ht="12" hidden="1" customHeight="1">
      <c r="A9114" s="286"/>
    </row>
    <row r="9115" spans="1:1" s="287" customFormat="1" ht="12" hidden="1" customHeight="1">
      <c r="A9115" s="286"/>
    </row>
    <row r="9116" spans="1:1" s="287" customFormat="1" ht="12" hidden="1" customHeight="1">
      <c r="A9116" s="286"/>
    </row>
    <row r="9117" spans="1:1" s="287" customFormat="1" ht="12" hidden="1" customHeight="1">
      <c r="A9117" s="286"/>
    </row>
    <row r="9118" spans="1:1" s="287" customFormat="1" ht="12" hidden="1" customHeight="1">
      <c r="A9118" s="286"/>
    </row>
    <row r="9119" spans="1:1" s="287" customFormat="1" ht="12" hidden="1" customHeight="1">
      <c r="A9119" s="286"/>
    </row>
    <row r="9120" spans="1:1" s="287" customFormat="1" ht="12" hidden="1" customHeight="1">
      <c r="A9120" s="286"/>
    </row>
    <row r="9121" spans="1:1" s="287" customFormat="1" ht="12" hidden="1" customHeight="1">
      <c r="A9121" s="286"/>
    </row>
    <row r="9122" spans="1:1" s="287" customFormat="1" ht="12" hidden="1" customHeight="1">
      <c r="A9122" s="286"/>
    </row>
    <row r="9123" spans="1:1" s="287" customFormat="1" ht="12" hidden="1" customHeight="1">
      <c r="A9123" s="286"/>
    </row>
    <row r="9124" spans="1:1" s="287" customFormat="1" ht="12" hidden="1" customHeight="1">
      <c r="A9124" s="286"/>
    </row>
    <row r="9125" spans="1:1" s="287" customFormat="1" ht="12" hidden="1" customHeight="1">
      <c r="A9125" s="286"/>
    </row>
    <row r="9126" spans="1:1" s="287" customFormat="1" ht="12" hidden="1" customHeight="1">
      <c r="A9126" s="286"/>
    </row>
    <row r="9127" spans="1:1" s="287" customFormat="1" ht="12" hidden="1" customHeight="1">
      <c r="A9127" s="286"/>
    </row>
    <row r="9128" spans="1:1" s="287" customFormat="1" ht="12" hidden="1" customHeight="1">
      <c r="A9128" s="286"/>
    </row>
    <row r="9129" spans="1:1" s="287" customFormat="1" ht="12" hidden="1" customHeight="1">
      <c r="A9129" s="286"/>
    </row>
    <row r="9130" spans="1:1" s="287" customFormat="1" ht="12" hidden="1" customHeight="1">
      <c r="A9130" s="286"/>
    </row>
    <row r="9131" spans="1:1" s="287" customFormat="1" ht="12" hidden="1" customHeight="1">
      <c r="A9131" s="286"/>
    </row>
    <row r="9132" spans="1:1" s="287" customFormat="1" ht="12" hidden="1" customHeight="1">
      <c r="A9132" s="286"/>
    </row>
    <row r="9133" spans="1:1" s="287" customFormat="1" ht="12" hidden="1" customHeight="1">
      <c r="A9133" s="286"/>
    </row>
    <row r="9134" spans="1:1" s="287" customFormat="1" ht="12" hidden="1" customHeight="1">
      <c r="A9134" s="286"/>
    </row>
    <row r="9135" spans="1:1" s="287" customFormat="1" ht="12" hidden="1" customHeight="1">
      <c r="A9135" s="286"/>
    </row>
    <row r="9136" spans="1:1" s="287" customFormat="1" ht="12" hidden="1" customHeight="1">
      <c r="A9136" s="286"/>
    </row>
    <row r="9137" spans="1:1" s="287" customFormat="1" ht="12" hidden="1" customHeight="1">
      <c r="A9137" s="286"/>
    </row>
    <row r="9138" spans="1:1" s="287" customFormat="1" ht="12" hidden="1" customHeight="1">
      <c r="A9138" s="286"/>
    </row>
    <row r="9139" spans="1:1" s="287" customFormat="1" ht="12" hidden="1" customHeight="1">
      <c r="A9139" s="286"/>
    </row>
    <row r="9140" spans="1:1" s="287" customFormat="1" ht="12" hidden="1" customHeight="1">
      <c r="A9140" s="286"/>
    </row>
    <row r="9141" spans="1:1" s="287" customFormat="1" ht="12" hidden="1" customHeight="1">
      <c r="A9141" s="286"/>
    </row>
    <row r="9142" spans="1:1" s="287" customFormat="1" ht="12" hidden="1" customHeight="1">
      <c r="A9142" s="286"/>
    </row>
    <row r="9143" spans="1:1" s="287" customFormat="1" ht="12" hidden="1" customHeight="1">
      <c r="A9143" s="286"/>
    </row>
    <row r="9144" spans="1:1" s="287" customFormat="1" ht="12" hidden="1" customHeight="1">
      <c r="A9144" s="286"/>
    </row>
    <row r="9145" spans="1:1" s="287" customFormat="1" ht="12" hidden="1" customHeight="1">
      <c r="A9145" s="286"/>
    </row>
    <row r="9146" spans="1:1" s="287" customFormat="1" ht="12" hidden="1" customHeight="1">
      <c r="A9146" s="286"/>
    </row>
    <row r="9147" spans="1:1" s="287" customFormat="1" ht="12" hidden="1" customHeight="1">
      <c r="A9147" s="286"/>
    </row>
    <row r="9148" spans="1:1" s="287" customFormat="1" ht="12" hidden="1" customHeight="1">
      <c r="A9148" s="286"/>
    </row>
    <row r="9149" spans="1:1" s="287" customFormat="1" ht="12" hidden="1" customHeight="1">
      <c r="A9149" s="286"/>
    </row>
    <row r="9150" spans="1:1" s="287" customFormat="1" ht="12" hidden="1" customHeight="1">
      <c r="A9150" s="286"/>
    </row>
    <row r="9151" spans="1:1" s="287" customFormat="1" ht="12" hidden="1" customHeight="1">
      <c r="A9151" s="286"/>
    </row>
    <row r="9152" spans="1:1" s="287" customFormat="1" ht="12" hidden="1" customHeight="1">
      <c r="A9152" s="286"/>
    </row>
    <row r="9153" spans="1:1" s="287" customFormat="1" ht="12" hidden="1" customHeight="1">
      <c r="A9153" s="286"/>
    </row>
    <row r="9154" spans="1:1" s="287" customFormat="1" ht="12" hidden="1" customHeight="1">
      <c r="A9154" s="286"/>
    </row>
    <row r="9155" spans="1:1" s="287" customFormat="1" ht="12" hidden="1" customHeight="1">
      <c r="A9155" s="286"/>
    </row>
    <row r="9156" spans="1:1" s="287" customFormat="1" ht="12" hidden="1" customHeight="1">
      <c r="A9156" s="286"/>
    </row>
    <row r="9157" spans="1:1" s="287" customFormat="1" ht="12" hidden="1" customHeight="1">
      <c r="A9157" s="286"/>
    </row>
    <row r="9158" spans="1:1" s="287" customFormat="1" ht="12" hidden="1" customHeight="1">
      <c r="A9158" s="286"/>
    </row>
    <row r="9159" spans="1:1" s="287" customFormat="1" ht="12" hidden="1" customHeight="1">
      <c r="A9159" s="286"/>
    </row>
    <row r="9160" spans="1:1" s="287" customFormat="1" ht="12" hidden="1" customHeight="1">
      <c r="A9160" s="286"/>
    </row>
    <row r="9161" spans="1:1" s="287" customFormat="1" ht="12" hidden="1" customHeight="1">
      <c r="A9161" s="286"/>
    </row>
    <row r="9162" spans="1:1" s="287" customFormat="1" ht="12" hidden="1" customHeight="1">
      <c r="A9162" s="286"/>
    </row>
    <row r="9163" spans="1:1" s="287" customFormat="1" ht="12" hidden="1" customHeight="1">
      <c r="A9163" s="286"/>
    </row>
    <row r="9164" spans="1:1" s="287" customFormat="1" ht="12" hidden="1" customHeight="1">
      <c r="A9164" s="286"/>
    </row>
    <row r="9165" spans="1:1" s="287" customFormat="1" ht="12" hidden="1" customHeight="1">
      <c r="A9165" s="286"/>
    </row>
    <row r="9166" spans="1:1" s="287" customFormat="1" ht="12" hidden="1" customHeight="1">
      <c r="A9166" s="286"/>
    </row>
    <row r="9167" spans="1:1" s="287" customFormat="1" ht="12" hidden="1" customHeight="1">
      <c r="A9167" s="286"/>
    </row>
    <row r="9168" spans="1:1" s="287" customFormat="1" ht="12" hidden="1" customHeight="1">
      <c r="A9168" s="286"/>
    </row>
    <row r="9169" spans="1:1" s="287" customFormat="1" ht="12" hidden="1" customHeight="1">
      <c r="A9169" s="286"/>
    </row>
    <row r="9170" spans="1:1" s="287" customFormat="1" ht="12" hidden="1" customHeight="1">
      <c r="A9170" s="286"/>
    </row>
    <row r="9171" spans="1:1" s="287" customFormat="1" ht="12" hidden="1" customHeight="1">
      <c r="A9171" s="286"/>
    </row>
    <row r="9172" spans="1:1" s="287" customFormat="1" ht="12" hidden="1" customHeight="1">
      <c r="A9172" s="286"/>
    </row>
    <row r="9173" spans="1:1" s="287" customFormat="1" ht="12" hidden="1" customHeight="1">
      <c r="A9173" s="286"/>
    </row>
    <row r="9174" spans="1:1" s="287" customFormat="1" ht="12" hidden="1" customHeight="1">
      <c r="A9174" s="286"/>
    </row>
    <row r="9175" spans="1:1" s="287" customFormat="1" ht="12" hidden="1" customHeight="1">
      <c r="A9175" s="286"/>
    </row>
    <row r="9176" spans="1:1" s="287" customFormat="1" ht="12" hidden="1" customHeight="1">
      <c r="A9176" s="286"/>
    </row>
    <row r="9177" spans="1:1" s="287" customFormat="1" ht="12" hidden="1" customHeight="1">
      <c r="A9177" s="286"/>
    </row>
    <row r="9178" spans="1:1" s="287" customFormat="1" ht="12" hidden="1" customHeight="1">
      <c r="A9178" s="286"/>
    </row>
    <row r="9179" spans="1:1" s="287" customFormat="1" ht="12" hidden="1" customHeight="1">
      <c r="A9179" s="286"/>
    </row>
    <row r="9180" spans="1:1" s="287" customFormat="1" ht="12" hidden="1" customHeight="1">
      <c r="A9180" s="286"/>
    </row>
    <row r="9181" spans="1:1" s="287" customFormat="1" ht="12" hidden="1" customHeight="1">
      <c r="A9181" s="286"/>
    </row>
    <row r="9182" spans="1:1" s="287" customFormat="1" ht="12" hidden="1" customHeight="1">
      <c r="A9182" s="286"/>
    </row>
    <row r="9183" spans="1:1" s="287" customFormat="1" ht="12" hidden="1" customHeight="1">
      <c r="A9183" s="286"/>
    </row>
    <row r="9184" spans="1:1" s="287" customFormat="1" ht="12" hidden="1" customHeight="1">
      <c r="A9184" s="286"/>
    </row>
    <row r="9185" spans="1:1" s="287" customFormat="1" ht="12" hidden="1" customHeight="1">
      <c r="A9185" s="286"/>
    </row>
    <row r="9186" spans="1:1" s="287" customFormat="1" ht="12" hidden="1" customHeight="1">
      <c r="A9186" s="286"/>
    </row>
    <row r="9187" spans="1:1" s="287" customFormat="1" ht="12" hidden="1" customHeight="1">
      <c r="A9187" s="286"/>
    </row>
    <row r="9188" spans="1:1" s="287" customFormat="1" ht="12" hidden="1" customHeight="1">
      <c r="A9188" s="286"/>
    </row>
    <row r="9189" spans="1:1" s="287" customFormat="1" ht="12" hidden="1" customHeight="1">
      <c r="A9189" s="286"/>
    </row>
    <row r="9190" spans="1:1" s="287" customFormat="1" ht="12" hidden="1" customHeight="1">
      <c r="A9190" s="286"/>
    </row>
    <row r="9191" spans="1:1" s="287" customFormat="1" ht="12" hidden="1" customHeight="1">
      <c r="A9191" s="286"/>
    </row>
    <row r="9192" spans="1:1" s="287" customFormat="1" ht="12" hidden="1" customHeight="1">
      <c r="A9192" s="286"/>
    </row>
    <row r="9193" spans="1:1" s="287" customFormat="1" ht="12" hidden="1" customHeight="1">
      <c r="A9193" s="286"/>
    </row>
    <row r="9194" spans="1:1" s="287" customFormat="1" ht="12" hidden="1" customHeight="1">
      <c r="A9194" s="286"/>
    </row>
    <row r="9195" spans="1:1" s="287" customFormat="1" ht="12" hidden="1" customHeight="1">
      <c r="A9195" s="286"/>
    </row>
    <row r="9196" spans="1:1" s="287" customFormat="1" ht="12" hidden="1" customHeight="1">
      <c r="A9196" s="286"/>
    </row>
    <row r="9197" spans="1:1" s="287" customFormat="1" ht="12" hidden="1" customHeight="1">
      <c r="A9197" s="286"/>
    </row>
    <row r="9198" spans="1:1" s="287" customFormat="1" ht="12" hidden="1" customHeight="1">
      <c r="A9198" s="286"/>
    </row>
    <row r="9199" spans="1:1" s="287" customFormat="1" ht="12" hidden="1" customHeight="1">
      <c r="A9199" s="286"/>
    </row>
    <row r="9200" spans="1:1" s="287" customFormat="1" ht="12" hidden="1" customHeight="1">
      <c r="A9200" s="286"/>
    </row>
    <row r="9201" spans="1:1" s="287" customFormat="1" ht="12" hidden="1" customHeight="1">
      <c r="A9201" s="286"/>
    </row>
    <row r="9202" spans="1:1" s="287" customFormat="1" ht="12" hidden="1" customHeight="1">
      <c r="A9202" s="286"/>
    </row>
    <row r="9203" spans="1:1" s="287" customFormat="1" ht="12" hidden="1" customHeight="1">
      <c r="A9203" s="286"/>
    </row>
    <row r="9204" spans="1:1" s="287" customFormat="1" ht="12" hidden="1" customHeight="1">
      <c r="A9204" s="286"/>
    </row>
    <row r="9205" spans="1:1" s="287" customFormat="1" ht="12" hidden="1" customHeight="1">
      <c r="A9205" s="286"/>
    </row>
    <row r="9206" spans="1:1" s="287" customFormat="1" ht="12" hidden="1" customHeight="1">
      <c r="A9206" s="286"/>
    </row>
    <row r="9207" spans="1:1" s="287" customFormat="1" ht="12" hidden="1" customHeight="1">
      <c r="A9207" s="286"/>
    </row>
    <row r="9208" spans="1:1" s="287" customFormat="1" ht="12" hidden="1" customHeight="1">
      <c r="A9208" s="286"/>
    </row>
    <row r="9209" spans="1:1" s="287" customFormat="1" ht="12" hidden="1" customHeight="1">
      <c r="A9209" s="286"/>
    </row>
    <row r="9210" spans="1:1" s="287" customFormat="1" ht="12" hidden="1" customHeight="1">
      <c r="A9210" s="286"/>
    </row>
    <row r="9211" spans="1:1" s="287" customFormat="1" ht="12" hidden="1" customHeight="1">
      <c r="A9211" s="286"/>
    </row>
    <row r="9212" spans="1:1" s="287" customFormat="1" ht="12" hidden="1" customHeight="1">
      <c r="A9212" s="286"/>
    </row>
    <row r="9213" spans="1:1" s="287" customFormat="1" ht="12" hidden="1" customHeight="1">
      <c r="A9213" s="286"/>
    </row>
    <row r="9214" spans="1:1" s="287" customFormat="1" ht="12" hidden="1" customHeight="1">
      <c r="A9214" s="286"/>
    </row>
    <row r="9215" spans="1:1" s="287" customFormat="1" ht="12" hidden="1" customHeight="1">
      <c r="A9215" s="286"/>
    </row>
    <row r="9216" spans="1:1" s="287" customFormat="1" ht="12" hidden="1" customHeight="1">
      <c r="A9216" s="286"/>
    </row>
    <row r="9217" spans="1:1" s="287" customFormat="1" ht="12" hidden="1" customHeight="1">
      <c r="A9217" s="286"/>
    </row>
    <row r="9218" spans="1:1" s="287" customFormat="1" ht="12" hidden="1" customHeight="1">
      <c r="A9218" s="286"/>
    </row>
    <row r="9219" spans="1:1" s="287" customFormat="1" ht="12" hidden="1" customHeight="1">
      <c r="A9219" s="286"/>
    </row>
    <row r="9220" spans="1:1" s="287" customFormat="1" ht="12" hidden="1" customHeight="1">
      <c r="A9220" s="286"/>
    </row>
    <row r="9221" spans="1:1" s="287" customFormat="1" ht="12" hidden="1" customHeight="1">
      <c r="A9221" s="286"/>
    </row>
    <row r="9222" spans="1:1" s="287" customFormat="1" ht="12" hidden="1" customHeight="1">
      <c r="A9222" s="286"/>
    </row>
    <row r="9223" spans="1:1" s="287" customFormat="1" ht="12" hidden="1" customHeight="1">
      <c r="A9223" s="286"/>
    </row>
    <row r="9224" spans="1:1" s="287" customFormat="1" ht="12" hidden="1" customHeight="1">
      <c r="A9224" s="286"/>
    </row>
    <row r="9225" spans="1:1" s="287" customFormat="1" ht="12" hidden="1" customHeight="1">
      <c r="A9225" s="286"/>
    </row>
    <row r="9226" spans="1:1" s="287" customFormat="1" ht="12" hidden="1" customHeight="1">
      <c r="A9226" s="286"/>
    </row>
    <row r="9227" spans="1:1" s="287" customFormat="1" ht="12" hidden="1" customHeight="1">
      <c r="A9227" s="286"/>
    </row>
    <row r="9228" spans="1:1" s="287" customFormat="1" ht="12" hidden="1" customHeight="1">
      <c r="A9228" s="286"/>
    </row>
    <row r="9229" spans="1:1" s="287" customFormat="1" ht="12" hidden="1" customHeight="1">
      <c r="A9229" s="286"/>
    </row>
    <row r="9230" spans="1:1" s="287" customFormat="1" ht="12" hidden="1" customHeight="1">
      <c r="A9230" s="286"/>
    </row>
    <row r="9231" spans="1:1" s="287" customFormat="1" ht="12" hidden="1" customHeight="1">
      <c r="A9231" s="286"/>
    </row>
    <row r="9232" spans="1:1" s="287" customFormat="1" ht="12" hidden="1" customHeight="1">
      <c r="A9232" s="286"/>
    </row>
    <row r="9233" spans="1:1" s="287" customFormat="1" ht="12" hidden="1" customHeight="1">
      <c r="A9233" s="286"/>
    </row>
    <row r="9234" spans="1:1" s="287" customFormat="1" ht="12" hidden="1" customHeight="1">
      <c r="A9234" s="286"/>
    </row>
    <row r="9235" spans="1:1" s="287" customFormat="1" ht="12" hidden="1" customHeight="1">
      <c r="A9235" s="286"/>
    </row>
    <row r="9236" spans="1:1" s="287" customFormat="1" ht="12" hidden="1" customHeight="1">
      <c r="A9236" s="286"/>
    </row>
    <row r="9237" spans="1:1" s="287" customFormat="1" ht="12" hidden="1" customHeight="1">
      <c r="A9237" s="286"/>
    </row>
    <row r="9238" spans="1:1" s="287" customFormat="1" ht="12" hidden="1" customHeight="1">
      <c r="A9238" s="286"/>
    </row>
    <row r="9239" spans="1:1" s="287" customFormat="1" ht="12" hidden="1" customHeight="1">
      <c r="A9239" s="286"/>
    </row>
    <row r="9240" spans="1:1" s="287" customFormat="1" ht="12" hidden="1" customHeight="1">
      <c r="A9240" s="286"/>
    </row>
    <row r="9241" spans="1:1" s="287" customFormat="1" ht="12" hidden="1" customHeight="1">
      <c r="A9241" s="286"/>
    </row>
    <row r="9242" spans="1:1" s="287" customFormat="1" ht="12" hidden="1" customHeight="1">
      <c r="A9242" s="286"/>
    </row>
    <row r="9243" spans="1:1" s="287" customFormat="1" ht="12" hidden="1" customHeight="1">
      <c r="A9243" s="286"/>
    </row>
    <row r="9244" spans="1:1" s="287" customFormat="1" ht="12" hidden="1" customHeight="1">
      <c r="A9244" s="286"/>
    </row>
    <row r="9245" spans="1:1" s="287" customFormat="1" ht="12" hidden="1" customHeight="1">
      <c r="A9245" s="286"/>
    </row>
    <row r="9246" spans="1:1" s="287" customFormat="1" ht="12" hidden="1" customHeight="1">
      <c r="A9246" s="286"/>
    </row>
    <row r="9247" spans="1:1" s="287" customFormat="1" ht="12" hidden="1" customHeight="1">
      <c r="A9247" s="286"/>
    </row>
    <row r="9248" spans="1:1" s="287" customFormat="1" ht="12" hidden="1" customHeight="1">
      <c r="A9248" s="286"/>
    </row>
    <row r="9249" spans="1:1" s="287" customFormat="1" ht="12" hidden="1" customHeight="1">
      <c r="A9249" s="286"/>
    </row>
    <row r="9250" spans="1:1" s="287" customFormat="1" ht="12" hidden="1" customHeight="1">
      <c r="A9250" s="286"/>
    </row>
    <row r="9251" spans="1:1" s="287" customFormat="1" ht="12" hidden="1" customHeight="1">
      <c r="A9251" s="286"/>
    </row>
    <row r="9252" spans="1:1" s="287" customFormat="1" ht="12" hidden="1" customHeight="1">
      <c r="A9252" s="286"/>
    </row>
    <row r="9253" spans="1:1" s="287" customFormat="1" ht="12" hidden="1" customHeight="1">
      <c r="A9253" s="286"/>
    </row>
    <row r="9254" spans="1:1" s="287" customFormat="1" ht="12" hidden="1" customHeight="1">
      <c r="A9254" s="286"/>
    </row>
    <row r="9255" spans="1:1" s="287" customFormat="1" ht="12" hidden="1" customHeight="1">
      <c r="A9255" s="286"/>
    </row>
    <row r="9256" spans="1:1" s="287" customFormat="1" ht="12" hidden="1" customHeight="1">
      <c r="A9256" s="286"/>
    </row>
    <row r="9257" spans="1:1" s="287" customFormat="1" ht="12" hidden="1" customHeight="1">
      <c r="A9257" s="286"/>
    </row>
    <row r="9258" spans="1:1" s="287" customFormat="1" ht="12" hidden="1" customHeight="1">
      <c r="A9258" s="286"/>
    </row>
    <row r="9259" spans="1:1" s="287" customFormat="1" ht="12" hidden="1" customHeight="1">
      <c r="A9259" s="286"/>
    </row>
    <row r="9260" spans="1:1" s="287" customFormat="1" ht="12" hidden="1" customHeight="1">
      <c r="A9260" s="286"/>
    </row>
    <row r="9261" spans="1:1" s="287" customFormat="1" ht="12" hidden="1" customHeight="1">
      <c r="A9261" s="286"/>
    </row>
    <row r="9262" spans="1:1" s="287" customFormat="1" ht="12" hidden="1" customHeight="1">
      <c r="A9262" s="286"/>
    </row>
    <row r="9263" spans="1:1" s="287" customFormat="1" ht="12" hidden="1" customHeight="1">
      <c r="A9263" s="286"/>
    </row>
    <row r="9264" spans="1:1" s="287" customFormat="1" ht="12" hidden="1" customHeight="1">
      <c r="A9264" s="286"/>
    </row>
    <row r="9265" spans="1:1" s="287" customFormat="1" ht="12" hidden="1" customHeight="1">
      <c r="A9265" s="286"/>
    </row>
    <row r="9266" spans="1:1" s="287" customFormat="1" ht="12" hidden="1" customHeight="1">
      <c r="A9266" s="286"/>
    </row>
    <row r="9267" spans="1:1" s="287" customFormat="1" ht="12" hidden="1" customHeight="1">
      <c r="A9267" s="286"/>
    </row>
    <row r="9268" spans="1:1" s="287" customFormat="1" ht="12" hidden="1" customHeight="1">
      <c r="A9268" s="286"/>
    </row>
    <row r="9269" spans="1:1" s="287" customFormat="1" ht="12" hidden="1" customHeight="1">
      <c r="A9269" s="286"/>
    </row>
    <row r="9270" spans="1:1" s="287" customFormat="1" ht="12" hidden="1" customHeight="1">
      <c r="A9270" s="286"/>
    </row>
    <row r="9271" spans="1:1" s="287" customFormat="1" ht="12" hidden="1" customHeight="1">
      <c r="A9271" s="286"/>
    </row>
    <row r="9272" spans="1:1" s="287" customFormat="1" ht="12" hidden="1" customHeight="1">
      <c r="A9272" s="286"/>
    </row>
    <row r="9273" spans="1:1" s="287" customFormat="1" ht="12" hidden="1" customHeight="1">
      <c r="A9273" s="286"/>
    </row>
    <row r="9274" spans="1:1" s="287" customFormat="1" ht="12" hidden="1" customHeight="1">
      <c r="A9274" s="286"/>
    </row>
    <row r="9275" spans="1:1" s="287" customFormat="1" ht="12" hidden="1" customHeight="1">
      <c r="A9275" s="286"/>
    </row>
    <row r="9276" spans="1:1" s="287" customFormat="1" ht="12" hidden="1" customHeight="1">
      <c r="A9276" s="286"/>
    </row>
    <row r="9277" spans="1:1" s="287" customFormat="1" ht="12" hidden="1" customHeight="1">
      <c r="A9277" s="286"/>
    </row>
    <row r="9278" spans="1:1" s="287" customFormat="1" ht="12" hidden="1" customHeight="1">
      <c r="A9278" s="286"/>
    </row>
    <row r="9279" spans="1:1" s="287" customFormat="1" ht="12" hidden="1" customHeight="1">
      <c r="A9279" s="286"/>
    </row>
    <row r="9280" spans="1:1" s="287" customFormat="1" ht="12" hidden="1" customHeight="1">
      <c r="A9280" s="286"/>
    </row>
    <row r="9281" spans="1:1" s="287" customFormat="1" ht="12" hidden="1" customHeight="1">
      <c r="A9281" s="286"/>
    </row>
    <row r="9282" spans="1:1" s="287" customFormat="1" ht="12" hidden="1" customHeight="1">
      <c r="A9282" s="286"/>
    </row>
    <row r="9283" spans="1:1" s="287" customFormat="1" ht="12" hidden="1" customHeight="1">
      <c r="A9283" s="286"/>
    </row>
    <row r="9284" spans="1:1" s="287" customFormat="1" ht="12" hidden="1" customHeight="1">
      <c r="A9284" s="286"/>
    </row>
    <row r="9285" spans="1:1" s="287" customFormat="1" ht="12" hidden="1" customHeight="1">
      <c r="A9285" s="286"/>
    </row>
    <row r="9286" spans="1:1" s="287" customFormat="1" ht="12" hidden="1" customHeight="1">
      <c r="A9286" s="286"/>
    </row>
    <row r="9287" spans="1:1" s="287" customFormat="1" ht="12" hidden="1" customHeight="1">
      <c r="A9287" s="286"/>
    </row>
    <row r="9288" spans="1:1" s="287" customFormat="1" ht="12" hidden="1" customHeight="1">
      <c r="A9288" s="286"/>
    </row>
    <row r="9289" spans="1:1" s="287" customFormat="1" ht="12" hidden="1" customHeight="1">
      <c r="A9289" s="286"/>
    </row>
    <row r="9290" spans="1:1" s="287" customFormat="1" ht="12" hidden="1" customHeight="1">
      <c r="A9290" s="286"/>
    </row>
    <row r="9291" spans="1:1" s="287" customFormat="1" ht="12" hidden="1" customHeight="1">
      <c r="A9291" s="286"/>
    </row>
    <row r="9292" spans="1:1" s="287" customFormat="1" ht="12" hidden="1" customHeight="1">
      <c r="A9292" s="286"/>
    </row>
    <row r="9293" spans="1:1" s="287" customFormat="1" ht="12" hidden="1" customHeight="1">
      <c r="A9293" s="286"/>
    </row>
    <row r="9294" spans="1:1" s="287" customFormat="1" ht="12" hidden="1" customHeight="1">
      <c r="A9294" s="286"/>
    </row>
    <row r="9295" spans="1:1" s="287" customFormat="1" ht="12" hidden="1" customHeight="1">
      <c r="A9295" s="286"/>
    </row>
    <row r="9296" spans="1:1" s="287" customFormat="1" ht="12" hidden="1" customHeight="1">
      <c r="A9296" s="286"/>
    </row>
    <row r="9297" spans="1:1" s="287" customFormat="1" ht="12" hidden="1" customHeight="1">
      <c r="A9297" s="286"/>
    </row>
    <row r="9298" spans="1:1" s="287" customFormat="1" ht="12" hidden="1" customHeight="1">
      <c r="A9298" s="286"/>
    </row>
    <row r="9299" spans="1:1" s="287" customFormat="1" ht="12" hidden="1" customHeight="1">
      <c r="A9299" s="286"/>
    </row>
    <row r="9300" spans="1:1" s="287" customFormat="1" ht="12" hidden="1" customHeight="1">
      <c r="A9300" s="286"/>
    </row>
    <row r="9301" spans="1:1" s="287" customFormat="1" ht="12" hidden="1" customHeight="1">
      <c r="A9301" s="286"/>
    </row>
    <row r="9302" spans="1:1" s="287" customFormat="1" ht="12" hidden="1" customHeight="1">
      <c r="A9302" s="286"/>
    </row>
    <row r="9303" spans="1:1" s="287" customFormat="1" ht="12" hidden="1" customHeight="1">
      <c r="A9303" s="286"/>
    </row>
    <row r="9304" spans="1:1" s="287" customFormat="1" ht="12" hidden="1" customHeight="1">
      <c r="A9304" s="286"/>
    </row>
    <row r="9305" spans="1:1" s="287" customFormat="1" ht="12" hidden="1" customHeight="1">
      <c r="A9305" s="286"/>
    </row>
    <row r="9306" spans="1:1" s="287" customFormat="1" ht="12" hidden="1" customHeight="1">
      <c r="A9306" s="286"/>
    </row>
    <row r="9307" spans="1:1" s="287" customFormat="1" ht="12" hidden="1" customHeight="1">
      <c r="A9307" s="286"/>
    </row>
    <row r="9308" spans="1:1" s="287" customFormat="1" ht="12" hidden="1" customHeight="1">
      <c r="A9308" s="286"/>
    </row>
    <row r="9309" spans="1:1" s="287" customFormat="1" ht="12" hidden="1" customHeight="1">
      <c r="A9309" s="286"/>
    </row>
    <row r="9310" spans="1:1" s="287" customFormat="1" ht="12" hidden="1" customHeight="1">
      <c r="A9310" s="286"/>
    </row>
    <row r="9311" spans="1:1" s="287" customFormat="1" ht="12" hidden="1" customHeight="1">
      <c r="A9311" s="286"/>
    </row>
    <row r="9312" spans="1:1" s="287" customFormat="1" ht="12" hidden="1" customHeight="1">
      <c r="A9312" s="286"/>
    </row>
    <row r="9313" spans="1:1" s="287" customFormat="1" ht="12" hidden="1" customHeight="1">
      <c r="A9313" s="286"/>
    </row>
    <row r="9314" spans="1:1" s="287" customFormat="1" ht="12" hidden="1" customHeight="1">
      <c r="A9314" s="286"/>
    </row>
    <row r="9315" spans="1:1" s="287" customFormat="1" ht="12" hidden="1" customHeight="1">
      <c r="A9315" s="286"/>
    </row>
    <row r="9316" spans="1:1" s="287" customFormat="1" ht="12" hidden="1" customHeight="1">
      <c r="A9316" s="286"/>
    </row>
    <row r="9317" spans="1:1" s="287" customFormat="1" ht="12" hidden="1" customHeight="1">
      <c r="A9317" s="286"/>
    </row>
    <row r="9318" spans="1:1" s="287" customFormat="1" ht="12" hidden="1" customHeight="1">
      <c r="A9318" s="286"/>
    </row>
    <row r="9319" spans="1:1" s="287" customFormat="1" ht="12" hidden="1" customHeight="1">
      <c r="A9319" s="286"/>
    </row>
    <row r="9320" spans="1:1" s="287" customFormat="1" ht="12" hidden="1" customHeight="1">
      <c r="A9320" s="286"/>
    </row>
    <row r="9321" spans="1:1" s="287" customFormat="1" ht="12" hidden="1" customHeight="1">
      <c r="A9321" s="286"/>
    </row>
    <row r="9322" spans="1:1" s="287" customFormat="1" ht="12" hidden="1" customHeight="1">
      <c r="A9322" s="286"/>
    </row>
    <row r="9323" spans="1:1" s="287" customFormat="1" ht="12" hidden="1" customHeight="1">
      <c r="A9323" s="286"/>
    </row>
    <row r="9324" spans="1:1" s="287" customFormat="1" ht="12" hidden="1" customHeight="1">
      <c r="A9324" s="286"/>
    </row>
    <row r="9325" spans="1:1" s="287" customFormat="1" ht="12" hidden="1" customHeight="1">
      <c r="A9325" s="286"/>
    </row>
    <row r="9326" spans="1:1" s="287" customFormat="1" ht="12" hidden="1" customHeight="1">
      <c r="A9326" s="286"/>
    </row>
    <row r="9327" spans="1:1" s="287" customFormat="1" ht="12" hidden="1" customHeight="1">
      <c r="A9327" s="286"/>
    </row>
    <row r="9328" spans="1:1" s="287" customFormat="1" ht="12" hidden="1" customHeight="1">
      <c r="A9328" s="286"/>
    </row>
    <row r="9329" spans="1:1" s="287" customFormat="1" ht="12" hidden="1" customHeight="1">
      <c r="A9329" s="286"/>
    </row>
    <row r="9330" spans="1:1" s="287" customFormat="1" ht="12" hidden="1" customHeight="1">
      <c r="A9330" s="286"/>
    </row>
    <row r="9331" spans="1:1" s="287" customFormat="1" ht="12" hidden="1" customHeight="1">
      <c r="A9331" s="286"/>
    </row>
    <row r="9332" spans="1:1" s="287" customFormat="1" ht="12" hidden="1" customHeight="1">
      <c r="A9332" s="286"/>
    </row>
    <row r="9333" spans="1:1" s="287" customFormat="1" ht="12" hidden="1" customHeight="1">
      <c r="A9333" s="286"/>
    </row>
    <row r="9334" spans="1:1" s="287" customFormat="1" ht="12" hidden="1" customHeight="1">
      <c r="A9334" s="286"/>
    </row>
    <row r="9335" spans="1:1" s="287" customFormat="1" ht="12" hidden="1" customHeight="1">
      <c r="A9335" s="286"/>
    </row>
    <row r="9336" spans="1:1" s="287" customFormat="1" ht="12" hidden="1" customHeight="1">
      <c r="A9336" s="286"/>
    </row>
    <row r="9337" spans="1:1" s="287" customFormat="1" ht="12" hidden="1" customHeight="1">
      <c r="A9337" s="286"/>
    </row>
    <row r="9338" spans="1:1" s="287" customFormat="1" ht="12" hidden="1" customHeight="1">
      <c r="A9338" s="286"/>
    </row>
    <row r="9339" spans="1:1" s="287" customFormat="1" ht="12" hidden="1" customHeight="1">
      <c r="A9339" s="286"/>
    </row>
    <row r="9340" spans="1:1" s="287" customFormat="1" ht="12" hidden="1" customHeight="1">
      <c r="A9340" s="286"/>
    </row>
    <row r="9341" spans="1:1" s="287" customFormat="1" ht="12" hidden="1" customHeight="1">
      <c r="A9341" s="286"/>
    </row>
    <row r="9342" spans="1:1" s="287" customFormat="1" ht="12" hidden="1" customHeight="1">
      <c r="A9342" s="286"/>
    </row>
    <row r="9343" spans="1:1" s="287" customFormat="1" ht="12" hidden="1" customHeight="1">
      <c r="A9343" s="286"/>
    </row>
    <row r="9344" spans="1:1" s="287" customFormat="1" ht="12" hidden="1" customHeight="1">
      <c r="A9344" s="286"/>
    </row>
    <row r="9345" spans="1:1" s="287" customFormat="1" ht="12" hidden="1" customHeight="1">
      <c r="A9345" s="286"/>
    </row>
    <row r="9346" spans="1:1" s="287" customFormat="1" ht="12" hidden="1" customHeight="1">
      <c r="A9346" s="286"/>
    </row>
    <row r="9347" spans="1:1" s="287" customFormat="1" ht="12" hidden="1" customHeight="1">
      <c r="A9347" s="286"/>
    </row>
    <row r="9348" spans="1:1" s="287" customFormat="1" ht="12" hidden="1" customHeight="1">
      <c r="A9348" s="286"/>
    </row>
    <row r="9349" spans="1:1" s="287" customFormat="1" ht="12" hidden="1" customHeight="1">
      <c r="A9349" s="286"/>
    </row>
    <row r="9350" spans="1:1" s="287" customFormat="1" ht="12" hidden="1" customHeight="1">
      <c r="A9350" s="286"/>
    </row>
    <row r="9351" spans="1:1" s="287" customFormat="1" ht="12" hidden="1" customHeight="1">
      <c r="A9351" s="286"/>
    </row>
    <row r="9352" spans="1:1" s="287" customFormat="1" ht="12" hidden="1" customHeight="1">
      <c r="A9352" s="286"/>
    </row>
    <row r="9353" spans="1:1" s="287" customFormat="1" ht="12" hidden="1" customHeight="1">
      <c r="A9353" s="286"/>
    </row>
    <row r="9354" spans="1:1" s="287" customFormat="1" ht="12" hidden="1" customHeight="1">
      <c r="A9354" s="286"/>
    </row>
    <row r="9355" spans="1:1" s="287" customFormat="1" ht="12" hidden="1" customHeight="1">
      <c r="A9355" s="286"/>
    </row>
    <row r="9356" spans="1:1" s="287" customFormat="1" ht="12" hidden="1" customHeight="1">
      <c r="A9356" s="286"/>
    </row>
    <row r="9357" spans="1:1" s="287" customFormat="1" ht="12" hidden="1" customHeight="1">
      <c r="A9357" s="286"/>
    </row>
    <row r="9358" spans="1:1" s="287" customFormat="1" ht="12" hidden="1" customHeight="1">
      <c r="A9358" s="286"/>
    </row>
    <row r="9359" spans="1:1" s="287" customFormat="1" ht="12" hidden="1" customHeight="1">
      <c r="A9359" s="286"/>
    </row>
    <row r="9360" spans="1:1" s="287" customFormat="1" ht="12" hidden="1" customHeight="1">
      <c r="A9360" s="286"/>
    </row>
    <row r="9361" spans="1:1" s="287" customFormat="1" ht="12" hidden="1" customHeight="1">
      <c r="A9361" s="286"/>
    </row>
    <row r="9362" spans="1:1" s="287" customFormat="1" ht="12" hidden="1" customHeight="1">
      <c r="A9362" s="286"/>
    </row>
    <row r="9363" spans="1:1" s="287" customFormat="1" ht="12" hidden="1" customHeight="1">
      <c r="A9363" s="286"/>
    </row>
    <row r="9364" spans="1:1" s="287" customFormat="1" ht="12" hidden="1" customHeight="1">
      <c r="A9364" s="286"/>
    </row>
    <row r="9365" spans="1:1" s="287" customFormat="1" ht="12" hidden="1" customHeight="1">
      <c r="A9365" s="286"/>
    </row>
    <row r="9366" spans="1:1" s="287" customFormat="1" ht="12" hidden="1" customHeight="1">
      <c r="A9366" s="286"/>
    </row>
    <row r="9367" spans="1:1" s="287" customFormat="1" ht="12" hidden="1" customHeight="1">
      <c r="A9367" s="286"/>
    </row>
    <row r="9368" spans="1:1" s="287" customFormat="1" ht="12" hidden="1" customHeight="1">
      <c r="A9368" s="286"/>
    </row>
    <row r="9369" spans="1:1" s="287" customFormat="1" ht="12" hidden="1" customHeight="1">
      <c r="A9369" s="286"/>
    </row>
    <row r="9370" spans="1:1" s="287" customFormat="1" ht="12" hidden="1" customHeight="1">
      <c r="A9370" s="286"/>
    </row>
    <row r="9371" spans="1:1" s="287" customFormat="1" ht="12" hidden="1" customHeight="1">
      <c r="A9371" s="286"/>
    </row>
    <row r="9372" spans="1:1" s="287" customFormat="1" ht="12" hidden="1" customHeight="1">
      <c r="A9372" s="286"/>
    </row>
    <row r="9373" spans="1:1" s="287" customFormat="1" ht="12" hidden="1" customHeight="1">
      <c r="A9373" s="286"/>
    </row>
    <row r="9374" spans="1:1" s="287" customFormat="1" ht="12" hidden="1" customHeight="1">
      <c r="A9374" s="286"/>
    </row>
    <row r="9375" spans="1:1" s="287" customFormat="1" ht="12" hidden="1" customHeight="1">
      <c r="A9375" s="286"/>
    </row>
    <row r="9376" spans="1:1" s="287" customFormat="1" ht="12" hidden="1" customHeight="1">
      <c r="A9376" s="286"/>
    </row>
    <row r="9377" spans="1:1" s="287" customFormat="1" ht="12" hidden="1" customHeight="1">
      <c r="A9377" s="286"/>
    </row>
    <row r="9378" spans="1:1" s="287" customFormat="1" ht="12" hidden="1" customHeight="1">
      <c r="A9378" s="286"/>
    </row>
    <row r="9379" spans="1:1" s="287" customFormat="1" ht="12" hidden="1" customHeight="1">
      <c r="A9379" s="286"/>
    </row>
    <row r="9380" spans="1:1" s="287" customFormat="1" ht="12" hidden="1" customHeight="1">
      <c r="A9380" s="286"/>
    </row>
    <row r="9381" spans="1:1" s="287" customFormat="1" ht="12" hidden="1" customHeight="1">
      <c r="A9381" s="286"/>
    </row>
    <row r="9382" spans="1:1" s="287" customFormat="1" ht="12" hidden="1" customHeight="1">
      <c r="A9382" s="286"/>
    </row>
    <row r="9383" spans="1:1" s="287" customFormat="1" ht="12" hidden="1" customHeight="1">
      <c r="A9383" s="286"/>
    </row>
    <row r="9384" spans="1:1" s="287" customFormat="1" ht="12" hidden="1" customHeight="1">
      <c r="A9384" s="286"/>
    </row>
    <row r="9385" spans="1:1" s="287" customFormat="1" ht="12" hidden="1" customHeight="1">
      <c r="A9385" s="286"/>
    </row>
    <row r="9386" spans="1:1" s="287" customFormat="1" ht="12" hidden="1" customHeight="1">
      <c r="A9386" s="286"/>
    </row>
    <row r="9387" spans="1:1" s="287" customFormat="1" ht="12" hidden="1" customHeight="1">
      <c r="A9387" s="286"/>
    </row>
    <row r="9388" spans="1:1" s="287" customFormat="1" ht="12" hidden="1" customHeight="1">
      <c r="A9388" s="286"/>
    </row>
    <row r="9389" spans="1:1" s="287" customFormat="1" ht="12" hidden="1" customHeight="1">
      <c r="A9389" s="286"/>
    </row>
    <row r="9390" spans="1:1" s="287" customFormat="1" ht="12" hidden="1" customHeight="1">
      <c r="A9390" s="286"/>
    </row>
    <row r="9391" spans="1:1" s="287" customFormat="1" ht="12" hidden="1" customHeight="1">
      <c r="A9391" s="286"/>
    </row>
    <row r="9392" spans="1:1" s="287" customFormat="1" ht="12" hidden="1" customHeight="1">
      <c r="A9392" s="286"/>
    </row>
    <row r="9393" spans="1:1" s="287" customFormat="1" ht="12" hidden="1" customHeight="1">
      <c r="A9393" s="286"/>
    </row>
    <row r="9394" spans="1:1" s="287" customFormat="1" ht="12" hidden="1" customHeight="1">
      <c r="A9394" s="286"/>
    </row>
    <row r="9395" spans="1:1" s="287" customFormat="1" ht="12" hidden="1" customHeight="1">
      <c r="A9395" s="286"/>
    </row>
    <row r="9396" spans="1:1" s="287" customFormat="1" ht="12" hidden="1" customHeight="1">
      <c r="A9396" s="286"/>
    </row>
    <row r="9397" spans="1:1" s="287" customFormat="1" ht="12" hidden="1" customHeight="1">
      <c r="A9397" s="286"/>
    </row>
    <row r="9398" spans="1:1" s="287" customFormat="1" ht="12" hidden="1" customHeight="1">
      <c r="A9398" s="286"/>
    </row>
    <row r="9399" spans="1:1" s="287" customFormat="1" ht="12" hidden="1" customHeight="1">
      <c r="A9399" s="286"/>
    </row>
    <row r="9400" spans="1:1" s="287" customFormat="1" ht="12" hidden="1" customHeight="1">
      <c r="A9400" s="286"/>
    </row>
    <row r="9401" spans="1:1" s="287" customFormat="1" ht="12" hidden="1" customHeight="1">
      <c r="A9401" s="286"/>
    </row>
    <row r="9402" spans="1:1" s="287" customFormat="1" ht="12" hidden="1" customHeight="1">
      <c r="A9402" s="286"/>
    </row>
    <row r="9403" spans="1:1" s="287" customFormat="1" ht="12" hidden="1" customHeight="1">
      <c r="A9403" s="286"/>
    </row>
    <row r="9404" spans="1:1" s="287" customFormat="1" ht="12" hidden="1" customHeight="1">
      <c r="A9404" s="286"/>
    </row>
    <row r="9405" spans="1:1" s="287" customFormat="1" ht="12" hidden="1" customHeight="1">
      <c r="A9405" s="286"/>
    </row>
    <row r="9406" spans="1:1" s="287" customFormat="1" ht="12" hidden="1" customHeight="1">
      <c r="A9406" s="286"/>
    </row>
    <row r="9407" spans="1:1" s="287" customFormat="1" ht="12" hidden="1" customHeight="1">
      <c r="A9407" s="286"/>
    </row>
    <row r="9408" spans="1:1" s="287" customFormat="1" ht="12" hidden="1" customHeight="1">
      <c r="A9408" s="286"/>
    </row>
    <row r="9409" spans="1:1" s="287" customFormat="1" ht="12" hidden="1" customHeight="1">
      <c r="A9409" s="286"/>
    </row>
    <row r="9410" spans="1:1" s="287" customFormat="1" ht="12" hidden="1" customHeight="1">
      <c r="A9410" s="286"/>
    </row>
    <row r="9411" spans="1:1" s="287" customFormat="1" ht="12" hidden="1" customHeight="1">
      <c r="A9411" s="286"/>
    </row>
    <row r="9412" spans="1:1" s="287" customFormat="1" ht="12" hidden="1" customHeight="1">
      <c r="A9412" s="286"/>
    </row>
    <row r="9413" spans="1:1" s="287" customFormat="1" ht="12" hidden="1" customHeight="1">
      <c r="A9413" s="286"/>
    </row>
    <row r="9414" spans="1:1" s="287" customFormat="1" ht="12" hidden="1" customHeight="1">
      <c r="A9414" s="286"/>
    </row>
    <row r="9415" spans="1:1" s="287" customFormat="1" ht="12" hidden="1" customHeight="1">
      <c r="A9415" s="286"/>
    </row>
    <row r="9416" spans="1:1" s="287" customFormat="1" ht="12" hidden="1" customHeight="1">
      <c r="A9416" s="286"/>
    </row>
    <row r="9417" spans="1:1" s="287" customFormat="1" ht="12" hidden="1" customHeight="1">
      <c r="A9417" s="286"/>
    </row>
    <row r="9418" spans="1:1" s="287" customFormat="1" ht="12" hidden="1" customHeight="1">
      <c r="A9418" s="286"/>
    </row>
    <row r="9419" spans="1:1" s="287" customFormat="1" ht="12" hidden="1" customHeight="1">
      <c r="A9419" s="286"/>
    </row>
    <row r="9420" spans="1:1" s="287" customFormat="1" ht="12" hidden="1" customHeight="1">
      <c r="A9420" s="286"/>
    </row>
    <row r="9421" spans="1:1" s="287" customFormat="1" ht="12" hidden="1" customHeight="1">
      <c r="A9421" s="286"/>
    </row>
    <row r="9422" spans="1:1" s="287" customFormat="1" ht="12" hidden="1" customHeight="1">
      <c r="A9422" s="286"/>
    </row>
    <row r="9423" spans="1:1" s="287" customFormat="1" ht="12" hidden="1" customHeight="1">
      <c r="A9423" s="286"/>
    </row>
    <row r="9424" spans="1:1" s="287" customFormat="1" ht="12" hidden="1" customHeight="1">
      <c r="A9424" s="286"/>
    </row>
    <row r="9425" spans="1:1" s="287" customFormat="1" ht="12" hidden="1" customHeight="1">
      <c r="A9425" s="286"/>
    </row>
    <row r="9426" spans="1:1" s="287" customFormat="1" ht="12" hidden="1" customHeight="1">
      <c r="A9426" s="286"/>
    </row>
    <row r="9427" spans="1:1" s="287" customFormat="1" ht="12" hidden="1" customHeight="1">
      <c r="A9427" s="286"/>
    </row>
    <row r="9428" spans="1:1" s="287" customFormat="1" ht="12" hidden="1" customHeight="1">
      <c r="A9428" s="286"/>
    </row>
    <row r="9429" spans="1:1" s="287" customFormat="1" ht="12" hidden="1" customHeight="1">
      <c r="A9429" s="286"/>
    </row>
    <row r="9430" spans="1:1" s="287" customFormat="1" ht="12" hidden="1" customHeight="1">
      <c r="A9430" s="286"/>
    </row>
    <row r="9431" spans="1:1" s="287" customFormat="1" ht="12" hidden="1" customHeight="1">
      <c r="A9431" s="286"/>
    </row>
    <row r="9432" spans="1:1" s="287" customFormat="1" ht="12" hidden="1" customHeight="1">
      <c r="A9432" s="286"/>
    </row>
    <row r="9433" spans="1:1" s="287" customFormat="1" ht="12" hidden="1" customHeight="1">
      <c r="A9433" s="286"/>
    </row>
    <row r="9434" spans="1:1" s="287" customFormat="1" ht="12" hidden="1" customHeight="1">
      <c r="A9434" s="286"/>
    </row>
    <row r="9435" spans="1:1" s="287" customFormat="1" ht="12" hidden="1" customHeight="1">
      <c r="A9435" s="286"/>
    </row>
    <row r="9436" spans="1:1" s="287" customFormat="1" ht="12" hidden="1" customHeight="1">
      <c r="A9436" s="286"/>
    </row>
    <row r="9437" spans="1:1" s="287" customFormat="1" ht="12" hidden="1" customHeight="1">
      <c r="A9437" s="286"/>
    </row>
    <row r="9438" spans="1:1" s="287" customFormat="1" ht="12" hidden="1" customHeight="1">
      <c r="A9438" s="286"/>
    </row>
    <row r="9439" spans="1:1" s="287" customFormat="1" ht="12" hidden="1" customHeight="1">
      <c r="A9439" s="286"/>
    </row>
    <row r="9440" spans="1:1" s="287" customFormat="1" ht="12" hidden="1" customHeight="1">
      <c r="A9440" s="286"/>
    </row>
    <row r="9441" spans="1:1" s="287" customFormat="1" ht="12" hidden="1" customHeight="1">
      <c r="A9441" s="286"/>
    </row>
    <row r="9442" spans="1:1" s="287" customFormat="1" ht="12" hidden="1" customHeight="1">
      <c r="A9442" s="286"/>
    </row>
    <row r="9443" spans="1:1" s="287" customFormat="1" ht="12" hidden="1" customHeight="1">
      <c r="A9443" s="286"/>
    </row>
    <row r="9444" spans="1:1" s="287" customFormat="1" ht="12" hidden="1" customHeight="1">
      <c r="A9444" s="286"/>
    </row>
    <row r="9445" spans="1:1" s="287" customFormat="1" ht="12" hidden="1" customHeight="1">
      <c r="A9445" s="286"/>
    </row>
    <row r="9446" spans="1:1" s="287" customFormat="1" ht="12" hidden="1" customHeight="1">
      <c r="A9446" s="286"/>
    </row>
    <row r="9447" spans="1:1" s="287" customFormat="1" ht="12" hidden="1" customHeight="1">
      <c r="A9447" s="286"/>
    </row>
    <row r="9448" spans="1:1" s="287" customFormat="1" ht="12" hidden="1" customHeight="1">
      <c r="A9448" s="286"/>
    </row>
    <row r="9449" spans="1:1" s="287" customFormat="1" ht="12" hidden="1" customHeight="1">
      <c r="A9449" s="286"/>
    </row>
    <row r="9450" spans="1:1" s="287" customFormat="1" ht="12" hidden="1" customHeight="1">
      <c r="A9450" s="286"/>
    </row>
    <row r="9451" spans="1:1" s="287" customFormat="1" ht="12" hidden="1" customHeight="1">
      <c r="A9451" s="286"/>
    </row>
    <row r="9452" spans="1:1" s="287" customFormat="1" ht="12" hidden="1" customHeight="1">
      <c r="A9452" s="286"/>
    </row>
    <row r="9453" spans="1:1" s="287" customFormat="1" ht="12" hidden="1" customHeight="1">
      <c r="A9453" s="286"/>
    </row>
    <row r="9454" spans="1:1" s="287" customFormat="1" ht="12" hidden="1" customHeight="1">
      <c r="A9454" s="286"/>
    </row>
    <row r="9455" spans="1:1" s="287" customFormat="1" ht="12" hidden="1" customHeight="1">
      <c r="A9455" s="286"/>
    </row>
    <row r="9456" spans="1:1" s="287" customFormat="1" ht="12" hidden="1" customHeight="1">
      <c r="A9456" s="286"/>
    </row>
    <row r="9457" spans="1:1" s="287" customFormat="1" ht="12" hidden="1" customHeight="1">
      <c r="A9457" s="286"/>
    </row>
    <row r="9458" spans="1:1" s="287" customFormat="1" ht="12" hidden="1" customHeight="1">
      <c r="A9458" s="286"/>
    </row>
    <row r="9459" spans="1:1" s="287" customFormat="1" ht="12" hidden="1" customHeight="1">
      <c r="A9459" s="286"/>
    </row>
    <row r="9460" spans="1:1" s="287" customFormat="1" ht="12" hidden="1" customHeight="1">
      <c r="A9460" s="286"/>
    </row>
    <row r="9461" spans="1:1" s="287" customFormat="1" ht="12" hidden="1" customHeight="1">
      <c r="A9461" s="286"/>
    </row>
    <row r="9462" spans="1:1" s="287" customFormat="1" ht="12" hidden="1" customHeight="1">
      <c r="A9462" s="286"/>
    </row>
    <row r="9463" spans="1:1" s="287" customFormat="1" ht="12" hidden="1" customHeight="1">
      <c r="A9463" s="286"/>
    </row>
    <row r="9464" spans="1:1" s="287" customFormat="1" ht="12" hidden="1" customHeight="1">
      <c r="A9464" s="286"/>
    </row>
    <row r="9465" spans="1:1" s="287" customFormat="1" ht="12" hidden="1" customHeight="1">
      <c r="A9465" s="286"/>
    </row>
    <row r="9466" spans="1:1" s="287" customFormat="1" ht="12" hidden="1" customHeight="1">
      <c r="A9466" s="286"/>
    </row>
    <row r="9467" spans="1:1" s="287" customFormat="1" ht="12" hidden="1" customHeight="1">
      <c r="A9467" s="286"/>
    </row>
    <row r="9468" spans="1:1" s="287" customFormat="1" ht="12" hidden="1" customHeight="1">
      <c r="A9468" s="286"/>
    </row>
    <row r="9469" spans="1:1" s="287" customFormat="1" ht="12" hidden="1" customHeight="1">
      <c r="A9469" s="286"/>
    </row>
    <row r="9470" spans="1:1" s="287" customFormat="1" ht="12" hidden="1" customHeight="1">
      <c r="A9470" s="286"/>
    </row>
    <row r="9471" spans="1:1" s="287" customFormat="1" ht="12" hidden="1" customHeight="1">
      <c r="A9471" s="286"/>
    </row>
    <row r="9472" spans="1:1" s="287" customFormat="1" ht="12" hidden="1" customHeight="1">
      <c r="A9472" s="286"/>
    </row>
    <row r="9473" spans="1:1" s="287" customFormat="1" ht="12" hidden="1" customHeight="1">
      <c r="A9473" s="286"/>
    </row>
    <row r="9474" spans="1:1" s="287" customFormat="1" ht="12" hidden="1" customHeight="1">
      <c r="A9474" s="286"/>
    </row>
    <row r="9475" spans="1:1" s="287" customFormat="1" ht="12" hidden="1" customHeight="1">
      <c r="A9475" s="286"/>
    </row>
    <row r="9476" spans="1:1" s="287" customFormat="1" ht="12" hidden="1" customHeight="1">
      <c r="A9476" s="286"/>
    </row>
    <row r="9477" spans="1:1" s="287" customFormat="1" ht="12" hidden="1" customHeight="1">
      <c r="A9477" s="286"/>
    </row>
    <row r="9478" spans="1:1" s="287" customFormat="1" ht="12" hidden="1" customHeight="1">
      <c r="A9478" s="286"/>
    </row>
    <row r="9479" spans="1:1" s="287" customFormat="1" ht="12" hidden="1" customHeight="1">
      <c r="A9479" s="286"/>
    </row>
    <row r="9480" spans="1:1" s="287" customFormat="1" ht="12" hidden="1" customHeight="1">
      <c r="A9480" s="286"/>
    </row>
    <row r="9481" spans="1:1" s="287" customFormat="1" ht="12" hidden="1" customHeight="1">
      <c r="A9481" s="286"/>
    </row>
    <row r="9482" spans="1:1" s="287" customFormat="1" ht="12" hidden="1" customHeight="1">
      <c r="A9482" s="286"/>
    </row>
    <row r="9483" spans="1:1" s="287" customFormat="1" ht="12" hidden="1" customHeight="1">
      <c r="A9483" s="286"/>
    </row>
    <row r="9484" spans="1:1" s="287" customFormat="1" ht="12" hidden="1" customHeight="1">
      <c r="A9484" s="286"/>
    </row>
    <row r="9485" spans="1:1" s="287" customFormat="1" ht="12" hidden="1" customHeight="1">
      <c r="A9485" s="286"/>
    </row>
    <row r="9486" spans="1:1" s="287" customFormat="1" ht="12" hidden="1" customHeight="1">
      <c r="A9486" s="286"/>
    </row>
    <row r="9487" spans="1:1" s="287" customFormat="1" ht="12" hidden="1" customHeight="1">
      <c r="A9487" s="286"/>
    </row>
    <row r="9488" spans="1:1" s="287" customFormat="1" ht="12" hidden="1" customHeight="1">
      <c r="A9488" s="286"/>
    </row>
    <row r="9489" spans="1:1" s="287" customFormat="1" ht="12" hidden="1" customHeight="1">
      <c r="A9489" s="286"/>
    </row>
    <row r="9490" spans="1:1" s="287" customFormat="1" ht="12" hidden="1" customHeight="1">
      <c r="A9490" s="286"/>
    </row>
    <row r="9491" spans="1:1" s="287" customFormat="1" ht="12" hidden="1" customHeight="1">
      <c r="A9491" s="286"/>
    </row>
    <row r="9492" spans="1:1" s="287" customFormat="1" ht="12" hidden="1" customHeight="1">
      <c r="A9492" s="286"/>
    </row>
    <row r="9493" spans="1:1" s="287" customFormat="1" ht="12" hidden="1" customHeight="1">
      <c r="A9493" s="286"/>
    </row>
    <row r="9494" spans="1:1" s="287" customFormat="1" ht="12" hidden="1" customHeight="1">
      <c r="A9494" s="286"/>
    </row>
    <row r="9495" spans="1:1" s="287" customFormat="1" ht="12" hidden="1" customHeight="1">
      <c r="A9495" s="286"/>
    </row>
    <row r="9496" spans="1:1" s="287" customFormat="1" ht="12" hidden="1" customHeight="1">
      <c r="A9496" s="286"/>
    </row>
    <row r="9497" spans="1:1" s="287" customFormat="1" ht="12" hidden="1" customHeight="1">
      <c r="A9497" s="286"/>
    </row>
    <row r="9498" spans="1:1" s="287" customFormat="1" ht="12" hidden="1" customHeight="1">
      <c r="A9498" s="286"/>
    </row>
    <row r="9499" spans="1:1" s="287" customFormat="1" ht="12" hidden="1" customHeight="1">
      <c r="A9499" s="286"/>
    </row>
    <row r="9500" spans="1:1" s="287" customFormat="1" ht="12" hidden="1" customHeight="1">
      <c r="A9500" s="286"/>
    </row>
    <row r="9501" spans="1:1" s="287" customFormat="1" ht="12" hidden="1" customHeight="1">
      <c r="A9501" s="286"/>
    </row>
    <row r="9502" spans="1:1" s="287" customFormat="1" ht="12" hidden="1" customHeight="1">
      <c r="A9502" s="286"/>
    </row>
    <row r="9503" spans="1:1" s="287" customFormat="1" ht="12" hidden="1" customHeight="1">
      <c r="A9503" s="286"/>
    </row>
    <row r="9504" spans="1:1" s="287" customFormat="1" ht="12" hidden="1" customHeight="1">
      <c r="A9504" s="286"/>
    </row>
    <row r="9505" spans="1:1" s="287" customFormat="1" ht="12" hidden="1" customHeight="1">
      <c r="A9505" s="286"/>
    </row>
    <row r="9506" spans="1:1" s="287" customFormat="1" ht="12" hidden="1" customHeight="1">
      <c r="A9506" s="286"/>
    </row>
    <row r="9507" spans="1:1" s="287" customFormat="1" ht="12" hidden="1" customHeight="1">
      <c r="A9507" s="286"/>
    </row>
    <row r="9508" spans="1:1" s="287" customFormat="1" ht="12" hidden="1" customHeight="1">
      <c r="A9508" s="286"/>
    </row>
    <row r="9509" spans="1:1" s="287" customFormat="1" ht="12" hidden="1" customHeight="1">
      <c r="A9509" s="286"/>
    </row>
    <row r="9510" spans="1:1" s="287" customFormat="1" ht="12" hidden="1" customHeight="1">
      <c r="A9510" s="286"/>
    </row>
    <row r="9511" spans="1:1" s="287" customFormat="1" ht="12" hidden="1" customHeight="1">
      <c r="A9511" s="286"/>
    </row>
    <row r="9512" spans="1:1" s="287" customFormat="1" ht="12" hidden="1" customHeight="1">
      <c r="A9512" s="286"/>
    </row>
    <row r="9513" spans="1:1" s="287" customFormat="1" ht="12" hidden="1" customHeight="1">
      <c r="A9513" s="286"/>
    </row>
    <row r="9514" spans="1:1" s="287" customFormat="1" ht="12" hidden="1" customHeight="1">
      <c r="A9514" s="286"/>
    </row>
    <row r="9515" spans="1:1" s="287" customFormat="1" ht="12" hidden="1" customHeight="1">
      <c r="A9515" s="286"/>
    </row>
    <row r="9516" spans="1:1" s="287" customFormat="1" ht="12" hidden="1" customHeight="1">
      <c r="A9516" s="286"/>
    </row>
    <row r="9517" spans="1:1" s="287" customFormat="1" ht="12" hidden="1" customHeight="1">
      <c r="A9517" s="286"/>
    </row>
    <row r="9518" spans="1:1" s="287" customFormat="1" ht="12" hidden="1" customHeight="1">
      <c r="A9518" s="286"/>
    </row>
    <row r="9519" spans="1:1" s="287" customFormat="1" ht="12" hidden="1" customHeight="1">
      <c r="A9519" s="286"/>
    </row>
    <row r="9520" spans="1:1" s="287" customFormat="1" ht="12" hidden="1" customHeight="1">
      <c r="A9520" s="286"/>
    </row>
    <row r="9521" spans="1:1" s="287" customFormat="1" ht="12" hidden="1" customHeight="1">
      <c r="A9521" s="286"/>
    </row>
    <row r="9522" spans="1:1" s="287" customFormat="1" ht="12" hidden="1" customHeight="1">
      <c r="A9522" s="286"/>
    </row>
    <row r="9523" spans="1:1" s="287" customFormat="1" ht="12" hidden="1" customHeight="1">
      <c r="A9523" s="286"/>
    </row>
    <row r="9524" spans="1:1" s="287" customFormat="1" ht="12" hidden="1" customHeight="1">
      <c r="A9524" s="286"/>
    </row>
    <row r="9525" spans="1:1" s="287" customFormat="1" ht="12" hidden="1" customHeight="1">
      <c r="A9525" s="286"/>
    </row>
    <row r="9526" spans="1:1" s="287" customFormat="1" ht="12" hidden="1" customHeight="1">
      <c r="A9526" s="286"/>
    </row>
    <row r="9527" spans="1:1" s="287" customFormat="1" ht="12" hidden="1" customHeight="1">
      <c r="A9527" s="286"/>
    </row>
    <row r="9528" spans="1:1" s="287" customFormat="1" ht="12" hidden="1" customHeight="1">
      <c r="A9528" s="286"/>
    </row>
    <row r="9529" spans="1:1" s="287" customFormat="1" ht="12" hidden="1" customHeight="1">
      <c r="A9529" s="286"/>
    </row>
    <row r="9530" spans="1:1" s="287" customFormat="1" ht="12" hidden="1" customHeight="1">
      <c r="A9530" s="286"/>
    </row>
    <row r="9531" spans="1:1" s="287" customFormat="1" ht="12" hidden="1" customHeight="1">
      <c r="A9531" s="286"/>
    </row>
    <row r="9532" spans="1:1" s="287" customFormat="1" ht="12" hidden="1" customHeight="1">
      <c r="A9532" s="286"/>
    </row>
    <row r="9533" spans="1:1" s="287" customFormat="1" ht="12" hidden="1" customHeight="1">
      <c r="A9533" s="286"/>
    </row>
    <row r="9534" spans="1:1" s="287" customFormat="1" ht="12" hidden="1" customHeight="1">
      <c r="A9534" s="286"/>
    </row>
    <row r="9535" spans="1:1" s="287" customFormat="1" ht="12" hidden="1" customHeight="1">
      <c r="A9535" s="286"/>
    </row>
    <row r="9536" spans="1:1" s="287" customFormat="1" ht="12" hidden="1" customHeight="1">
      <c r="A9536" s="286"/>
    </row>
    <row r="9537" spans="1:1" s="287" customFormat="1" ht="12" hidden="1" customHeight="1">
      <c r="A9537" s="286"/>
    </row>
    <row r="9538" spans="1:1" s="287" customFormat="1" ht="12" hidden="1" customHeight="1">
      <c r="A9538" s="286"/>
    </row>
    <row r="9539" spans="1:1" s="287" customFormat="1" ht="12" hidden="1" customHeight="1">
      <c r="A9539" s="286"/>
    </row>
    <row r="9540" spans="1:1" s="287" customFormat="1" ht="12" hidden="1" customHeight="1">
      <c r="A9540" s="286"/>
    </row>
    <row r="9541" spans="1:1" s="287" customFormat="1" ht="12" hidden="1" customHeight="1">
      <c r="A9541" s="286"/>
    </row>
    <row r="9542" spans="1:1" s="287" customFormat="1" ht="12" hidden="1" customHeight="1">
      <c r="A9542" s="286"/>
    </row>
    <row r="9543" spans="1:1" s="287" customFormat="1" ht="12" hidden="1" customHeight="1">
      <c r="A9543" s="286"/>
    </row>
    <row r="9544" spans="1:1" s="287" customFormat="1" ht="12" hidden="1" customHeight="1">
      <c r="A9544" s="286"/>
    </row>
    <row r="9545" spans="1:1" s="287" customFormat="1" ht="12" hidden="1" customHeight="1">
      <c r="A9545" s="286"/>
    </row>
    <row r="9546" spans="1:1" s="287" customFormat="1" ht="12" hidden="1" customHeight="1">
      <c r="A9546" s="286"/>
    </row>
    <row r="9547" spans="1:1" s="287" customFormat="1" ht="12" hidden="1" customHeight="1">
      <c r="A9547" s="286"/>
    </row>
    <row r="9548" spans="1:1" s="287" customFormat="1" ht="12" hidden="1" customHeight="1">
      <c r="A9548" s="286"/>
    </row>
    <row r="9549" spans="1:1" s="287" customFormat="1" ht="12" hidden="1" customHeight="1">
      <c r="A9549" s="286"/>
    </row>
    <row r="9550" spans="1:1" s="287" customFormat="1" ht="12" hidden="1" customHeight="1">
      <c r="A9550" s="286"/>
    </row>
    <row r="9551" spans="1:1" s="287" customFormat="1" ht="12" hidden="1" customHeight="1">
      <c r="A9551" s="286"/>
    </row>
    <row r="9552" spans="1:1" s="287" customFormat="1" ht="12" hidden="1" customHeight="1">
      <c r="A9552" s="286"/>
    </row>
    <row r="9553" spans="1:1" s="287" customFormat="1" ht="12" hidden="1" customHeight="1">
      <c r="A9553" s="286"/>
    </row>
    <row r="9554" spans="1:1" s="287" customFormat="1" ht="12" hidden="1" customHeight="1">
      <c r="A9554" s="286"/>
    </row>
    <row r="9555" spans="1:1" s="287" customFormat="1" ht="12" hidden="1" customHeight="1">
      <c r="A9555" s="286"/>
    </row>
    <row r="9556" spans="1:1" s="287" customFormat="1" ht="12" hidden="1" customHeight="1">
      <c r="A9556" s="286"/>
    </row>
    <row r="9557" spans="1:1" s="287" customFormat="1" ht="12" hidden="1" customHeight="1">
      <c r="A9557" s="286"/>
    </row>
    <row r="9558" spans="1:1" s="287" customFormat="1" ht="12" hidden="1" customHeight="1">
      <c r="A9558" s="286"/>
    </row>
    <row r="9559" spans="1:1" s="287" customFormat="1" ht="12" hidden="1" customHeight="1">
      <c r="A9559" s="286"/>
    </row>
    <row r="9560" spans="1:1" s="287" customFormat="1" ht="12" hidden="1" customHeight="1">
      <c r="A9560" s="286"/>
    </row>
    <row r="9561" spans="1:1" s="287" customFormat="1" ht="12" hidden="1" customHeight="1">
      <c r="A9561" s="286"/>
    </row>
    <row r="9562" spans="1:1" s="287" customFormat="1" ht="12" hidden="1" customHeight="1">
      <c r="A9562" s="286"/>
    </row>
    <row r="9563" spans="1:1" s="287" customFormat="1" ht="12" hidden="1" customHeight="1">
      <c r="A9563" s="286"/>
    </row>
    <row r="9564" spans="1:1" s="287" customFormat="1" ht="12" hidden="1" customHeight="1">
      <c r="A9564" s="286"/>
    </row>
    <row r="9565" spans="1:1" s="287" customFormat="1" ht="12" hidden="1" customHeight="1">
      <c r="A9565" s="286"/>
    </row>
    <row r="9566" spans="1:1" s="287" customFormat="1" ht="12" hidden="1" customHeight="1">
      <c r="A9566" s="286"/>
    </row>
    <row r="9567" spans="1:1" s="287" customFormat="1" ht="12" hidden="1" customHeight="1">
      <c r="A9567" s="286"/>
    </row>
    <row r="9568" spans="1:1" s="287" customFormat="1" ht="12" hidden="1" customHeight="1">
      <c r="A9568" s="286"/>
    </row>
    <row r="9569" spans="1:1" s="287" customFormat="1" ht="12" hidden="1" customHeight="1">
      <c r="A9569" s="286"/>
    </row>
    <row r="9570" spans="1:1" s="287" customFormat="1" ht="12" hidden="1" customHeight="1">
      <c r="A9570" s="286"/>
    </row>
    <row r="9571" spans="1:1" s="287" customFormat="1" ht="12" hidden="1" customHeight="1">
      <c r="A9571" s="286"/>
    </row>
    <row r="9572" spans="1:1" s="287" customFormat="1" ht="12" hidden="1" customHeight="1">
      <c r="A9572" s="286"/>
    </row>
    <row r="9573" spans="1:1" s="287" customFormat="1" ht="12" hidden="1" customHeight="1">
      <c r="A9573" s="286"/>
    </row>
    <row r="9574" spans="1:1" s="287" customFormat="1" ht="12" hidden="1" customHeight="1">
      <c r="A9574" s="286"/>
    </row>
    <row r="9575" spans="1:1" s="287" customFormat="1" ht="12" hidden="1" customHeight="1">
      <c r="A9575" s="286"/>
    </row>
    <row r="9576" spans="1:1" s="287" customFormat="1" ht="12" hidden="1" customHeight="1">
      <c r="A9576" s="286"/>
    </row>
    <row r="9577" spans="1:1" s="287" customFormat="1" ht="12" hidden="1" customHeight="1">
      <c r="A9577" s="286"/>
    </row>
    <row r="9578" spans="1:1" s="287" customFormat="1" ht="12" hidden="1" customHeight="1">
      <c r="A9578" s="286"/>
    </row>
    <row r="9579" spans="1:1" s="287" customFormat="1" ht="12" hidden="1" customHeight="1">
      <c r="A9579" s="286"/>
    </row>
    <row r="9580" spans="1:1" s="287" customFormat="1" ht="12" hidden="1" customHeight="1">
      <c r="A9580" s="286"/>
    </row>
    <row r="9581" spans="1:1" s="287" customFormat="1" ht="12" hidden="1" customHeight="1">
      <c r="A9581" s="286"/>
    </row>
    <row r="9582" spans="1:1" s="287" customFormat="1" ht="12" hidden="1" customHeight="1">
      <c r="A9582" s="286"/>
    </row>
    <row r="9583" spans="1:1" s="287" customFormat="1" ht="12" hidden="1" customHeight="1">
      <c r="A9583" s="286"/>
    </row>
    <row r="9584" spans="1:1" s="287" customFormat="1" ht="12" hidden="1" customHeight="1">
      <c r="A9584" s="286"/>
    </row>
    <row r="9585" spans="1:1" s="287" customFormat="1" ht="12" hidden="1" customHeight="1">
      <c r="A9585" s="286"/>
    </row>
    <row r="9586" spans="1:1" s="287" customFormat="1" ht="12" hidden="1" customHeight="1">
      <c r="A9586" s="286"/>
    </row>
    <row r="9587" spans="1:1" s="287" customFormat="1" ht="12" hidden="1" customHeight="1">
      <c r="A9587" s="286"/>
    </row>
    <row r="9588" spans="1:1" s="287" customFormat="1" ht="12" hidden="1" customHeight="1">
      <c r="A9588" s="286"/>
    </row>
    <row r="9589" spans="1:1" s="287" customFormat="1" ht="12" hidden="1" customHeight="1">
      <c r="A9589" s="286"/>
    </row>
    <row r="9590" spans="1:1" s="287" customFormat="1" ht="12" hidden="1" customHeight="1">
      <c r="A9590" s="286"/>
    </row>
    <row r="9591" spans="1:1" s="287" customFormat="1" ht="12" hidden="1" customHeight="1">
      <c r="A9591" s="286"/>
    </row>
    <row r="9592" spans="1:1" s="287" customFormat="1" ht="12" hidden="1" customHeight="1">
      <c r="A9592" s="286"/>
    </row>
    <row r="9593" spans="1:1" s="287" customFormat="1" ht="12" hidden="1" customHeight="1">
      <c r="A9593" s="286"/>
    </row>
    <row r="9594" spans="1:1" s="287" customFormat="1" ht="12" hidden="1" customHeight="1">
      <c r="A9594" s="286"/>
    </row>
    <row r="9595" spans="1:1" s="287" customFormat="1" ht="12" hidden="1" customHeight="1">
      <c r="A9595" s="286"/>
    </row>
    <row r="9596" spans="1:1" s="287" customFormat="1" ht="12" hidden="1" customHeight="1">
      <c r="A9596" s="286"/>
    </row>
    <row r="9597" spans="1:1" s="287" customFormat="1" ht="12" hidden="1" customHeight="1">
      <c r="A9597" s="286"/>
    </row>
    <row r="9598" spans="1:1" s="287" customFormat="1" ht="12" hidden="1" customHeight="1">
      <c r="A9598" s="286"/>
    </row>
    <row r="9599" spans="1:1" s="287" customFormat="1" ht="12" hidden="1" customHeight="1">
      <c r="A9599" s="286"/>
    </row>
    <row r="9600" spans="1:1" s="287" customFormat="1" ht="12" hidden="1" customHeight="1">
      <c r="A9600" s="286"/>
    </row>
    <row r="9601" spans="1:1" s="287" customFormat="1" ht="12" hidden="1" customHeight="1">
      <c r="A9601" s="286"/>
    </row>
    <row r="9602" spans="1:1" s="287" customFormat="1" ht="12" hidden="1" customHeight="1">
      <c r="A9602" s="286"/>
    </row>
    <row r="9603" spans="1:1" s="287" customFormat="1" ht="12" hidden="1" customHeight="1">
      <c r="A9603" s="286"/>
    </row>
    <row r="9604" spans="1:1" s="287" customFormat="1" ht="12" hidden="1" customHeight="1">
      <c r="A9604" s="286"/>
    </row>
    <row r="9605" spans="1:1" s="287" customFormat="1" ht="12" hidden="1" customHeight="1">
      <c r="A9605" s="286"/>
    </row>
    <row r="9606" spans="1:1" s="287" customFormat="1" ht="12" hidden="1" customHeight="1">
      <c r="A9606" s="286"/>
    </row>
    <row r="9607" spans="1:1" s="287" customFormat="1" ht="12" hidden="1" customHeight="1">
      <c r="A9607" s="286"/>
    </row>
    <row r="9608" spans="1:1" s="287" customFormat="1" ht="12" hidden="1" customHeight="1">
      <c r="A9608" s="286"/>
    </row>
    <row r="9609" spans="1:1" s="287" customFormat="1" ht="12" hidden="1" customHeight="1">
      <c r="A9609" s="286"/>
    </row>
    <row r="9610" spans="1:1" s="287" customFormat="1" ht="12" hidden="1" customHeight="1">
      <c r="A9610" s="286"/>
    </row>
    <row r="9611" spans="1:1" s="287" customFormat="1" ht="12" hidden="1" customHeight="1">
      <c r="A9611" s="286"/>
    </row>
    <row r="9612" spans="1:1" s="287" customFormat="1" ht="12" hidden="1" customHeight="1">
      <c r="A9612" s="286"/>
    </row>
    <row r="9613" spans="1:1" s="287" customFormat="1" ht="12" hidden="1" customHeight="1">
      <c r="A9613" s="286"/>
    </row>
    <row r="9614" spans="1:1" s="287" customFormat="1" ht="12" hidden="1" customHeight="1">
      <c r="A9614" s="286"/>
    </row>
    <row r="9615" spans="1:1" s="287" customFormat="1" ht="12" hidden="1" customHeight="1">
      <c r="A9615" s="286"/>
    </row>
    <row r="9616" spans="1:1" s="287" customFormat="1" ht="12" hidden="1" customHeight="1">
      <c r="A9616" s="286"/>
    </row>
    <row r="9617" spans="1:1" s="287" customFormat="1" ht="12" hidden="1" customHeight="1">
      <c r="A9617" s="286"/>
    </row>
    <row r="9618" spans="1:1" s="287" customFormat="1" ht="12" hidden="1" customHeight="1">
      <c r="A9618" s="286"/>
    </row>
    <row r="9619" spans="1:1" s="287" customFormat="1" ht="12" hidden="1" customHeight="1">
      <c r="A9619" s="286"/>
    </row>
    <row r="9620" spans="1:1" s="287" customFormat="1" ht="12" hidden="1" customHeight="1">
      <c r="A9620" s="286"/>
    </row>
    <row r="9621" spans="1:1" s="287" customFormat="1" ht="12" hidden="1" customHeight="1">
      <c r="A9621" s="286"/>
    </row>
    <row r="9622" spans="1:1" s="287" customFormat="1" ht="12" hidden="1" customHeight="1">
      <c r="A9622" s="286"/>
    </row>
    <row r="9623" spans="1:1" s="287" customFormat="1" ht="12" hidden="1" customHeight="1">
      <c r="A9623" s="286"/>
    </row>
    <row r="9624" spans="1:1" s="287" customFormat="1" ht="12" hidden="1" customHeight="1">
      <c r="A9624" s="286"/>
    </row>
    <row r="9625" spans="1:1" s="287" customFormat="1" ht="12" hidden="1" customHeight="1">
      <c r="A9625" s="286"/>
    </row>
    <row r="9626" spans="1:1" s="287" customFormat="1" ht="12" hidden="1" customHeight="1">
      <c r="A9626" s="286"/>
    </row>
    <row r="9627" spans="1:1" s="287" customFormat="1" ht="12" hidden="1" customHeight="1">
      <c r="A9627" s="286"/>
    </row>
    <row r="9628" spans="1:1" s="287" customFormat="1" ht="12" hidden="1" customHeight="1">
      <c r="A9628" s="286"/>
    </row>
    <row r="9629" spans="1:1" s="287" customFormat="1" ht="12" hidden="1" customHeight="1">
      <c r="A9629" s="286"/>
    </row>
    <row r="9630" spans="1:1" s="287" customFormat="1" ht="12" hidden="1" customHeight="1">
      <c r="A9630" s="286"/>
    </row>
    <row r="9631" spans="1:1" s="287" customFormat="1" ht="12" hidden="1" customHeight="1">
      <c r="A9631" s="286"/>
    </row>
    <row r="9632" spans="1:1" s="287" customFormat="1" ht="12" hidden="1" customHeight="1">
      <c r="A9632" s="286"/>
    </row>
    <row r="9633" spans="1:1" s="287" customFormat="1" ht="12" hidden="1" customHeight="1">
      <c r="A9633" s="286"/>
    </row>
    <row r="9634" spans="1:1" s="287" customFormat="1" ht="12" hidden="1" customHeight="1">
      <c r="A9634" s="286"/>
    </row>
    <row r="9635" spans="1:1" s="287" customFormat="1" ht="12" hidden="1" customHeight="1">
      <c r="A9635" s="286"/>
    </row>
    <row r="9636" spans="1:1" s="287" customFormat="1" ht="12" hidden="1" customHeight="1">
      <c r="A9636" s="286"/>
    </row>
    <row r="9637" spans="1:1" s="287" customFormat="1" ht="12" hidden="1" customHeight="1">
      <c r="A9637" s="286"/>
    </row>
    <row r="9638" spans="1:1" s="287" customFormat="1" ht="12" hidden="1" customHeight="1">
      <c r="A9638" s="286"/>
    </row>
    <row r="9639" spans="1:1" s="287" customFormat="1" ht="12" hidden="1" customHeight="1">
      <c r="A9639" s="286"/>
    </row>
    <row r="9640" spans="1:1" s="287" customFormat="1" ht="12" hidden="1" customHeight="1">
      <c r="A9640" s="286"/>
    </row>
    <row r="9641" spans="1:1" s="287" customFormat="1" ht="12" hidden="1" customHeight="1">
      <c r="A9641" s="286"/>
    </row>
    <row r="9642" spans="1:1" s="287" customFormat="1" ht="12" hidden="1" customHeight="1">
      <c r="A9642" s="286"/>
    </row>
    <row r="9643" spans="1:1" s="287" customFormat="1" ht="12" hidden="1" customHeight="1">
      <c r="A9643" s="286"/>
    </row>
    <row r="9644" spans="1:1" s="287" customFormat="1" ht="12" hidden="1" customHeight="1">
      <c r="A9644" s="286"/>
    </row>
    <row r="9645" spans="1:1" s="287" customFormat="1" ht="12" hidden="1" customHeight="1">
      <c r="A9645" s="286"/>
    </row>
    <row r="9646" spans="1:1" s="287" customFormat="1" ht="12" hidden="1" customHeight="1">
      <c r="A9646" s="286"/>
    </row>
    <row r="9647" spans="1:1" s="287" customFormat="1" ht="12" hidden="1" customHeight="1">
      <c r="A9647" s="286"/>
    </row>
    <row r="9648" spans="1:1" s="287" customFormat="1" ht="12" hidden="1" customHeight="1">
      <c r="A9648" s="286"/>
    </row>
    <row r="9649" spans="1:1" s="287" customFormat="1" ht="12" hidden="1" customHeight="1">
      <c r="A9649" s="286"/>
    </row>
    <row r="9650" spans="1:1" s="287" customFormat="1" ht="12" hidden="1" customHeight="1">
      <c r="A9650" s="286"/>
    </row>
    <row r="9651" spans="1:1" s="287" customFormat="1" ht="12" hidden="1" customHeight="1">
      <c r="A9651" s="286"/>
    </row>
    <row r="9652" spans="1:1" s="287" customFormat="1" ht="12" hidden="1" customHeight="1">
      <c r="A9652" s="286"/>
    </row>
    <row r="9653" spans="1:1" s="287" customFormat="1" ht="12" hidden="1" customHeight="1">
      <c r="A9653" s="286"/>
    </row>
    <row r="9654" spans="1:1" s="287" customFormat="1" ht="12" hidden="1" customHeight="1">
      <c r="A9654" s="286"/>
    </row>
    <row r="9655" spans="1:1" s="287" customFormat="1" ht="12" hidden="1" customHeight="1">
      <c r="A9655" s="286"/>
    </row>
    <row r="9656" spans="1:1" s="287" customFormat="1" ht="12" hidden="1" customHeight="1">
      <c r="A9656" s="286"/>
    </row>
    <row r="9657" spans="1:1" s="287" customFormat="1" ht="12" hidden="1" customHeight="1">
      <c r="A9657" s="286"/>
    </row>
    <row r="9658" spans="1:1" s="287" customFormat="1" ht="12" hidden="1" customHeight="1">
      <c r="A9658" s="286"/>
    </row>
    <row r="9659" spans="1:1" s="287" customFormat="1" ht="12" hidden="1" customHeight="1">
      <c r="A9659" s="286"/>
    </row>
    <row r="9660" spans="1:1" s="287" customFormat="1" ht="12" hidden="1" customHeight="1">
      <c r="A9660" s="286"/>
    </row>
    <row r="9661" spans="1:1" s="287" customFormat="1" ht="12" hidden="1" customHeight="1">
      <c r="A9661" s="286"/>
    </row>
    <row r="9662" spans="1:1" s="287" customFormat="1" ht="12" hidden="1" customHeight="1">
      <c r="A9662" s="286"/>
    </row>
    <row r="9663" spans="1:1" s="287" customFormat="1" ht="12" hidden="1" customHeight="1">
      <c r="A9663" s="286"/>
    </row>
    <row r="9664" spans="1:1" s="287" customFormat="1" ht="12" hidden="1" customHeight="1">
      <c r="A9664" s="286"/>
    </row>
    <row r="9665" spans="1:1" s="287" customFormat="1" ht="12" hidden="1" customHeight="1">
      <c r="A9665" s="286"/>
    </row>
    <row r="9666" spans="1:1" s="287" customFormat="1" ht="12" hidden="1" customHeight="1">
      <c r="A9666" s="286"/>
    </row>
    <row r="9667" spans="1:1" s="287" customFormat="1" ht="12" hidden="1" customHeight="1">
      <c r="A9667" s="286"/>
    </row>
    <row r="9668" spans="1:1" s="287" customFormat="1" ht="12" hidden="1" customHeight="1">
      <c r="A9668" s="286"/>
    </row>
    <row r="9669" spans="1:1" s="287" customFormat="1" ht="12" hidden="1" customHeight="1">
      <c r="A9669" s="286"/>
    </row>
    <row r="9670" spans="1:1" s="287" customFormat="1" ht="12" hidden="1" customHeight="1">
      <c r="A9670" s="286"/>
    </row>
    <row r="9671" spans="1:1" s="287" customFormat="1" ht="12" hidden="1" customHeight="1">
      <c r="A9671" s="286"/>
    </row>
    <row r="9672" spans="1:1" s="287" customFormat="1" ht="12" hidden="1" customHeight="1">
      <c r="A9672" s="286"/>
    </row>
    <row r="9673" spans="1:1" s="287" customFormat="1" ht="12" hidden="1" customHeight="1">
      <c r="A9673" s="286"/>
    </row>
    <row r="9674" spans="1:1" s="287" customFormat="1" ht="12" hidden="1" customHeight="1">
      <c r="A9674" s="286"/>
    </row>
    <row r="9675" spans="1:1" s="287" customFormat="1" ht="12" hidden="1" customHeight="1">
      <c r="A9675" s="286"/>
    </row>
    <row r="9676" spans="1:1" s="287" customFormat="1" ht="12" hidden="1" customHeight="1">
      <c r="A9676" s="286"/>
    </row>
    <row r="9677" spans="1:1" s="287" customFormat="1" ht="12" hidden="1" customHeight="1">
      <c r="A9677" s="286"/>
    </row>
    <row r="9678" spans="1:1" s="287" customFormat="1" ht="12" hidden="1" customHeight="1">
      <c r="A9678" s="286"/>
    </row>
    <row r="9679" spans="1:1" s="287" customFormat="1" ht="12" hidden="1" customHeight="1">
      <c r="A9679" s="286"/>
    </row>
    <row r="9680" spans="1:1" s="287" customFormat="1" ht="12" hidden="1" customHeight="1">
      <c r="A9680" s="286"/>
    </row>
    <row r="9681" spans="1:1" s="287" customFormat="1" ht="12" hidden="1" customHeight="1">
      <c r="A9681" s="286"/>
    </row>
    <row r="9682" spans="1:1" s="287" customFormat="1" ht="12" hidden="1" customHeight="1">
      <c r="A9682" s="286"/>
    </row>
    <row r="9683" spans="1:1" s="287" customFormat="1" ht="12" hidden="1" customHeight="1">
      <c r="A9683" s="286"/>
    </row>
    <row r="9684" spans="1:1" s="287" customFormat="1" ht="12" hidden="1" customHeight="1">
      <c r="A9684" s="286"/>
    </row>
    <row r="9685" spans="1:1" s="287" customFormat="1" ht="12" hidden="1" customHeight="1">
      <c r="A9685" s="286"/>
    </row>
    <row r="9686" spans="1:1" s="287" customFormat="1" ht="12" hidden="1" customHeight="1">
      <c r="A9686" s="286"/>
    </row>
    <row r="9687" spans="1:1" s="287" customFormat="1" ht="12" hidden="1" customHeight="1">
      <c r="A9687" s="286"/>
    </row>
    <row r="9688" spans="1:1" s="287" customFormat="1" ht="12" hidden="1" customHeight="1">
      <c r="A9688" s="286"/>
    </row>
    <row r="9689" spans="1:1" s="287" customFormat="1" ht="12" hidden="1" customHeight="1">
      <c r="A9689" s="286"/>
    </row>
    <row r="9690" spans="1:1" s="287" customFormat="1" ht="12" hidden="1" customHeight="1">
      <c r="A9690" s="286"/>
    </row>
    <row r="9691" spans="1:1" s="287" customFormat="1" ht="12" hidden="1" customHeight="1">
      <c r="A9691" s="286"/>
    </row>
    <row r="9692" spans="1:1" s="287" customFormat="1" ht="12" hidden="1" customHeight="1">
      <c r="A9692" s="286"/>
    </row>
    <row r="9693" spans="1:1" s="287" customFormat="1" ht="12" hidden="1" customHeight="1">
      <c r="A9693" s="286"/>
    </row>
    <row r="9694" spans="1:1" s="287" customFormat="1" ht="12" hidden="1" customHeight="1">
      <c r="A9694" s="286"/>
    </row>
    <row r="9695" spans="1:1" s="287" customFormat="1" ht="12" hidden="1" customHeight="1">
      <c r="A9695" s="286"/>
    </row>
    <row r="9696" spans="1:1" s="287" customFormat="1" ht="12" hidden="1" customHeight="1">
      <c r="A9696" s="286"/>
    </row>
    <row r="9697" spans="1:1" s="287" customFormat="1" ht="12" hidden="1" customHeight="1">
      <c r="A9697" s="286"/>
    </row>
    <row r="9698" spans="1:1" s="287" customFormat="1" ht="12" hidden="1" customHeight="1">
      <c r="A9698" s="286"/>
    </row>
    <row r="9699" spans="1:1" s="287" customFormat="1" ht="12" hidden="1" customHeight="1">
      <c r="A9699" s="286"/>
    </row>
    <row r="9700" spans="1:1" s="287" customFormat="1" ht="12" hidden="1" customHeight="1">
      <c r="A9700" s="286"/>
    </row>
    <row r="9701" spans="1:1" s="287" customFormat="1" ht="12" hidden="1" customHeight="1">
      <c r="A9701" s="286"/>
    </row>
    <row r="9702" spans="1:1" s="287" customFormat="1" ht="12" hidden="1" customHeight="1">
      <c r="A9702" s="286"/>
    </row>
    <row r="9703" spans="1:1" s="287" customFormat="1" ht="12" hidden="1" customHeight="1">
      <c r="A9703" s="286"/>
    </row>
    <row r="9704" spans="1:1" s="287" customFormat="1" ht="12" hidden="1" customHeight="1">
      <c r="A9704" s="286"/>
    </row>
    <row r="9705" spans="1:1" s="287" customFormat="1" ht="12" hidden="1" customHeight="1">
      <c r="A9705" s="286"/>
    </row>
    <row r="9706" spans="1:1" s="287" customFormat="1" ht="12" hidden="1" customHeight="1">
      <c r="A9706" s="286"/>
    </row>
    <row r="9707" spans="1:1" s="287" customFormat="1" ht="12" hidden="1" customHeight="1">
      <c r="A9707" s="286"/>
    </row>
    <row r="9708" spans="1:1" s="287" customFormat="1" ht="12" hidden="1" customHeight="1">
      <c r="A9708" s="286"/>
    </row>
    <row r="9709" spans="1:1" s="287" customFormat="1" ht="12" hidden="1" customHeight="1">
      <c r="A9709" s="286"/>
    </row>
    <row r="9710" spans="1:1" s="287" customFormat="1" ht="12" hidden="1" customHeight="1">
      <c r="A9710" s="286"/>
    </row>
    <row r="9711" spans="1:1" s="287" customFormat="1" ht="12" hidden="1" customHeight="1">
      <c r="A9711" s="286"/>
    </row>
    <row r="9712" spans="1:1" s="287" customFormat="1" ht="12" hidden="1" customHeight="1">
      <c r="A9712" s="286"/>
    </row>
    <row r="9713" spans="1:1" s="287" customFormat="1" ht="12" hidden="1" customHeight="1">
      <c r="A9713" s="286"/>
    </row>
    <row r="9714" spans="1:1" s="287" customFormat="1" ht="12" hidden="1" customHeight="1">
      <c r="A9714" s="286"/>
    </row>
    <row r="9715" spans="1:1" s="287" customFormat="1" ht="12" hidden="1" customHeight="1">
      <c r="A9715" s="286"/>
    </row>
    <row r="9716" spans="1:1" s="287" customFormat="1" ht="12" hidden="1" customHeight="1">
      <c r="A9716" s="286"/>
    </row>
    <row r="9717" spans="1:1" s="287" customFormat="1" ht="12" hidden="1" customHeight="1">
      <c r="A9717" s="286"/>
    </row>
    <row r="9718" spans="1:1" s="287" customFormat="1" ht="12" hidden="1" customHeight="1">
      <c r="A9718" s="286"/>
    </row>
    <row r="9719" spans="1:1" s="287" customFormat="1" ht="12" hidden="1" customHeight="1">
      <c r="A9719" s="286"/>
    </row>
    <row r="9720" spans="1:1" s="287" customFormat="1" ht="12" hidden="1" customHeight="1">
      <c r="A9720" s="286"/>
    </row>
    <row r="9721" spans="1:1" s="287" customFormat="1" ht="12" hidden="1" customHeight="1">
      <c r="A9721" s="286"/>
    </row>
    <row r="9722" spans="1:1" s="287" customFormat="1" ht="12" hidden="1" customHeight="1">
      <c r="A9722" s="286"/>
    </row>
    <row r="9723" spans="1:1" s="287" customFormat="1" ht="12" hidden="1" customHeight="1">
      <c r="A9723" s="286"/>
    </row>
    <row r="9724" spans="1:1" s="287" customFormat="1" ht="12" hidden="1" customHeight="1">
      <c r="A9724" s="286"/>
    </row>
    <row r="9725" spans="1:1" s="287" customFormat="1" ht="12" hidden="1" customHeight="1">
      <c r="A9725" s="286"/>
    </row>
    <row r="9726" spans="1:1" s="287" customFormat="1" ht="12" hidden="1" customHeight="1">
      <c r="A9726" s="286"/>
    </row>
    <row r="9727" spans="1:1" s="287" customFormat="1" ht="12" hidden="1" customHeight="1">
      <c r="A9727" s="286"/>
    </row>
    <row r="9728" spans="1:1" s="287" customFormat="1" ht="12" hidden="1" customHeight="1">
      <c r="A9728" s="286"/>
    </row>
    <row r="9729" spans="1:1" s="287" customFormat="1" ht="12" hidden="1" customHeight="1">
      <c r="A9729" s="286"/>
    </row>
    <row r="9730" spans="1:1" s="287" customFormat="1" ht="12" hidden="1" customHeight="1">
      <c r="A9730" s="286"/>
    </row>
    <row r="9731" spans="1:1" s="287" customFormat="1" ht="12" hidden="1" customHeight="1">
      <c r="A9731" s="286"/>
    </row>
    <row r="9732" spans="1:1" s="287" customFormat="1" ht="12" hidden="1" customHeight="1">
      <c r="A9732" s="286"/>
    </row>
    <row r="9733" spans="1:1" s="287" customFormat="1" ht="12" hidden="1" customHeight="1">
      <c r="A9733" s="286"/>
    </row>
    <row r="9734" spans="1:1" s="287" customFormat="1" ht="12" hidden="1" customHeight="1">
      <c r="A9734" s="286"/>
    </row>
    <row r="9735" spans="1:1" s="287" customFormat="1" ht="12" hidden="1" customHeight="1">
      <c r="A9735" s="286"/>
    </row>
    <row r="9736" spans="1:1" s="287" customFormat="1" ht="12" hidden="1" customHeight="1">
      <c r="A9736" s="286"/>
    </row>
    <row r="9737" spans="1:1" s="287" customFormat="1" ht="12" hidden="1" customHeight="1">
      <c r="A9737" s="286"/>
    </row>
    <row r="9738" spans="1:1" s="287" customFormat="1" ht="12" hidden="1" customHeight="1">
      <c r="A9738" s="286"/>
    </row>
    <row r="9739" spans="1:1" s="287" customFormat="1" ht="12" hidden="1" customHeight="1">
      <c r="A9739" s="286"/>
    </row>
    <row r="9740" spans="1:1" s="287" customFormat="1" ht="12" hidden="1" customHeight="1">
      <c r="A9740" s="286"/>
    </row>
    <row r="9741" spans="1:1" s="287" customFormat="1" ht="12" hidden="1" customHeight="1">
      <c r="A9741" s="286"/>
    </row>
    <row r="9742" spans="1:1" s="287" customFormat="1" ht="12" hidden="1" customHeight="1">
      <c r="A9742" s="286"/>
    </row>
    <row r="9743" spans="1:1" s="287" customFormat="1" ht="12" hidden="1" customHeight="1">
      <c r="A9743" s="286"/>
    </row>
    <row r="9744" spans="1:1" s="287" customFormat="1" ht="12" hidden="1" customHeight="1">
      <c r="A9744" s="286"/>
    </row>
    <row r="9745" spans="1:1" s="287" customFormat="1" ht="12" hidden="1" customHeight="1">
      <c r="A9745" s="286"/>
    </row>
    <row r="9746" spans="1:1" s="287" customFormat="1" ht="12" hidden="1" customHeight="1">
      <c r="A9746" s="286"/>
    </row>
    <row r="9747" spans="1:1" s="287" customFormat="1" ht="12" hidden="1" customHeight="1">
      <c r="A9747" s="286"/>
    </row>
    <row r="9748" spans="1:1" s="287" customFormat="1" ht="12" hidden="1" customHeight="1">
      <c r="A9748" s="286"/>
    </row>
    <row r="9749" spans="1:1" s="287" customFormat="1" ht="12" hidden="1" customHeight="1">
      <c r="A9749" s="286"/>
    </row>
    <row r="9750" spans="1:1" s="287" customFormat="1" ht="12" hidden="1" customHeight="1">
      <c r="A9750" s="286"/>
    </row>
    <row r="9751" spans="1:1" s="287" customFormat="1" ht="12" hidden="1" customHeight="1">
      <c r="A9751" s="286"/>
    </row>
    <row r="9752" spans="1:1" s="287" customFormat="1" ht="12" hidden="1" customHeight="1">
      <c r="A9752" s="286"/>
    </row>
    <row r="9753" spans="1:1" s="287" customFormat="1" ht="12" hidden="1" customHeight="1">
      <c r="A9753" s="286"/>
    </row>
    <row r="9754" spans="1:1" s="287" customFormat="1" ht="12" hidden="1" customHeight="1">
      <c r="A9754" s="286"/>
    </row>
    <row r="9755" spans="1:1" s="287" customFormat="1" ht="12" hidden="1" customHeight="1">
      <c r="A9755" s="286"/>
    </row>
    <row r="9756" spans="1:1" s="287" customFormat="1" ht="12" hidden="1" customHeight="1">
      <c r="A9756" s="286"/>
    </row>
    <row r="9757" spans="1:1" s="287" customFormat="1" ht="12" hidden="1" customHeight="1">
      <c r="A9757" s="286"/>
    </row>
    <row r="9758" spans="1:1" s="287" customFormat="1" ht="12" hidden="1" customHeight="1">
      <c r="A9758" s="286"/>
    </row>
    <row r="9759" spans="1:1" s="287" customFormat="1" ht="12" hidden="1" customHeight="1">
      <c r="A9759" s="286"/>
    </row>
    <row r="9760" spans="1:1" s="287" customFormat="1" ht="12" hidden="1" customHeight="1">
      <c r="A9760" s="286"/>
    </row>
    <row r="9761" spans="1:1" s="287" customFormat="1" ht="12" hidden="1" customHeight="1">
      <c r="A9761" s="286"/>
    </row>
    <row r="9762" spans="1:1" s="287" customFormat="1" ht="12" hidden="1" customHeight="1">
      <c r="A9762" s="286"/>
    </row>
    <row r="9763" spans="1:1" s="287" customFormat="1" ht="12" hidden="1" customHeight="1">
      <c r="A9763" s="286"/>
    </row>
    <row r="9764" spans="1:1" s="287" customFormat="1" ht="12" hidden="1" customHeight="1">
      <c r="A9764" s="286"/>
    </row>
    <row r="9765" spans="1:1" s="287" customFormat="1" ht="12" hidden="1" customHeight="1">
      <c r="A9765" s="286"/>
    </row>
    <row r="9766" spans="1:1" s="287" customFormat="1" ht="12" hidden="1" customHeight="1">
      <c r="A9766" s="286"/>
    </row>
    <row r="9767" spans="1:1" s="287" customFormat="1" ht="12" hidden="1" customHeight="1">
      <c r="A9767" s="286"/>
    </row>
    <row r="9768" spans="1:1" s="287" customFormat="1" ht="12" hidden="1" customHeight="1">
      <c r="A9768" s="286"/>
    </row>
    <row r="9769" spans="1:1" s="287" customFormat="1" ht="12" hidden="1" customHeight="1">
      <c r="A9769" s="286"/>
    </row>
    <row r="9770" spans="1:1" s="287" customFormat="1" ht="12" hidden="1" customHeight="1">
      <c r="A9770" s="286"/>
    </row>
    <row r="9771" spans="1:1" s="287" customFormat="1" ht="12" hidden="1" customHeight="1">
      <c r="A9771" s="286"/>
    </row>
    <row r="9772" spans="1:1" s="287" customFormat="1" ht="12" hidden="1" customHeight="1">
      <c r="A9772" s="286"/>
    </row>
    <row r="9773" spans="1:1" s="287" customFormat="1" ht="12" hidden="1" customHeight="1">
      <c r="A9773" s="286"/>
    </row>
    <row r="9774" spans="1:1" s="287" customFormat="1" ht="12" hidden="1" customHeight="1">
      <c r="A9774" s="286"/>
    </row>
    <row r="9775" spans="1:1" s="287" customFormat="1" ht="12" hidden="1" customHeight="1">
      <c r="A9775" s="286"/>
    </row>
    <row r="9776" spans="1:1" s="287" customFormat="1" ht="12" hidden="1" customHeight="1">
      <c r="A9776" s="286"/>
    </row>
    <row r="9777" spans="1:1" s="287" customFormat="1" ht="12" hidden="1" customHeight="1">
      <c r="A9777" s="286"/>
    </row>
    <row r="9778" spans="1:1" s="287" customFormat="1" ht="12" hidden="1" customHeight="1">
      <c r="A9778" s="286"/>
    </row>
    <row r="9779" spans="1:1" s="287" customFormat="1" ht="12" hidden="1" customHeight="1">
      <c r="A9779" s="286"/>
    </row>
    <row r="9780" spans="1:1" s="287" customFormat="1" ht="12" hidden="1" customHeight="1">
      <c r="A9780" s="286"/>
    </row>
    <row r="9781" spans="1:1" s="287" customFormat="1" ht="12" hidden="1" customHeight="1">
      <c r="A9781" s="286"/>
    </row>
    <row r="9782" spans="1:1" s="287" customFormat="1" ht="12" hidden="1" customHeight="1">
      <c r="A9782" s="286"/>
    </row>
    <row r="9783" spans="1:1" s="287" customFormat="1" ht="12" hidden="1" customHeight="1">
      <c r="A9783" s="286"/>
    </row>
    <row r="9784" spans="1:1" s="287" customFormat="1" ht="12" hidden="1" customHeight="1">
      <c r="A9784" s="286"/>
    </row>
    <row r="9785" spans="1:1" s="287" customFormat="1" ht="12" hidden="1" customHeight="1">
      <c r="A9785" s="286"/>
    </row>
    <row r="9786" spans="1:1" s="287" customFormat="1" ht="12" hidden="1" customHeight="1">
      <c r="A9786" s="286"/>
    </row>
    <row r="9787" spans="1:1" s="287" customFormat="1" ht="12" hidden="1" customHeight="1">
      <c r="A9787" s="286"/>
    </row>
    <row r="9788" spans="1:1" s="287" customFormat="1" ht="12" hidden="1" customHeight="1">
      <c r="A9788" s="286"/>
    </row>
    <row r="9789" spans="1:1" s="287" customFormat="1" ht="12" hidden="1" customHeight="1">
      <c r="A9789" s="286"/>
    </row>
    <row r="9790" spans="1:1" s="287" customFormat="1" ht="12" hidden="1" customHeight="1">
      <c r="A9790" s="286"/>
    </row>
    <row r="9791" spans="1:1" s="287" customFormat="1" ht="12" hidden="1" customHeight="1">
      <c r="A9791" s="286"/>
    </row>
    <row r="9792" spans="1:1" s="287" customFormat="1" ht="12" hidden="1" customHeight="1">
      <c r="A9792" s="286"/>
    </row>
    <row r="9793" spans="1:1" s="287" customFormat="1" ht="12" hidden="1" customHeight="1">
      <c r="A9793" s="286"/>
    </row>
    <row r="9794" spans="1:1" s="287" customFormat="1" ht="12" hidden="1" customHeight="1">
      <c r="A9794" s="286"/>
    </row>
    <row r="9795" spans="1:1" s="287" customFormat="1" ht="12" hidden="1" customHeight="1">
      <c r="A9795" s="286"/>
    </row>
    <row r="9796" spans="1:1" s="287" customFormat="1" ht="12" hidden="1" customHeight="1">
      <c r="A9796" s="286"/>
    </row>
    <row r="9797" spans="1:1" s="287" customFormat="1" ht="12" hidden="1" customHeight="1">
      <c r="A9797" s="286"/>
    </row>
    <row r="9798" spans="1:1" s="287" customFormat="1" ht="12" hidden="1" customHeight="1">
      <c r="A9798" s="286"/>
    </row>
    <row r="9799" spans="1:1" s="287" customFormat="1" ht="12" hidden="1" customHeight="1">
      <c r="A9799" s="286"/>
    </row>
    <row r="9800" spans="1:1" s="287" customFormat="1" ht="12" hidden="1" customHeight="1">
      <c r="A9800" s="286"/>
    </row>
    <row r="9801" spans="1:1" s="287" customFormat="1" ht="12" hidden="1" customHeight="1">
      <c r="A9801" s="286"/>
    </row>
    <row r="9802" spans="1:1" s="287" customFormat="1" ht="12" hidden="1" customHeight="1">
      <c r="A9802" s="286"/>
    </row>
    <row r="9803" spans="1:1" s="287" customFormat="1" ht="12" hidden="1" customHeight="1">
      <c r="A9803" s="286"/>
    </row>
    <row r="9804" spans="1:1" s="287" customFormat="1" ht="12" hidden="1" customHeight="1">
      <c r="A9804" s="286"/>
    </row>
    <row r="9805" spans="1:1" s="287" customFormat="1" ht="12" hidden="1" customHeight="1">
      <c r="A9805" s="286"/>
    </row>
    <row r="9806" spans="1:1" s="287" customFormat="1" ht="12" hidden="1" customHeight="1">
      <c r="A9806" s="286"/>
    </row>
    <row r="9807" spans="1:1" s="287" customFormat="1" ht="12" hidden="1" customHeight="1">
      <c r="A9807" s="286"/>
    </row>
    <row r="9808" spans="1:1" s="287" customFormat="1" ht="12" hidden="1" customHeight="1">
      <c r="A9808" s="286"/>
    </row>
    <row r="9809" spans="1:1" s="287" customFormat="1" ht="12" hidden="1" customHeight="1">
      <c r="A9809" s="286"/>
    </row>
    <row r="9810" spans="1:1" s="287" customFormat="1" ht="12" hidden="1" customHeight="1">
      <c r="A9810" s="286"/>
    </row>
    <row r="9811" spans="1:1" s="287" customFormat="1" ht="12" hidden="1" customHeight="1">
      <c r="A9811" s="286"/>
    </row>
    <row r="9812" spans="1:1" s="287" customFormat="1" ht="12" hidden="1" customHeight="1">
      <c r="A9812" s="286"/>
    </row>
    <row r="9813" spans="1:1" s="287" customFormat="1" ht="12" hidden="1" customHeight="1">
      <c r="A9813" s="286"/>
    </row>
    <row r="9814" spans="1:1" s="287" customFormat="1" ht="12" hidden="1" customHeight="1">
      <c r="A9814" s="286"/>
    </row>
    <row r="9815" spans="1:1" s="287" customFormat="1" ht="12" hidden="1" customHeight="1">
      <c r="A9815" s="286"/>
    </row>
    <row r="9816" spans="1:1" s="287" customFormat="1" ht="12" hidden="1" customHeight="1">
      <c r="A9816" s="286"/>
    </row>
    <row r="9817" spans="1:1" s="287" customFormat="1" ht="12" hidden="1" customHeight="1">
      <c r="A9817" s="286"/>
    </row>
    <row r="9818" spans="1:1" s="287" customFormat="1" ht="12" hidden="1" customHeight="1">
      <c r="A9818" s="286"/>
    </row>
    <row r="9819" spans="1:1" s="287" customFormat="1" ht="12" hidden="1" customHeight="1">
      <c r="A9819" s="286"/>
    </row>
    <row r="9820" spans="1:1" s="287" customFormat="1" ht="12" hidden="1" customHeight="1">
      <c r="A9820" s="286"/>
    </row>
    <row r="9821" spans="1:1" s="287" customFormat="1" ht="12" hidden="1" customHeight="1">
      <c r="A9821" s="286"/>
    </row>
    <row r="9822" spans="1:1" s="287" customFormat="1" ht="12" hidden="1" customHeight="1">
      <c r="A9822" s="286"/>
    </row>
    <row r="9823" spans="1:1" s="287" customFormat="1" ht="12" hidden="1" customHeight="1">
      <c r="A9823" s="286"/>
    </row>
    <row r="9824" spans="1:1" s="287" customFormat="1" ht="12" hidden="1" customHeight="1">
      <c r="A9824" s="286"/>
    </row>
    <row r="9825" spans="1:1" s="287" customFormat="1" ht="12" hidden="1" customHeight="1">
      <c r="A9825" s="286"/>
    </row>
    <row r="9826" spans="1:1" s="287" customFormat="1" ht="12" hidden="1" customHeight="1">
      <c r="A9826" s="286"/>
    </row>
    <row r="9827" spans="1:1" s="287" customFormat="1" ht="12" hidden="1" customHeight="1">
      <c r="A9827" s="286"/>
    </row>
    <row r="9828" spans="1:1" s="287" customFormat="1" ht="12" hidden="1" customHeight="1">
      <c r="A9828" s="286"/>
    </row>
    <row r="9829" spans="1:1" s="287" customFormat="1" ht="12" hidden="1" customHeight="1">
      <c r="A9829" s="286"/>
    </row>
    <row r="9830" spans="1:1" s="287" customFormat="1" ht="12" hidden="1" customHeight="1">
      <c r="A9830" s="286"/>
    </row>
    <row r="9831" spans="1:1" s="287" customFormat="1" ht="12" hidden="1" customHeight="1">
      <c r="A9831" s="286"/>
    </row>
    <row r="9832" spans="1:1" s="287" customFormat="1" ht="12" hidden="1" customHeight="1">
      <c r="A9832" s="286"/>
    </row>
    <row r="9833" spans="1:1" s="287" customFormat="1" ht="12" hidden="1" customHeight="1">
      <c r="A9833" s="286"/>
    </row>
    <row r="9834" spans="1:1" s="287" customFormat="1" ht="12" hidden="1" customHeight="1">
      <c r="A9834" s="286"/>
    </row>
    <row r="9835" spans="1:1" s="287" customFormat="1" ht="12" hidden="1" customHeight="1">
      <c r="A9835" s="286"/>
    </row>
    <row r="9836" spans="1:1" s="287" customFormat="1" ht="12" hidden="1" customHeight="1">
      <c r="A9836" s="286"/>
    </row>
    <row r="9837" spans="1:1" s="287" customFormat="1" ht="12" hidden="1" customHeight="1">
      <c r="A9837" s="286"/>
    </row>
    <row r="9838" spans="1:1" s="287" customFormat="1" ht="12" hidden="1" customHeight="1">
      <c r="A9838" s="286"/>
    </row>
    <row r="9839" spans="1:1" s="287" customFormat="1" ht="12" hidden="1" customHeight="1">
      <c r="A9839" s="286"/>
    </row>
    <row r="9840" spans="1:1" s="287" customFormat="1" ht="12" hidden="1" customHeight="1">
      <c r="A9840" s="286"/>
    </row>
    <row r="9841" spans="1:1" s="287" customFormat="1" ht="12" hidden="1" customHeight="1">
      <c r="A9841" s="286"/>
    </row>
    <row r="9842" spans="1:1" s="287" customFormat="1" ht="12" hidden="1" customHeight="1">
      <c r="A9842" s="286"/>
    </row>
    <row r="9843" spans="1:1" s="287" customFormat="1" ht="12" hidden="1" customHeight="1">
      <c r="A9843" s="286"/>
    </row>
    <row r="9844" spans="1:1" s="287" customFormat="1" ht="12" hidden="1" customHeight="1">
      <c r="A9844" s="286"/>
    </row>
    <row r="9845" spans="1:1" s="287" customFormat="1" ht="12" hidden="1" customHeight="1">
      <c r="A9845" s="286"/>
    </row>
    <row r="9846" spans="1:1" s="287" customFormat="1" ht="12" hidden="1" customHeight="1">
      <c r="A9846" s="286"/>
    </row>
    <row r="9847" spans="1:1" s="287" customFormat="1" ht="12" hidden="1" customHeight="1">
      <c r="A9847" s="286"/>
    </row>
    <row r="9848" spans="1:1" s="287" customFormat="1" ht="12" hidden="1" customHeight="1">
      <c r="A9848" s="286"/>
    </row>
    <row r="9849" spans="1:1" s="287" customFormat="1" ht="12" hidden="1" customHeight="1">
      <c r="A9849" s="286"/>
    </row>
    <row r="9850" spans="1:1" s="287" customFormat="1" ht="12" hidden="1" customHeight="1">
      <c r="A9850" s="286"/>
    </row>
    <row r="9851" spans="1:1" s="287" customFormat="1" ht="12" hidden="1" customHeight="1">
      <c r="A9851" s="286"/>
    </row>
    <row r="9852" spans="1:1" s="287" customFormat="1" ht="12" hidden="1" customHeight="1">
      <c r="A9852" s="286"/>
    </row>
    <row r="9853" spans="1:1" s="287" customFormat="1" ht="12" hidden="1" customHeight="1">
      <c r="A9853" s="286"/>
    </row>
    <row r="9854" spans="1:1" s="287" customFormat="1" ht="12" hidden="1" customHeight="1">
      <c r="A9854" s="286"/>
    </row>
    <row r="9855" spans="1:1" s="287" customFormat="1" ht="12" hidden="1" customHeight="1">
      <c r="A9855" s="286"/>
    </row>
    <row r="9856" spans="1:1" s="287" customFormat="1" ht="12" hidden="1" customHeight="1">
      <c r="A9856" s="286"/>
    </row>
    <row r="9857" spans="1:1" s="287" customFormat="1" ht="12" hidden="1" customHeight="1">
      <c r="A9857" s="286"/>
    </row>
    <row r="9858" spans="1:1" s="287" customFormat="1" ht="12" hidden="1" customHeight="1">
      <c r="A9858" s="286"/>
    </row>
    <row r="9859" spans="1:1" s="287" customFormat="1" ht="12" hidden="1" customHeight="1">
      <c r="A9859" s="286"/>
    </row>
    <row r="9860" spans="1:1" s="287" customFormat="1" ht="12" hidden="1" customHeight="1">
      <c r="A9860" s="286"/>
    </row>
    <row r="9861" spans="1:1" s="287" customFormat="1" ht="12" hidden="1" customHeight="1">
      <c r="A9861" s="286"/>
    </row>
    <row r="9862" spans="1:1" s="287" customFormat="1" ht="12" hidden="1" customHeight="1">
      <c r="A9862" s="286"/>
    </row>
    <row r="9863" spans="1:1" s="287" customFormat="1" ht="12" hidden="1" customHeight="1">
      <c r="A9863" s="286"/>
    </row>
    <row r="9864" spans="1:1" s="287" customFormat="1" ht="12" hidden="1" customHeight="1">
      <c r="A9864" s="286"/>
    </row>
    <row r="9865" spans="1:1" s="287" customFormat="1" ht="12" hidden="1" customHeight="1">
      <c r="A9865" s="286"/>
    </row>
    <row r="9866" spans="1:1" s="287" customFormat="1" ht="12" hidden="1" customHeight="1">
      <c r="A9866" s="286"/>
    </row>
    <row r="9867" spans="1:1" s="287" customFormat="1" ht="12" hidden="1" customHeight="1">
      <c r="A9867" s="286"/>
    </row>
    <row r="9868" spans="1:1" s="287" customFormat="1" ht="12" hidden="1" customHeight="1">
      <c r="A9868" s="286"/>
    </row>
    <row r="9869" spans="1:1" s="287" customFormat="1" ht="12" hidden="1" customHeight="1">
      <c r="A9869" s="286"/>
    </row>
    <row r="9870" spans="1:1" s="287" customFormat="1" ht="12" hidden="1" customHeight="1">
      <c r="A9870" s="286"/>
    </row>
    <row r="9871" spans="1:1" s="287" customFormat="1" ht="12" hidden="1" customHeight="1">
      <c r="A9871" s="286"/>
    </row>
    <row r="9872" spans="1:1" s="287" customFormat="1" ht="12" hidden="1" customHeight="1">
      <c r="A9872" s="286"/>
    </row>
    <row r="9873" spans="1:1" s="287" customFormat="1" ht="12" hidden="1" customHeight="1">
      <c r="A9873" s="286"/>
    </row>
    <row r="9874" spans="1:1" s="287" customFormat="1" ht="12" hidden="1" customHeight="1">
      <c r="A9874" s="286"/>
    </row>
    <row r="9875" spans="1:1" s="287" customFormat="1" ht="12" hidden="1" customHeight="1">
      <c r="A9875" s="286"/>
    </row>
    <row r="9876" spans="1:1" s="287" customFormat="1" ht="12" hidden="1" customHeight="1">
      <c r="A9876" s="286"/>
    </row>
    <row r="9877" spans="1:1" s="287" customFormat="1" ht="12" hidden="1" customHeight="1">
      <c r="A9877" s="286"/>
    </row>
    <row r="9878" spans="1:1" s="287" customFormat="1" ht="12" hidden="1" customHeight="1">
      <c r="A9878" s="286"/>
    </row>
    <row r="9879" spans="1:1" s="287" customFormat="1" ht="12" hidden="1" customHeight="1">
      <c r="A9879" s="286"/>
    </row>
    <row r="9880" spans="1:1" s="287" customFormat="1" ht="12" hidden="1" customHeight="1">
      <c r="A9880" s="286"/>
    </row>
    <row r="9881" spans="1:1" s="287" customFormat="1" ht="12" hidden="1" customHeight="1">
      <c r="A9881" s="286"/>
    </row>
    <row r="9882" spans="1:1" s="287" customFormat="1" ht="12" hidden="1" customHeight="1">
      <c r="A9882" s="286"/>
    </row>
    <row r="9883" spans="1:1" s="287" customFormat="1" ht="12" hidden="1" customHeight="1">
      <c r="A9883" s="286"/>
    </row>
    <row r="9884" spans="1:1" s="287" customFormat="1" ht="12" hidden="1" customHeight="1">
      <c r="A9884" s="286"/>
    </row>
    <row r="9885" spans="1:1" s="287" customFormat="1" ht="12" hidden="1" customHeight="1">
      <c r="A9885" s="286"/>
    </row>
    <row r="9886" spans="1:1" s="287" customFormat="1" ht="12" hidden="1" customHeight="1">
      <c r="A9886" s="286"/>
    </row>
    <row r="9887" spans="1:1" s="287" customFormat="1" ht="12" hidden="1" customHeight="1">
      <c r="A9887" s="286"/>
    </row>
    <row r="9888" spans="1:1" s="287" customFormat="1" ht="12" hidden="1" customHeight="1">
      <c r="A9888" s="286"/>
    </row>
    <row r="9889" spans="1:1" s="287" customFormat="1" ht="12" hidden="1" customHeight="1">
      <c r="A9889" s="286"/>
    </row>
    <row r="9890" spans="1:1" s="287" customFormat="1" ht="12" hidden="1" customHeight="1">
      <c r="A9890" s="286"/>
    </row>
    <row r="9891" spans="1:1" s="287" customFormat="1" ht="12" hidden="1" customHeight="1">
      <c r="A9891" s="286"/>
    </row>
    <row r="9892" spans="1:1" s="287" customFormat="1" ht="12" hidden="1" customHeight="1">
      <c r="A9892" s="286"/>
    </row>
    <row r="9893" spans="1:1" s="287" customFormat="1" ht="12" hidden="1" customHeight="1">
      <c r="A9893" s="286"/>
    </row>
    <row r="9894" spans="1:1" s="287" customFormat="1" ht="12" hidden="1" customHeight="1">
      <c r="A9894" s="286"/>
    </row>
    <row r="9895" spans="1:1" s="287" customFormat="1" ht="12" hidden="1" customHeight="1">
      <c r="A9895" s="286"/>
    </row>
    <row r="9896" spans="1:1" s="287" customFormat="1" ht="12" hidden="1" customHeight="1">
      <c r="A9896" s="286"/>
    </row>
    <row r="9897" spans="1:1" s="287" customFormat="1" ht="12" hidden="1" customHeight="1">
      <c r="A9897" s="286"/>
    </row>
    <row r="9898" spans="1:1" s="287" customFormat="1" ht="12" hidden="1" customHeight="1">
      <c r="A9898" s="286"/>
    </row>
    <row r="9899" spans="1:1" s="287" customFormat="1" ht="12" hidden="1" customHeight="1">
      <c r="A9899" s="286"/>
    </row>
    <row r="9900" spans="1:1" s="287" customFormat="1" ht="12" hidden="1" customHeight="1">
      <c r="A9900" s="286"/>
    </row>
    <row r="9901" spans="1:1" s="287" customFormat="1" ht="12" hidden="1" customHeight="1">
      <c r="A9901" s="286"/>
    </row>
    <row r="9902" spans="1:1" s="287" customFormat="1" ht="12" hidden="1" customHeight="1">
      <c r="A9902" s="286"/>
    </row>
    <row r="9903" spans="1:1" s="287" customFormat="1" ht="12" hidden="1" customHeight="1">
      <c r="A9903" s="286"/>
    </row>
    <row r="9904" spans="1:1" s="287" customFormat="1" ht="12" hidden="1" customHeight="1">
      <c r="A9904" s="286"/>
    </row>
    <row r="9905" spans="1:1" s="287" customFormat="1" ht="12" hidden="1" customHeight="1">
      <c r="A9905" s="286"/>
    </row>
    <row r="9906" spans="1:1" s="287" customFormat="1" ht="12" hidden="1" customHeight="1">
      <c r="A9906" s="286"/>
    </row>
    <row r="9907" spans="1:1" s="287" customFormat="1" ht="12" hidden="1" customHeight="1">
      <c r="A9907" s="286"/>
    </row>
    <row r="9908" spans="1:1" s="287" customFormat="1" ht="12" hidden="1" customHeight="1">
      <c r="A9908" s="286"/>
    </row>
    <row r="9909" spans="1:1" s="287" customFormat="1" ht="12" hidden="1" customHeight="1">
      <c r="A9909" s="286"/>
    </row>
    <row r="9910" spans="1:1" s="287" customFormat="1" ht="12" hidden="1" customHeight="1">
      <c r="A9910" s="286"/>
    </row>
    <row r="9911" spans="1:1" s="287" customFormat="1" ht="12" hidden="1" customHeight="1">
      <c r="A9911" s="286"/>
    </row>
    <row r="9912" spans="1:1" s="287" customFormat="1" ht="12" hidden="1" customHeight="1">
      <c r="A9912" s="286"/>
    </row>
    <row r="9913" spans="1:1" s="287" customFormat="1" ht="12" hidden="1" customHeight="1">
      <c r="A9913" s="286"/>
    </row>
    <row r="9914" spans="1:1" s="287" customFormat="1" ht="12" hidden="1" customHeight="1">
      <c r="A9914" s="286"/>
    </row>
    <row r="9915" spans="1:1" s="287" customFormat="1" ht="12" hidden="1" customHeight="1">
      <c r="A9915" s="286"/>
    </row>
    <row r="9916" spans="1:1" s="287" customFormat="1" ht="12" hidden="1" customHeight="1">
      <c r="A9916" s="286"/>
    </row>
    <row r="9917" spans="1:1" s="287" customFormat="1" ht="12" hidden="1" customHeight="1">
      <c r="A9917" s="286"/>
    </row>
    <row r="9918" spans="1:1" s="287" customFormat="1" ht="12" hidden="1" customHeight="1">
      <c r="A9918" s="286"/>
    </row>
    <row r="9919" spans="1:1" s="287" customFormat="1" ht="12" hidden="1" customHeight="1">
      <c r="A9919" s="286"/>
    </row>
    <row r="9920" spans="1:1" s="287" customFormat="1" ht="12" hidden="1" customHeight="1">
      <c r="A9920" s="286"/>
    </row>
    <row r="9921" spans="1:1" s="287" customFormat="1" ht="12" hidden="1" customHeight="1">
      <c r="A9921" s="286"/>
    </row>
    <row r="9922" spans="1:1" s="287" customFormat="1" ht="12" hidden="1" customHeight="1">
      <c r="A9922" s="286"/>
    </row>
    <row r="9923" spans="1:1" s="287" customFormat="1" ht="12" hidden="1" customHeight="1">
      <c r="A9923" s="286"/>
    </row>
    <row r="9924" spans="1:1" s="287" customFormat="1" ht="12" hidden="1" customHeight="1">
      <c r="A9924" s="286"/>
    </row>
    <row r="9925" spans="1:1" s="287" customFormat="1" ht="12" hidden="1" customHeight="1">
      <c r="A9925" s="286"/>
    </row>
    <row r="9926" spans="1:1" s="287" customFormat="1" ht="12" hidden="1" customHeight="1">
      <c r="A9926" s="286"/>
    </row>
    <row r="9927" spans="1:1" s="287" customFormat="1" ht="12" hidden="1" customHeight="1">
      <c r="A9927" s="286"/>
    </row>
    <row r="9928" spans="1:1" s="287" customFormat="1" ht="12" hidden="1" customHeight="1">
      <c r="A9928" s="286"/>
    </row>
    <row r="9929" spans="1:1" s="287" customFormat="1" ht="12" hidden="1" customHeight="1">
      <c r="A9929" s="286"/>
    </row>
    <row r="9930" spans="1:1" s="287" customFormat="1" ht="12" hidden="1" customHeight="1">
      <c r="A9930" s="286"/>
    </row>
    <row r="9931" spans="1:1" s="287" customFormat="1" ht="12" hidden="1" customHeight="1">
      <c r="A9931" s="286"/>
    </row>
    <row r="9932" spans="1:1" s="287" customFormat="1" ht="12" hidden="1" customHeight="1">
      <c r="A9932" s="286"/>
    </row>
    <row r="9933" spans="1:1" s="287" customFormat="1" ht="12" hidden="1" customHeight="1">
      <c r="A9933" s="286"/>
    </row>
    <row r="9934" spans="1:1" s="287" customFormat="1" ht="12" hidden="1" customHeight="1">
      <c r="A9934" s="286"/>
    </row>
    <row r="9935" spans="1:1" s="287" customFormat="1" ht="12" hidden="1" customHeight="1">
      <c r="A9935" s="286"/>
    </row>
    <row r="9936" spans="1:1" s="287" customFormat="1" ht="12" hidden="1" customHeight="1">
      <c r="A9936" s="286"/>
    </row>
    <row r="9937" spans="1:1" s="287" customFormat="1" ht="12" hidden="1" customHeight="1">
      <c r="A9937" s="286"/>
    </row>
    <row r="9938" spans="1:1" s="287" customFormat="1" ht="12" hidden="1" customHeight="1">
      <c r="A9938" s="286"/>
    </row>
    <row r="9939" spans="1:1" s="287" customFormat="1" ht="12" hidden="1" customHeight="1">
      <c r="A9939" s="286"/>
    </row>
    <row r="9940" spans="1:1" s="287" customFormat="1" ht="12" hidden="1" customHeight="1">
      <c r="A9940" s="286"/>
    </row>
    <row r="9941" spans="1:1" s="287" customFormat="1" ht="12" hidden="1" customHeight="1">
      <c r="A9941" s="286"/>
    </row>
    <row r="9942" spans="1:1" s="287" customFormat="1" ht="12" hidden="1" customHeight="1">
      <c r="A9942" s="286"/>
    </row>
    <row r="9943" spans="1:1" s="287" customFormat="1" ht="12" hidden="1" customHeight="1">
      <c r="A9943" s="286"/>
    </row>
    <row r="9944" spans="1:1" s="287" customFormat="1" ht="12" hidden="1" customHeight="1">
      <c r="A9944" s="286"/>
    </row>
    <row r="9945" spans="1:1" s="287" customFormat="1" ht="12" hidden="1" customHeight="1">
      <c r="A9945" s="286"/>
    </row>
    <row r="9946" spans="1:1" s="287" customFormat="1" ht="12" hidden="1" customHeight="1">
      <c r="A9946" s="286"/>
    </row>
    <row r="9947" spans="1:1" s="287" customFormat="1" ht="12" hidden="1" customHeight="1">
      <c r="A9947" s="286"/>
    </row>
    <row r="9948" spans="1:1" s="287" customFormat="1" ht="12" hidden="1" customHeight="1">
      <c r="A9948" s="286"/>
    </row>
    <row r="9949" spans="1:1" s="287" customFormat="1" ht="12" hidden="1" customHeight="1">
      <c r="A9949" s="286"/>
    </row>
    <row r="9950" spans="1:1" s="287" customFormat="1" ht="12" hidden="1" customHeight="1">
      <c r="A9950" s="286"/>
    </row>
    <row r="9951" spans="1:1" s="287" customFormat="1" ht="12" hidden="1" customHeight="1">
      <c r="A9951" s="286"/>
    </row>
    <row r="9952" spans="1:1" s="287" customFormat="1" ht="12" hidden="1" customHeight="1">
      <c r="A9952" s="286"/>
    </row>
    <row r="9953" spans="1:1" s="287" customFormat="1" ht="12" hidden="1" customHeight="1">
      <c r="A9953" s="286"/>
    </row>
    <row r="9954" spans="1:1" s="287" customFormat="1" ht="12" hidden="1" customHeight="1">
      <c r="A9954" s="286"/>
    </row>
    <row r="9955" spans="1:1" s="287" customFormat="1" ht="12" hidden="1" customHeight="1">
      <c r="A9955" s="286"/>
    </row>
    <row r="9956" spans="1:1" s="287" customFormat="1" ht="12" hidden="1" customHeight="1">
      <c r="A9956" s="286"/>
    </row>
    <row r="9957" spans="1:1" s="287" customFormat="1" ht="12" hidden="1" customHeight="1">
      <c r="A9957" s="286"/>
    </row>
    <row r="9958" spans="1:1" s="287" customFormat="1" ht="12" hidden="1" customHeight="1">
      <c r="A9958" s="286"/>
    </row>
    <row r="9959" spans="1:1" s="287" customFormat="1" ht="12" hidden="1" customHeight="1">
      <c r="A9959" s="286"/>
    </row>
    <row r="9960" spans="1:1" s="287" customFormat="1" ht="12" hidden="1" customHeight="1">
      <c r="A9960" s="286"/>
    </row>
    <row r="9961" spans="1:1" s="287" customFormat="1" ht="12" hidden="1" customHeight="1">
      <c r="A9961" s="286"/>
    </row>
    <row r="9962" spans="1:1" s="287" customFormat="1" ht="12" hidden="1" customHeight="1">
      <c r="A9962" s="286"/>
    </row>
    <row r="9963" spans="1:1" s="287" customFormat="1" ht="12" hidden="1" customHeight="1">
      <c r="A9963" s="286"/>
    </row>
    <row r="9964" spans="1:1" s="287" customFormat="1" ht="12" hidden="1" customHeight="1">
      <c r="A9964" s="286"/>
    </row>
    <row r="9965" spans="1:1" s="287" customFormat="1" ht="12" hidden="1" customHeight="1">
      <c r="A9965" s="286"/>
    </row>
    <row r="9966" spans="1:1" s="287" customFormat="1" ht="12" hidden="1" customHeight="1">
      <c r="A9966" s="286"/>
    </row>
    <row r="9967" spans="1:1" s="287" customFormat="1" ht="12" hidden="1" customHeight="1">
      <c r="A9967" s="286"/>
    </row>
    <row r="9968" spans="1:1" s="287" customFormat="1" ht="12" hidden="1" customHeight="1">
      <c r="A9968" s="286"/>
    </row>
    <row r="9969" spans="1:1" s="287" customFormat="1" ht="12" hidden="1" customHeight="1">
      <c r="A9969" s="286"/>
    </row>
    <row r="9970" spans="1:1" s="287" customFormat="1" ht="12" hidden="1" customHeight="1">
      <c r="A9970" s="286"/>
    </row>
    <row r="9971" spans="1:1" s="287" customFormat="1" ht="12" hidden="1" customHeight="1">
      <c r="A9971" s="286"/>
    </row>
    <row r="9972" spans="1:1" s="287" customFormat="1" ht="12" hidden="1" customHeight="1">
      <c r="A9972" s="286"/>
    </row>
    <row r="9973" spans="1:1" s="287" customFormat="1" ht="12" hidden="1" customHeight="1">
      <c r="A9973" s="286"/>
    </row>
    <row r="9974" spans="1:1" s="287" customFormat="1" ht="12" hidden="1" customHeight="1">
      <c r="A9974" s="286"/>
    </row>
    <row r="9975" spans="1:1" s="287" customFormat="1" ht="12" hidden="1" customHeight="1">
      <c r="A9975" s="286"/>
    </row>
    <row r="9976" spans="1:1" s="287" customFormat="1" ht="12" hidden="1" customHeight="1">
      <c r="A9976" s="286"/>
    </row>
    <row r="9977" spans="1:1" s="287" customFormat="1" ht="12" hidden="1" customHeight="1">
      <c r="A9977" s="286"/>
    </row>
    <row r="9978" spans="1:1" s="287" customFormat="1" ht="12" hidden="1" customHeight="1">
      <c r="A9978" s="286"/>
    </row>
    <row r="9979" spans="1:1" s="287" customFormat="1" ht="12" hidden="1" customHeight="1">
      <c r="A9979" s="286"/>
    </row>
    <row r="9980" spans="1:1" s="287" customFormat="1" ht="12" hidden="1" customHeight="1">
      <c r="A9980" s="286"/>
    </row>
    <row r="9981" spans="1:1" s="287" customFormat="1" ht="12" hidden="1" customHeight="1">
      <c r="A9981" s="286"/>
    </row>
    <row r="9982" spans="1:1" s="287" customFormat="1" ht="12" hidden="1" customHeight="1">
      <c r="A9982" s="286"/>
    </row>
    <row r="9983" spans="1:1" s="287" customFormat="1" ht="12" hidden="1" customHeight="1">
      <c r="A9983" s="286"/>
    </row>
    <row r="9984" spans="1:1" s="287" customFormat="1" ht="12" hidden="1" customHeight="1">
      <c r="A9984" s="286"/>
    </row>
    <row r="9985" spans="1:1" s="287" customFormat="1" ht="12" hidden="1" customHeight="1">
      <c r="A9985" s="286"/>
    </row>
    <row r="9986" spans="1:1" s="287" customFormat="1" ht="12" hidden="1" customHeight="1">
      <c r="A9986" s="286"/>
    </row>
    <row r="9987" spans="1:1" s="287" customFormat="1" ht="12" hidden="1" customHeight="1">
      <c r="A9987" s="286"/>
    </row>
    <row r="9988" spans="1:1" s="287" customFormat="1" ht="12" hidden="1" customHeight="1">
      <c r="A9988" s="286"/>
    </row>
    <row r="9989" spans="1:1" s="287" customFormat="1" ht="12" hidden="1" customHeight="1">
      <c r="A9989" s="286"/>
    </row>
    <row r="9990" spans="1:1" s="287" customFormat="1" ht="12" hidden="1" customHeight="1">
      <c r="A9990" s="286"/>
    </row>
    <row r="9991" spans="1:1" s="287" customFormat="1" ht="12" hidden="1" customHeight="1">
      <c r="A9991" s="286"/>
    </row>
    <row r="9992" spans="1:1" s="287" customFormat="1" ht="12" hidden="1" customHeight="1">
      <c r="A9992" s="286"/>
    </row>
    <row r="9993" spans="1:1" s="287" customFormat="1" ht="12" hidden="1" customHeight="1">
      <c r="A9993" s="286"/>
    </row>
    <row r="9994" spans="1:1" s="287" customFormat="1" ht="12" hidden="1" customHeight="1">
      <c r="A9994" s="286"/>
    </row>
    <row r="9995" spans="1:1" s="287" customFormat="1" ht="12" hidden="1" customHeight="1">
      <c r="A9995" s="286"/>
    </row>
    <row r="9996" spans="1:1" s="287" customFormat="1" ht="12" hidden="1" customHeight="1">
      <c r="A9996" s="286"/>
    </row>
    <row r="9997" spans="1:1" s="287" customFormat="1" ht="12" hidden="1" customHeight="1">
      <c r="A9997" s="286"/>
    </row>
    <row r="9998" spans="1:1" s="287" customFormat="1" ht="12" hidden="1" customHeight="1">
      <c r="A9998" s="286"/>
    </row>
    <row r="9999" spans="1:1" s="287" customFormat="1" ht="12" hidden="1" customHeight="1">
      <c r="A9999" s="286"/>
    </row>
    <row r="10000" spans="1:1" s="287" customFormat="1" ht="12" hidden="1" customHeight="1">
      <c r="A10000" s="286"/>
    </row>
    <row r="10001" spans="1:1" s="287" customFormat="1" ht="12" hidden="1" customHeight="1">
      <c r="A10001" s="286"/>
    </row>
    <row r="10002" spans="1:1" s="287" customFormat="1" ht="12" hidden="1" customHeight="1">
      <c r="A10002" s="286"/>
    </row>
    <row r="10003" spans="1:1" s="287" customFormat="1" ht="12" hidden="1" customHeight="1">
      <c r="A10003" s="286"/>
    </row>
    <row r="10004" spans="1:1" s="287" customFormat="1" ht="12" hidden="1" customHeight="1">
      <c r="A10004" s="286"/>
    </row>
    <row r="10005" spans="1:1" s="287" customFormat="1" ht="12" hidden="1" customHeight="1">
      <c r="A10005" s="286"/>
    </row>
    <row r="10006" spans="1:1" s="287" customFormat="1" ht="12" hidden="1" customHeight="1">
      <c r="A10006" s="286"/>
    </row>
    <row r="10007" spans="1:1" s="287" customFormat="1" ht="12" hidden="1" customHeight="1">
      <c r="A10007" s="286"/>
    </row>
    <row r="10008" spans="1:1" s="287" customFormat="1" ht="12" hidden="1" customHeight="1">
      <c r="A10008" s="286"/>
    </row>
    <row r="10009" spans="1:1" s="287" customFormat="1" ht="12" hidden="1" customHeight="1">
      <c r="A10009" s="286"/>
    </row>
    <row r="10010" spans="1:1" s="287" customFormat="1" ht="12" hidden="1" customHeight="1">
      <c r="A10010" s="286"/>
    </row>
    <row r="10011" spans="1:1" s="287" customFormat="1" ht="12" hidden="1" customHeight="1">
      <c r="A10011" s="286"/>
    </row>
    <row r="10012" spans="1:1" s="287" customFormat="1" ht="12" hidden="1" customHeight="1">
      <c r="A10012" s="286"/>
    </row>
    <row r="10013" spans="1:1" s="287" customFormat="1" ht="12" hidden="1" customHeight="1">
      <c r="A10013" s="286"/>
    </row>
    <row r="10014" spans="1:1" s="287" customFormat="1" ht="12" hidden="1" customHeight="1">
      <c r="A10014" s="286"/>
    </row>
    <row r="10015" spans="1:1" s="287" customFormat="1" ht="12" hidden="1" customHeight="1">
      <c r="A10015" s="286"/>
    </row>
    <row r="10016" spans="1:1" s="287" customFormat="1" ht="12" hidden="1" customHeight="1">
      <c r="A10016" s="286"/>
    </row>
    <row r="10017" spans="1:1" s="287" customFormat="1" ht="12" hidden="1" customHeight="1">
      <c r="A10017" s="286"/>
    </row>
    <row r="10018" spans="1:1" s="287" customFormat="1" ht="12" hidden="1" customHeight="1">
      <c r="A10018" s="286"/>
    </row>
    <row r="10019" spans="1:1" s="287" customFormat="1" ht="12" hidden="1" customHeight="1">
      <c r="A10019" s="286"/>
    </row>
    <row r="10020" spans="1:1" s="287" customFormat="1" ht="12" hidden="1" customHeight="1">
      <c r="A10020" s="286"/>
    </row>
    <row r="10021" spans="1:1" s="287" customFormat="1" ht="12" hidden="1" customHeight="1">
      <c r="A10021" s="286"/>
    </row>
    <row r="10022" spans="1:1" s="287" customFormat="1" ht="12" hidden="1" customHeight="1">
      <c r="A10022" s="286"/>
    </row>
    <row r="10023" spans="1:1" s="287" customFormat="1" ht="12" hidden="1" customHeight="1">
      <c r="A10023" s="286"/>
    </row>
    <row r="10024" spans="1:1" s="287" customFormat="1" ht="12" hidden="1" customHeight="1">
      <c r="A10024" s="286"/>
    </row>
    <row r="10025" spans="1:1" s="287" customFormat="1" ht="12" hidden="1" customHeight="1">
      <c r="A10025" s="286"/>
    </row>
    <row r="10026" spans="1:1" s="287" customFormat="1" ht="12" hidden="1" customHeight="1">
      <c r="A10026" s="286"/>
    </row>
    <row r="10027" spans="1:1" s="287" customFormat="1" ht="12" hidden="1" customHeight="1">
      <c r="A10027" s="286"/>
    </row>
    <row r="10028" spans="1:1" s="287" customFormat="1" ht="12" hidden="1" customHeight="1">
      <c r="A10028" s="286"/>
    </row>
    <row r="10029" spans="1:1" s="287" customFormat="1" ht="12" hidden="1" customHeight="1">
      <c r="A10029" s="286"/>
    </row>
    <row r="10030" spans="1:1" s="287" customFormat="1" ht="12" hidden="1" customHeight="1">
      <c r="A10030" s="286"/>
    </row>
    <row r="10031" spans="1:1" s="287" customFormat="1" ht="12" hidden="1" customHeight="1">
      <c r="A10031" s="286"/>
    </row>
    <row r="10032" spans="1:1" s="287" customFormat="1" ht="12" hidden="1" customHeight="1">
      <c r="A10032" s="286"/>
    </row>
    <row r="10033" spans="1:1" s="287" customFormat="1" ht="12" hidden="1" customHeight="1">
      <c r="A10033" s="286"/>
    </row>
    <row r="10034" spans="1:1" s="287" customFormat="1" ht="12" hidden="1" customHeight="1">
      <c r="A10034" s="286"/>
    </row>
    <row r="10035" spans="1:1" s="287" customFormat="1" ht="12" hidden="1" customHeight="1">
      <c r="A10035" s="286"/>
    </row>
    <row r="10036" spans="1:1" s="287" customFormat="1" ht="12" hidden="1" customHeight="1">
      <c r="A10036" s="286"/>
    </row>
    <row r="10037" spans="1:1" s="287" customFormat="1" ht="12" hidden="1" customHeight="1">
      <c r="A10037" s="286"/>
    </row>
    <row r="10038" spans="1:1" s="287" customFormat="1" ht="12" hidden="1" customHeight="1">
      <c r="A10038" s="286"/>
    </row>
    <row r="10039" spans="1:1" s="287" customFormat="1" ht="12" hidden="1" customHeight="1">
      <c r="A10039" s="286"/>
    </row>
    <row r="10040" spans="1:1" s="287" customFormat="1" ht="12" hidden="1" customHeight="1">
      <c r="A10040" s="286"/>
    </row>
    <row r="10041" spans="1:1" s="287" customFormat="1" ht="12" hidden="1" customHeight="1">
      <c r="A10041" s="286"/>
    </row>
    <row r="10042" spans="1:1" s="287" customFormat="1" ht="12" hidden="1" customHeight="1">
      <c r="A10042" s="286"/>
    </row>
    <row r="10043" spans="1:1" s="287" customFormat="1" ht="12" hidden="1" customHeight="1">
      <c r="A10043" s="286"/>
    </row>
    <row r="10044" spans="1:1" s="287" customFormat="1" ht="12" hidden="1" customHeight="1">
      <c r="A10044" s="286"/>
    </row>
    <row r="10045" spans="1:1" s="287" customFormat="1" ht="12" hidden="1" customHeight="1">
      <c r="A10045" s="286"/>
    </row>
    <row r="10046" spans="1:1" s="287" customFormat="1" ht="12" hidden="1" customHeight="1">
      <c r="A10046" s="286"/>
    </row>
    <row r="10047" spans="1:1" s="287" customFormat="1" ht="12" hidden="1" customHeight="1">
      <c r="A10047" s="286"/>
    </row>
    <row r="10048" spans="1:1" s="287" customFormat="1" ht="12" hidden="1" customHeight="1">
      <c r="A10048" s="286"/>
    </row>
    <row r="10049" spans="1:1" s="287" customFormat="1" ht="12" hidden="1" customHeight="1">
      <c r="A10049" s="286"/>
    </row>
    <row r="10050" spans="1:1" s="287" customFormat="1" ht="12" hidden="1" customHeight="1">
      <c r="A10050" s="286"/>
    </row>
    <row r="10051" spans="1:1" s="287" customFormat="1" ht="12" hidden="1" customHeight="1">
      <c r="A10051" s="286"/>
    </row>
    <row r="10052" spans="1:1" s="287" customFormat="1" ht="12" hidden="1" customHeight="1">
      <c r="A10052" s="286"/>
    </row>
    <row r="10053" spans="1:1" s="287" customFormat="1" ht="12" hidden="1" customHeight="1">
      <c r="A10053" s="286"/>
    </row>
    <row r="10054" spans="1:1" s="287" customFormat="1" ht="12" hidden="1" customHeight="1">
      <c r="A10054" s="286"/>
    </row>
    <row r="10055" spans="1:1" s="287" customFormat="1" ht="12" hidden="1" customHeight="1">
      <c r="A10055" s="286"/>
    </row>
    <row r="10056" spans="1:1" s="287" customFormat="1" ht="12" hidden="1" customHeight="1">
      <c r="A10056" s="286"/>
    </row>
    <row r="10057" spans="1:1" s="287" customFormat="1" ht="12" hidden="1" customHeight="1">
      <c r="A10057" s="286"/>
    </row>
    <row r="10058" spans="1:1" s="287" customFormat="1" ht="12" hidden="1" customHeight="1">
      <c r="A10058" s="286"/>
    </row>
    <row r="10059" spans="1:1" s="287" customFormat="1" ht="12" hidden="1" customHeight="1">
      <c r="A10059" s="286"/>
    </row>
    <row r="10060" spans="1:1" s="287" customFormat="1" ht="12" hidden="1" customHeight="1">
      <c r="A10060" s="286"/>
    </row>
    <row r="10061" spans="1:1" s="287" customFormat="1" ht="12" hidden="1" customHeight="1">
      <c r="A10061" s="286"/>
    </row>
    <row r="10062" spans="1:1" s="287" customFormat="1" ht="12" hidden="1" customHeight="1">
      <c r="A10062" s="286"/>
    </row>
    <row r="10063" spans="1:1" s="287" customFormat="1" ht="12" hidden="1" customHeight="1">
      <c r="A10063" s="286"/>
    </row>
    <row r="10064" spans="1:1" s="287" customFormat="1" ht="12" hidden="1" customHeight="1">
      <c r="A10064" s="286"/>
    </row>
    <row r="10065" spans="1:1" s="287" customFormat="1" ht="12" hidden="1" customHeight="1">
      <c r="A10065" s="286"/>
    </row>
    <row r="10066" spans="1:1" s="287" customFormat="1" ht="12" hidden="1" customHeight="1">
      <c r="A10066" s="286"/>
    </row>
    <row r="10067" spans="1:1" s="287" customFormat="1" ht="12" hidden="1" customHeight="1">
      <c r="A10067" s="286"/>
    </row>
    <row r="10068" spans="1:1" s="287" customFormat="1" ht="12" hidden="1" customHeight="1">
      <c r="A10068" s="286"/>
    </row>
    <row r="10069" spans="1:1" s="287" customFormat="1" ht="12" hidden="1" customHeight="1">
      <c r="A10069" s="286"/>
    </row>
    <row r="10070" spans="1:1" s="287" customFormat="1" ht="12" hidden="1" customHeight="1">
      <c r="A10070" s="286"/>
    </row>
    <row r="10071" spans="1:1" s="287" customFormat="1" ht="12" hidden="1" customHeight="1">
      <c r="A10071" s="286"/>
    </row>
    <row r="10072" spans="1:1" s="287" customFormat="1" ht="12" hidden="1" customHeight="1">
      <c r="A10072" s="286"/>
    </row>
    <row r="10073" spans="1:1" s="287" customFormat="1" ht="12" hidden="1" customHeight="1">
      <c r="A10073" s="286"/>
    </row>
    <row r="10074" spans="1:1" s="287" customFormat="1" ht="12" hidden="1" customHeight="1">
      <c r="A10074" s="286"/>
    </row>
    <row r="10075" spans="1:1" s="287" customFormat="1" ht="12" hidden="1" customHeight="1">
      <c r="A10075" s="286"/>
    </row>
    <row r="10076" spans="1:1" s="287" customFormat="1" ht="12" hidden="1" customHeight="1">
      <c r="A10076" s="286"/>
    </row>
    <row r="10077" spans="1:1" s="287" customFormat="1" ht="12" hidden="1" customHeight="1">
      <c r="A10077" s="286"/>
    </row>
    <row r="10078" spans="1:1" s="287" customFormat="1" ht="12" hidden="1" customHeight="1">
      <c r="A10078" s="286"/>
    </row>
    <row r="10079" spans="1:1" s="287" customFormat="1" ht="12" hidden="1" customHeight="1">
      <c r="A10079" s="286"/>
    </row>
    <row r="10080" spans="1:1" s="287" customFormat="1" ht="12" hidden="1" customHeight="1">
      <c r="A10080" s="286"/>
    </row>
    <row r="10081" spans="1:1" s="287" customFormat="1" ht="12" hidden="1" customHeight="1">
      <c r="A10081" s="286"/>
    </row>
    <row r="10082" spans="1:1" s="287" customFormat="1" ht="12" hidden="1" customHeight="1">
      <c r="A10082" s="286"/>
    </row>
    <row r="10083" spans="1:1" s="287" customFormat="1" ht="12" hidden="1" customHeight="1">
      <c r="A10083" s="286"/>
    </row>
    <row r="10084" spans="1:1" s="287" customFormat="1" ht="12" hidden="1" customHeight="1">
      <c r="A10084" s="286"/>
    </row>
    <row r="10085" spans="1:1" s="287" customFormat="1" ht="12" hidden="1" customHeight="1">
      <c r="A10085" s="286"/>
    </row>
    <row r="10086" spans="1:1" s="287" customFormat="1" ht="12" hidden="1" customHeight="1">
      <c r="A10086" s="286"/>
    </row>
    <row r="10087" spans="1:1" s="287" customFormat="1" ht="12" hidden="1" customHeight="1">
      <c r="A10087" s="286"/>
    </row>
    <row r="10088" spans="1:1" s="287" customFormat="1" ht="12" hidden="1" customHeight="1">
      <c r="A10088" s="286"/>
    </row>
    <row r="10089" spans="1:1" s="287" customFormat="1" ht="12" hidden="1" customHeight="1">
      <c r="A10089" s="286"/>
    </row>
    <row r="10090" spans="1:1" s="287" customFormat="1" ht="12" hidden="1" customHeight="1">
      <c r="A10090" s="286"/>
    </row>
    <row r="10091" spans="1:1" s="287" customFormat="1" ht="12" hidden="1" customHeight="1">
      <c r="A10091" s="286"/>
    </row>
    <row r="10092" spans="1:1" s="287" customFormat="1" ht="12" hidden="1" customHeight="1">
      <c r="A10092" s="286"/>
    </row>
    <row r="10093" spans="1:1" s="287" customFormat="1" ht="12" hidden="1" customHeight="1">
      <c r="A10093" s="286"/>
    </row>
    <row r="10094" spans="1:1" s="287" customFormat="1" ht="12" hidden="1" customHeight="1">
      <c r="A10094" s="286"/>
    </row>
    <row r="10095" spans="1:1" s="287" customFormat="1" ht="12" hidden="1" customHeight="1">
      <c r="A10095" s="286"/>
    </row>
    <row r="10096" spans="1:1" s="287" customFormat="1" ht="12" hidden="1" customHeight="1">
      <c r="A10096" s="286"/>
    </row>
    <row r="10097" spans="1:1" s="287" customFormat="1" ht="12" hidden="1" customHeight="1">
      <c r="A10097" s="286"/>
    </row>
    <row r="10098" spans="1:1" s="287" customFormat="1" ht="12" hidden="1" customHeight="1">
      <c r="A10098" s="286"/>
    </row>
    <row r="10099" spans="1:1" s="287" customFormat="1" ht="12" hidden="1" customHeight="1">
      <c r="A10099" s="286"/>
    </row>
    <row r="10100" spans="1:1" s="287" customFormat="1" ht="12" hidden="1" customHeight="1">
      <c r="A10100" s="286"/>
    </row>
    <row r="10101" spans="1:1" s="287" customFormat="1" ht="12" hidden="1" customHeight="1">
      <c r="A10101" s="286"/>
    </row>
    <row r="10102" spans="1:1" s="287" customFormat="1" ht="12" hidden="1" customHeight="1">
      <c r="A10102" s="286"/>
    </row>
    <row r="10103" spans="1:1" s="287" customFormat="1" ht="12" hidden="1" customHeight="1">
      <c r="A10103" s="286"/>
    </row>
    <row r="10104" spans="1:1" s="287" customFormat="1" ht="12" hidden="1" customHeight="1">
      <c r="A10104" s="286"/>
    </row>
    <row r="10105" spans="1:1" s="287" customFormat="1" ht="12" hidden="1" customHeight="1">
      <c r="A10105" s="286"/>
    </row>
    <row r="10106" spans="1:1" s="287" customFormat="1" ht="12" hidden="1" customHeight="1">
      <c r="A10106" s="286"/>
    </row>
    <row r="10107" spans="1:1" s="287" customFormat="1" ht="12" hidden="1" customHeight="1">
      <c r="A10107" s="286"/>
    </row>
    <row r="10108" spans="1:1" s="287" customFormat="1" ht="12" hidden="1" customHeight="1">
      <c r="A10108" s="286"/>
    </row>
    <row r="10109" spans="1:1" s="287" customFormat="1" ht="12" hidden="1" customHeight="1">
      <c r="A10109" s="286"/>
    </row>
    <row r="10110" spans="1:1" s="287" customFormat="1" ht="12" hidden="1" customHeight="1">
      <c r="A10110" s="286"/>
    </row>
    <row r="10111" spans="1:1" s="287" customFormat="1" ht="12" hidden="1" customHeight="1">
      <c r="A10111" s="286"/>
    </row>
    <row r="10112" spans="1:1" s="287" customFormat="1" ht="12" hidden="1" customHeight="1">
      <c r="A10112" s="286"/>
    </row>
    <row r="10113" spans="1:1" s="287" customFormat="1" ht="12" hidden="1" customHeight="1">
      <c r="A10113" s="286"/>
    </row>
    <row r="10114" spans="1:1" s="287" customFormat="1" ht="12" hidden="1" customHeight="1">
      <c r="A10114" s="286"/>
    </row>
    <row r="10115" spans="1:1" s="287" customFormat="1" ht="12" hidden="1" customHeight="1">
      <c r="A10115" s="286"/>
    </row>
    <row r="10116" spans="1:1" s="287" customFormat="1" ht="12" hidden="1" customHeight="1">
      <c r="A10116" s="286"/>
    </row>
    <row r="10117" spans="1:1" s="287" customFormat="1" ht="12" hidden="1" customHeight="1">
      <c r="A10117" s="286"/>
    </row>
    <row r="10118" spans="1:1" s="287" customFormat="1" ht="12" hidden="1" customHeight="1">
      <c r="A10118" s="286"/>
    </row>
    <row r="10119" spans="1:1" s="287" customFormat="1" ht="12" hidden="1" customHeight="1">
      <c r="A10119" s="286"/>
    </row>
    <row r="10120" spans="1:1" s="287" customFormat="1" ht="12" hidden="1" customHeight="1">
      <c r="A10120" s="286"/>
    </row>
    <row r="10121" spans="1:1" s="287" customFormat="1" ht="12" hidden="1" customHeight="1">
      <c r="A10121" s="286"/>
    </row>
    <row r="10122" spans="1:1" s="287" customFormat="1" ht="12" hidden="1" customHeight="1">
      <c r="A10122" s="286"/>
    </row>
    <row r="10123" spans="1:1" s="287" customFormat="1" ht="12" hidden="1" customHeight="1">
      <c r="A10123" s="286"/>
    </row>
    <row r="10124" spans="1:1" s="287" customFormat="1" ht="12" hidden="1" customHeight="1">
      <c r="A10124" s="286"/>
    </row>
    <row r="10125" spans="1:1" s="287" customFormat="1" ht="12" hidden="1" customHeight="1">
      <c r="A10125" s="286"/>
    </row>
    <row r="10126" spans="1:1" s="287" customFormat="1" ht="12" hidden="1" customHeight="1">
      <c r="A10126" s="286"/>
    </row>
    <row r="10127" spans="1:1" s="287" customFormat="1" ht="12" hidden="1" customHeight="1">
      <c r="A10127" s="286"/>
    </row>
    <row r="10128" spans="1:1" s="287" customFormat="1" ht="12" hidden="1" customHeight="1">
      <c r="A10128" s="286"/>
    </row>
    <row r="10129" spans="1:1" s="287" customFormat="1" ht="12" hidden="1" customHeight="1">
      <c r="A10129" s="286"/>
    </row>
    <row r="10130" spans="1:1" s="287" customFormat="1" ht="12" hidden="1" customHeight="1">
      <c r="A10130" s="286"/>
    </row>
    <row r="10131" spans="1:1" s="287" customFormat="1" ht="12" hidden="1" customHeight="1">
      <c r="A10131" s="286"/>
    </row>
    <row r="10132" spans="1:1" s="287" customFormat="1" ht="12" hidden="1" customHeight="1">
      <c r="A10132" s="286"/>
    </row>
    <row r="10133" spans="1:1" s="287" customFormat="1" ht="12" hidden="1" customHeight="1">
      <c r="A10133" s="286"/>
    </row>
    <row r="10134" spans="1:1" s="287" customFormat="1" ht="12" hidden="1" customHeight="1">
      <c r="A10134" s="286"/>
    </row>
    <row r="10135" spans="1:1" s="287" customFormat="1" ht="12" hidden="1" customHeight="1">
      <c r="A10135" s="286"/>
    </row>
    <row r="10136" spans="1:1" s="287" customFormat="1" ht="12" hidden="1" customHeight="1">
      <c r="A10136" s="286"/>
    </row>
    <row r="10137" spans="1:1" s="287" customFormat="1" ht="12" hidden="1" customHeight="1">
      <c r="A10137" s="286"/>
    </row>
    <row r="10138" spans="1:1" s="287" customFormat="1" ht="12" hidden="1" customHeight="1">
      <c r="A10138" s="286"/>
    </row>
    <row r="10139" spans="1:1" s="287" customFormat="1" ht="12" hidden="1" customHeight="1">
      <c r="A10139" s="286"/>
    </row>
    <row r="10140" spans="1:1" s="287" customFormat="1" ht="12" hidden="1" customHeight="1">
      <c r="A10140" s="286"/>
    </row>
    <row r="10141" spans="1:1" s="287" customFormat="1" ht="12" hidden="1" customHeight="1">
      <c r="A10141" s="286"/>
    </row>
    <row r="10142" spans="1:1" s="287" customFormat="1" ht="12" hidden="1" customHeight="1">
      <c r="A10142" s="286"/>
    </row>
    <row r="10143" spans="1:1" s="287" customFormat="1" ht="12" hidden="1" customHeight="1">
      <c r="A10143" s="286"/>
    </row>
    <row r="10144" spans="1:1" s="287" customFormat="1" ht="12" hidden="1" customHeight="1">
      <c r="A10144" s="286"/>
    </row>
    <row r="10145" spans="1:1" s="287" customFormat="1" ht="12" hidden="1" customHeight="1">
      <c r="A10145" s="286"/>
    </row>
    <row r="10146" spans="1:1" s="287" customFormat="1" ht="12" hidden="1" customHeight="1">
      <c r="A10146" s="286"/>
    </row>
    <row r="10147" spans="1:1" s="287" customFormat="1" ht="12" hidden="1" customHeight="1">
      <c r="A10147" s="286"/>
    </row>
    <row r="10148" spans="1:1" s="287" customFormat="1" ht="12" hidden="1" customHeight="1">
      <c r="A10148" s="286"/>
    </row>
    <row r="10149" spans="1:1" s="287" customFormat="1" ht="12" hidden="1" customHeight="1">
      <c r="A10149" s="286"/>
    </row>
    <row r="10150" spans="1:1" s="287" customFormat="1" ht="12" hidden="1" customHeight="1">
      <c r="A10150" s="286"/>
    </row>
    <row r="10151" spans="1:1" s="287" customFormat="1" ht="12" hidden="1" customHeight="1">
      <c r="A10151" s="286"/>
    </row>
    <row r="10152" spans="1:1" s="287" customFormat="1" ht="12" hidden="1" customHeight="1">
      <c r="A10152" s="286"/>
    </row>
    <row r="10153" spans="1:1" s="287" customFormat="1" ht="12" hidden="1" customHeight="1">
      <c r="A10153" s="286"/>
    </row>
    <row r="10154" spans="1:1" s="287" customFormat="1" ht="12" hidden="1" customHeight="1">
      <c r="A10154" s="286"/>
    </row>
    <row r="10155" spans="1:1" s="287" customFormat="1" ht="12" hidden="1" customHeight="1">
      <c r="A10155" s="286"/>
    </row>
    <row r="10156" spans="1:1" s="287" customFormat="1" ht="12" hidden="1" customHeight="1">
      <c r="A10156" s="286"/>
    </row>
    <row r="10157" spans="1:1" s="287" customFormat="1" ht="12" hidden="1" customHeight="1">
      <c r="A10157" s="286"/>
    </row>
    <row r="10158" spans="1:1" s="287" customFormat="1" ht="12" hidden="1" customHeight="1">
      <c r="A10158" s="286"/>
    </row>
    <row r="10159" spans="1:1" s="287" customFormat="1" ht="12" hidden="1" customHeight="1">
      <c r="A10159" s="286"/>
    </row>
    <row r="10160" spans="1:1" s="287" customFormat="1" ht="12" hidden="1" customHeight="1">
      <c r="A10160" s="286"/>
    </row>
    <row r="10161" spans="1:1" s="287" customFormat="1" ht="12" hidden="1" customHeight="1">
      <c r="A10161" s="286"/>
    </row>
    <row r="10162" spans="1:1" s="287" customFormat="1" ht="12" hidden="1" customHeight="1">
      <c r="A10162" s="286"/>
    </row>
    <row r="10163" spans="1:1" s="287" customFormat="1" ht="12" hidden="1" customHeight="1">
      <c r="A10163" s="286"/>
    </row>
    <row r="10164" spans="1:1" s="287" customFormat="1" ht="12" hidden="1" customHeight="1">
      <c r="A10164" s="286"/>
    </row>
    <row r="10165" spans="1:1" s="287" customFormat="1" ht="12" hidden="1" customHeight="1">
      <c r="A10165" s="286"/>
    </row>
    <row r="10166" spans="1:1" s="287" customFormat="1" ht="12" hidden="1" customHeight="1">
      <c r="A10166" s="286"/>
    </row>
    <row r="10167" spans="1:1" s="287" customFormat="1" ht="12" hidden="1" customHeight="1">
      <c r="A10167" s="286"/>
    </row>
    <row r="10168" spans="1:1" s="287" customFormat="1" ht="12" hidden="1" customHeight="1">
      <c r="A10168" s="286"/>
    </row>
    <row r="10169" spans="1:1" s="287" customFormat="1" ht="12" hidden="1" customHeight="1">
      <c r="A10169" s="286"/>
    </row>
    <row r="10170" spans="1:1" s="287" customFormat="1" ht="12" hidden="1" customHeight="1">
      <c r="A10170" s="286"/>
    </row>
    <row r="10171" spans="1:1" s="287" customFormat="1" ht="12" hidden="1" customHeight="1">
      <c r="A10171" s="286"/>
    </row>
    <row r="10172" spans="1:1" s="287" customFormat="1" ht="12" hidden="1" customHeight="1">
      <c r="A10172" s="286"/>
    </row>
    <row r="10173" spans="1:1" s="287" customFormat="1" ht="12" hidden="1" customHeight="1">
      <c r="A10173" s="286"/>
    </row>
    <row r="10174" spans="1:1" s="287" customFormat="1" ht="12" hidden="1" customHeight="1">
      <c r="A10174" s="286"/>
    </row>
    <row r="10175" spans="1:1" s="287" customFormat="1" ht="12" hidden="1" customHeight="1">
      <c r="A10175" s="286"/>
    </row>
    <row r="10176" spans="1:1" s="287" customFormat="1" ht="12" hidden="1" customHeight="1">
      <c r="A10176" s="286"/>
    </row>
    <row r="10177" spans="1:1" s="287" customFormat="1" ht="12" hidden="1" customHeight="1">
      <c r="A10177" s="286"/>
    </row>
    <row r="10178" spans="1:1" s="287" customFormat="1" ht="12" hidden="1" customHeight="1">
      <c r="A10178" s="286"/>
    </row>
    <row r="10179" spans="1:1" s="287" customFormat="1" ht="12" hidden="1" customHeight="1">
      <c r="A10179" s="286"/>
    </row>
    <row r="10180" spans="1:1" s="287" customFormat="1" ht="12" hidden="1" customHeight="1">
      <c r="A10180" s="286"/>
    </row>
    <row r="10181" spans="1:1" s="287" customFormat="1" ht="12" hidden="1" customHeight="1">
      <c r="A10181" s="286"/>
    </row>
    <row r="10182" spans="1:1" s="287" customFormat="1" ht="12" hidden="1" customHeight="1">
      <c r="A10182" s="286"/>
    </row>
    <row r="10183" spans="1:1" s="287" customFormat="1" ht="12" hidden="1" customHeight="1">
      <c r="A10183" s="286"/>
    </row>
    <row r="10184" spans="1:1" s="287" customFormat="1" ht="12" hidden="1" customHeight="1">
      <c r="A10184" s="286"/>
    </row>
    <row r="10185" spans="1:1" s="287" customFormat="1" ht="12" hidden="1" customHeight="1">
      <c r="A10185" s="286"/>
    </row>
    <row r="10186" spans="1:1" s="287" customFormat="1" ht="12" hidden="1" customHeight="1">
      <c r="A10186" s="286"/>
    </row>
    <row r="10187" spans="1:1" s="287" customFormat="1" ht="12" hidden="1" customHeight="1">
      <c r="A10187" s="286"/>
    </row>
    <row r="10188" spans="1:1" s="287" customFormat="1" ht="12" hidden="1" customHeight="1">
      <c r="A10188" s="286"/>
    </row>
    <row r="10189" spans="1:1" s="287" customFormat="1" ht="12" hidden="1" customHeight="1">
      <c r="A10189" s="286"/>
    </row>
    <row r="10190" spans="1:1" s="287" customFormat="1" ht="12" hidden="1" customHeight="1">
      <c r="A10190" s="286"/>
    </row>
    <row r="10191" spans="1:1" s="287" customFormat="1" ht="12" hidden="1" customHeight="1">
      <c r="A10191" s="286"/>
    </row>
    <row r="10192" spans="1:1" s="287" customFormat="1" ht="12" hidden="1" customHeight="1">
      <c r="A10192" s="286"/>
    </row>
    <row r="10193" spans="1:1" s="287" customFormat="1" ht="12" hidden="1" customHeight="1">
      <c r="A10193" s="286"/>
    </row>
    <row r="10194" spans="1:1" s="287" customFormat="1" ht="12" hidden="1" customHeight="1">
      <c r="A10194" s="286"/>
    </row>
    <row r="10195" spans="1:1" s="287" customFormat="1" ht="12" hidden="1" customHeight="1">
      <c r="A10195" s="286"/>
    </row>
    <row r="10196" spans="1:1" s="287" customFormat="1" ht="12" hidden="1" customHeight="1">
      <c r="A10196" s="286"/>
    </row>
    <row r="10197" spans="1:1" s="287" customFormat="1" ht="12" hidden="1" customHeight="1">
      <c r="A10197" s="286"/>
    </row>
    <row r="10198" spans="1:1" s="287" customFormat="1" ht="12" hidden="1" customHeight="1">
      <c r="A10198" s="286"/>
    </row>
    <row r="10199" spans="1:1" s="287" customFormat="1" ht="12" hidden="1" customHeight="1">
      <c r="A10199" s="286"/>
    </row>
    <row r="10200" spans="1:1" s="287" customFormat="1" ht="12" hidden="1" customHeight="1">
      <c r="A10200" s="286"/>
    </row>
    <row r="10201" spans="1:1" s="287" customFormat="1" ht="12" hidden="1" customHeight="1">
      <c r="A10201" s="286"/>
    </row>
    <row r="10202" spans="1:1" s="287" customFormat="1" ht="12" hidden="1" customHeight="1">
      <c r="A10202" s="286"/>
    </row>
    <row r="10203" spans="1:1" s="287" customFormat="1" ht="12" hidden="1" customHeight="1">
      <c r="A10203" s="286"/>
    </row>
    <row r="10204" spans="1:1" s="287" customFormat="1" ht="12" hidden="1" customHeight="1">
      <c r="A10204" s="286"/>
    </row>
    <row r="10205" spans="1:1" s="287" customFormat="1" ht="12" hidden="1" customHeight="1">
      <c r="A10205" s="286"/>
    </row>
    <row r="10206" spans="1:1" s="287" customFormat="1" ht="12" hidden="1" customHeight="1">
      <c r="A10206" s="286"/>
    </row>
    <row r="10207" spans="1:1" s="287" customFormat="1" ht="12" hidden="1" customHeight="1">
      <c r="A10207" s="286"/>
    </row>
    <row r="10208" spans="1:1" s="287" customFormat="1" ht="12" hidden="1" customHeight="1">
      <c r="A10208" s="286"/>
    </row>
    <row r="10209" spans="1:1" s="287" customFormat="1" ht="12" hidden="1" customHeight="1">
      <c r="A10209" s="286"/>
    </row>
    <row r="10210" spans="1:1" s="287" customFormat="1" ht="12" hidden="1" customHeight="1">
      <c r="A10210" s="286"/>
    </row>
    <row r="10211" spans="1:1" s="287" customFormat="1" ht="12" hidden="1" customHeight="1">
      <c r="A10211" s="286"/>
    </row>
    <row r="10212" spans="1:1" s="287" customFormat="1" ht="12" hidden="1" customHeight="1">
      <c r="A10212" s="286"/>
    </row>
    <row r="10213" spans="1:1" s="287" customFormat="1" ht="12" hidden="1" customHeight="1">
      <c r="A10213" s="286"/>
    </row>
    <row r="10214" spans="1:1" s="287" customFormat="1" ht="12" hidden="1" customHeight="1">
      <c r="A10214" s="286"/>
    </row>
    <row r="10215" spans="1:1" s="287" customFormat="1" ht="12" hidden="1" customHeight="1">
      <c r="A10215" s="286"/>
    </row>
    <row r="10216" spans="1:1" s="287" customFormat="1" ht="12" hidden="1" customHeight="1">
      <c r="A10216" s="286"/>
    </row>
    <row r="10217" spans="1:1" s="287" customFormat="1" ht="12" hidden="1" customHeight="1">
      <c r="A10217" s="286"/>
    </row>
    <row r="10218" spans="1:1" s="287" customFormat="1" ht="12" hidden="1" customHeight="1">
      <c r="A10218" s="286"/>
    </row>
    <row r="10219" spans="1:1" s="287" customFormat="1" ht="12" hidden="1" customHeight="1">
      <c r="A10219" s="286"/>
    </row>
    <row r="10220" spans="1:1" s="287" customFormat="1" ht="12" hidden="1" customHeight="1">
      <c r="A10220" s="286"/>
    </row>
    <row r="10221" spans="1:1" s="287" customFormat="1" ht="12" hidden="1" customHeight="1">
      <c r="A10221" s="286"/>
    </row>
    <row r="10222" spans="1:1" s="287" customFormat="1" ht="12" hidden="1" customHeight="1">
      <c r="A10222" s="286"/>
    </row>
    <row r="10223" spans="1:1" s="287" customFormat="1" ht="12" hidden="1" customHeight="1">
      <c r="A10223" s="286"/>
    </row>
    <row r="10224" spans="1:1" s="287" customFormat="1" ht="12" hidden="1" customHeight="1">
      <c r="A10224" s="286"/>
    </row>
    <row r="10225" spans="1:1" s="287" customFormat="1" ht="12" hidden="1" customHeight="1">
      <c r="A10225" s="286"/>
    </row>
    <row r="10226" spans="1:1" s="287" customFormat="1" ht="12" hidden="1" customHeight="1">
      <c r="A10226" s="286"/>
    </row>
    <row r="10227" spans="1:1" s="287" customFormat="1" ht="12" hidden="1" customHeight="1">
      <c r="A10227" s="286"/>
    </row>
    <row r="10228" spans="1:1" s="287" customFormat="1" ht="12" hidden="1" customHeight="1">
      <c r="A10228" s="286"/>
    </row>
    <row r="10229" spans="1:1" s="287" customFormat="1" ht="12" hidden="1" customHeight="1">
      <c r="A10229" s="286"/>
    </row>
    <row r="10230" spans="1:1" s="287" customFormat="1" ht="12" hidden="1" customHeight="1">
      <c r="A10230" s="286"/>
    </row>
    <row r="10231" spans="1:1" s="287" customFormat="1" ht="12" hidden="1" customHeight="1">
      <c r="A10231" s="286"/>
    </row>
    <row r="10232" spans="1:1" s="287" customFormat="1" ht="12" hidden="1" customHeight="1">
      <c r="A10232" s="286"/>
    </row>
    <row r="10233" spans="1:1" s="287" customFormat="1" ht="12" hidden="1" customHeight="1">
      <c r="A10233" s="286"/>
    </row>
    <row r="10234" spans="1:1" s="287" customFormat="1" ht="12" hidden="1" customHeight="1">
      <c r="A10234" s="286"/>
    </row>
    <row r="10235" spans="1:1" s="287" customFormat="1" ht="12" hidden="1" customHeight="1">
      <c r="A10235" s="286"/>
    </row>
    <row r="10236" spans="1:1" s="287" customFormat="1" ht="12" hidden="1" customHeight="1">
      <c r="A10236" s="286"/>
    </row>
    <row r="10237" spans="1:1" s="287" customFormat="1" ht="12" hidden="1" customHeight="1">
      <c r="A10237" s="286"/>
    </row>
    <row r="10238" spans="1:1" s="287" customFormat="1" ht="12" hidden="1" customHeight="1">
      <c r="A10238" s="286"/>
    </row>
    <row r="10239" spans="1:1" s="287" customFormat="1" ht="12" hidden="1" customHeight="1">
      <c r="A10239" s="286"/>
    </row>
    <row r="10240" spans="1:1" s="287" customFormat="1" ht="12" hidden="1" customHeight="1">
      <c r="A10240" s="286"/>
    </row>
    <row r="10241" spans="1:1" s="287" customFormat="1" ht="12" hidden="1" customHeight="1">
      <c r="A10241" s="286"/>
    </row>
    <row r="10242" spans="1:1" s="287" customFormat="1" ht="12" hidden="1" customHeight="1">
      <c r="A10242" s="286"/>
    </row>
    <row r="10243" spans="1:1" s="287" customFormat="1" ht="12" hidden="1" customHeight="1">
      <c r="A10243" s="286"/>
    </row>
    <row r="10244" spans="1:1" s="287" customFormat="1" ht="12" hidden="1" customHeight="1">
      <c r="A10244" s="286"/>
    </row>
    <row r="10245" spans="1:1" s="287" customFormat="1" ht="12" hidden="1" customHeight="1">
      <c r="A10245" s="286"/>
    </row>
    <row r="10246" spans="1:1" s="287" customFormat="1" ht="12" hidden="1" customHeight="1">
      <c r="A10246" s="286"/>
    </row>
    <row r="10247" spans="1:1" s="287" customFormat="1" ht="12" hidden="1" customHeight="1">
      <c r="A10247" s="286"/>
    </row>
    <row r="10248" spans="1:1" s="287" customFormat="1" ht="12" hidden="1" customHeight="1">
      <c r="A10248" s="286"/>
    </row>
    <row r="10249" spans="1:1" s="287" customFormat="1" ht="12" hidden="1" customHeight="1">
      <c r="A10249" s="286"/>
    </row>
    <row r="10250" spans="1:1" s="287" customFormat="1" ht="12" hidden="1" customHeight="1">
      <c r="A10250" s="286"/>
    </row>
    <row r="10251" spans="1:1" s="287" customFormat="1" ht="12" hidden="1" customHeight="1">
      <c r="A10251" s="286"/>
    </row>
    <row r="10252" spans="1:1" s="287" customFormat="1" ht="12" hidden="1" customHeight="1">
      <c r="A10252" s="286"/>
    </row>
    <row r="10253" spans="1:1" s="287" customFormat="1" ht="12" hidden="1" customHeight="1">
      <c r="A10253" s="286"/>
    </row>
    <row r="10254" spans="1:1" s="287" customFormat="1" ht="12" hidden="1" customHeight="1">
      <c r="A10254" s="286"/>
    </row>
    <row r="10255" spans="1:1" s="287" customFormat="1" ht="12" hidden="1" customHeight="1">
      <c r="A10255" s="286"/>
    </row>
    <row r="10256" spans="1:1" s="287" customFormat="1" ht="12" hidden="1" customHeight="1">
      <c r="A10256" s="286"/>
    </row>
    <row r="10257" spans="1:1" s="287" customFormat="1" ht="12" hidden="1" customHeight="1">
      <c r="A10257" s="286"/>
    </row>
    <row r="10258" spans="1:1" s="287" customFormat="1" ht="12" hidden="1" customHeight="1">
      <c r="A10258" s="286"/>
    </row>
    <row r="10259" spans="1:1" s="287" customFormat="1" ht="12" hidden="1" customHeight="1">
      <c r="A10259" s="286"/>
    </row>
    <row r="10260" spans="1:1" s="287" customFormat="1" ht="12" hidden="1" customHeight="1">
      <c r="A10260" s="286"/>
    </row>
    <row r="10261" spans="1:1" s="287" customFormat="1" ht="12" hidden="1" customHeight="1">
      <c r="A10261" s="286"/>
    </row>
    <row r="10262" spans="1:1" s="287" customFormat="1" ht="12" hidden="1" customHeight="1">
      <c r="A10262" s="286"/>
    </row>
    <row r="10263" spans="1:1" s="287" customFormat="1" ht="12" hidden="1" customHeight="1">
      <c r="A10263" s="286"/>
    </row>
    <row r="10264" spans="1:1" s="287" customFormat="1" ht="12" hidden="1" customHeight="1">
      <c r="A10264" s="286"/>
    </row>
    <row r="10265" spans="1:1" s="287" customFormat="1" ht="12" hidden="1" customHeight="1">
      <c r="A10265" s="286"/>
    </row>
    <row r="10266" spans="1:1" s="287" customFormat="1" ht="12" hidden="1" customHeight="1">
      <c r="A10266" s="286"/>
    </row>
    <row r="10267" spans="1:1" s="287" customFormat="1" ht="12" hidden="1" customHeight="1">
      <c r="A10267" s="286"/>
    </row>
    <row r="10268" spans="1:1" s="287" customFormat="1" ht="12" hidden="1" customHeight="1">
      <c r="A10268" s="286"/>
    </row>
    <row r="10269" spans="1:1" s="287" customFormat="1" ht="12" hidden="1" customHeight="1">
      <c r="A10269" s="286"/>
    </row>
    <row r="10270" spans="1:1" s="287" customFormat="1" ht="12" hidden="1" customHeight="1">
      <c r="A10270" s="286"/>
    </row>
    <row r="10271" spans="1:1" s="287" customFormat="1" ht="12" hidden="1" customHeight="1">
      <c r="A10271" s="286"/>
    </row>
    <row r="10272" spans="1:1" s="287" customFormat="1" ht="12" hidden="1" customHeight="1">
      <c r="A10272" s="286"/>
    </row>
    <row r="10273" spans="1:1" s="287" customFormat="1" ht="12" hidden="1" customHeight="1">
      <c r="A10273" s="286"/>
    </row>
    <row r="10274" spans="1:1" s="287" customFormat="1" ht="12" hidden="1" customHeight="1">
      <c r="A10274" s="286"/>
    </row>
    <row r="10275" spans="1:1" s="287" customFormat="1" ht="12" hidden="1" customHeight="1">
      <c r="A10275" s="286"/>
    </row>
    <row r="10276" spans="1:1" s="287" customFormat="1" ht="12" hidden="1" customHeight="1">
      <c r="A10276" s="286"/>
    </row>
    <row r="10277" spans="1:1" s="287" customFormat="1" ht="12" hidden="1" customHeight="1">
      <c r="A10277" s="286"/>
    </row>
    <row r="10278" spans="1:1" s="287" customFormat="1" ht="12" hidden="1" customHeight="1">
      <c r="A10278" s="286"/>
    </row>
    <row r="10279" spans="1:1" s="287" customFormat="1" ht="12" hidden="1" customHeight="1">
      <c r="A10279" s="286"/>
    </row>
    <row r="10280" spans="1:1" s="287" customFormat="1" ht="12" hidden="1" customHeight="1">
      <c r="A10280" s="286"/>
    </row>
    <row r="10281" spans="1:1" s="287" customFormat="1" ht="12" hidden="1" customHeight="1">
      <c r="A10281" s="286"/>
    </row>
    <row r="10282" spans="1:1" s="287" customFormat="1" ht="12" hidden="1" customHeight="1">
      <c r="A10282" s="286"/>
    </row>
    <row r="10283" spans="1:1" s="287" customFormat="1" ht="12" hidden="1" customHeight="1">
      <c r="A10283" s="286"/>
    </row>
    <row r="10284" spans="1:1" s="287" customFormat="1" ht="12" hidden="1" customHeight="1">
      <c r="A10284" s="286"/>
    </row>
    <row r="10285" spans="1:1" s="287" customFormat="1" ht="12" hidden="1" customHeight="1">
      <c r="A10285" s="286"/>
    </row>
    <row r="10286" spans="1:1" s="287" customFormat="1" ht="12" hidden="1" customHeight="1">
      <c r="A10286" s="286"/>
    </row>
    <row r="10287" spans="1:1" s="287" customFormat="1" ht="12" hidden="1" customHeight="1">
      <c r="A10287" s="286"/>
    </row>
    <row r="10288" spans="1:1" s="287" customFormat="1" ht="12" hidden="1" customHeight="1">
      <c r="A10288" s="286"/>
    </row>
    <row r="10289" spans="1:1" s="287" customFormat="1" ht="12" hidden="1" customHeight="1">
      <c r="A10289" s="286"/>
    </row>
    <row r="10290" spans="1:1" s="287" customFormat="1" ht="12" hidden="1" customHeight="1">
      <c r="A10290" s="286"/>
    </row>
    <row r="10291" spans="1:1" s="287" customFormat="1" ht="12" hidden="1" customHeight="1">
      <c r="A10291" s="286"/>
    </row>
    <row r="10292" spans="1:1" s="287" customFormat="1" ht="12" hidden="1" customHeight="1">
      <c r="A10292" s="286"/>
    </row>
    <row r="10293" spans="1:1" s="287" customFormat="1" ht="12" hidden="1" customHeight="1">
      <c r="A10293" s="286"/>
    </row>
    <row r="10294" spans="1:1" s="287" customFormat="1" ht="12" hidden="1" customHeight="1">
      <c r="A10294" s="286"/>
    </row>
    <row r="10295" spans="1:1" s="287" customFormat="1" ht="12" hidden="1" customHeight="1">
      <c r="A10295" s="286"/>
    </row>
    <row r="10296" spans="1:1" s="287" customFormat="1" ht="12" hidden="1" customHeight="1">
      <c r="A10296" s="286"/>
    </row>
    <row r="10297" spans="1:1" s="287" customFormat="1" ht="12" hidden="1" customHeight="1">
      <c r="A10297" s="286"/>
    </row>
    <row r="10298" spans="1:1" s="287" customFormat="1" ht="12" hidden="1" customHeight="1">
      <c r="A10298" s="286"/>
    </row>
    <row r="10299" spans="1:1" s="287" customFormat="1" ht="12" hidden="1" customHeight="1">
      <c r="A10299" s="286"/>
    </row>
    <row r="10300" spans="1:1" s="287" customFormat="1" ht="12" hidden="1" customHeight="1">
      <c r="A10300" s="286"/>
    </row>
    <row r="10301" spans="1:1" s="287" customFormat="1" ht="12" hidden="1" customHeight="1">
      <c r="A10301" s="286"/>
    </row>
    <row r="10302" spans="1:1" s="287" customFormat="1" ht="12" hidden="1" customHeight="1">
      <c r="A10302" s="286"/>
    </row>
    <row r="10303" spans="1:1" s="287" customFormat="1" ht="12" hidden="1" customHeight="1">
      <c r="A10303" s="286"/>
    </row>
    <row r="10304" spans="1:1" s="287" customFormat="1" ht="12" hidden="1" customHeight="1">
      <c r="A10304" s="286"/>
    </row>
    <row r="10305" spans="1:1" s="287" customFormat="1" ht="12" hidden="1" customHeight="1">
      <c r="A10305" s="286"/>
    </row>
    <row r="10306" spans="1:1" s="287" customFormat="1" ht="12" hidden="1" customHeight="1">
      <c r="A10306" s="286"/>
    </row>
    <row r="10307" spans="1:1" s="287" customFormat="1" ht="12" hidden="1" customHeight="1">
      <c r="A10307" s="286"/>
    </row>
    <row r="10308" spans="1:1" s="287" customFormat="1" ht="12" hidden="1" customHeight="1">
      <c r="A10308" s="286"/>
    </row>
    <row r="10309" spans="1:1" s="287" customFormat="1" ht="12" hidden="1" customHeight="1">
      <c r="A10309" s="286"/>
    </row>
    <row r="10310" spans="1:1" s="287" customFormat="1" ht="12" hidden="1" customHeight="1">
      <c r="A10310" s="286"/>
    </row>
    <row r="10311" spans="1:1" s="287" customFormat="1" ht="12" hidden="1" customHeight="1">
      <c r="A10311" s="286"/>
    </row>
    <row r="10312" spans="1:1" s="287" customFormat="1" ht="12" hidden="1" customHeight="1">
      <c r="A10312" s="286"/>
    </row>
    <row r="10313" spans="1:1" s="287" customFormat="1" ht="12" hidden="1" customHeight="1">
      <c r="A10313" s="286"/>
    </row>
    <row r="10314" spans="1:1" s="287" customFormat="1" ht="12" hidden="1" customHeight="1">
      <c r="A10314" s="286"/>
    </row>
    <row r="10315" spans="1:1" s="287" customFormat="1" ht="12" hidden="1" customHeight="1">
      <c r="A10315" s="286"/>
    </row>
    <row r="10316" spans="1:1" s="287" customFormat="1" ht="12" hidden="1" customHeight="1">
      <c r="A10316" s="286"/>
    </row>
    <row r="10317" spans="1:1" s="287" customFormat="1" ht="12" hidden="1" customHeight="1">
      <c r="A10317" s="286"/>
    </row>
    <row r="10318" spans="1:1" s="287" customFormat="1" ht="12" hidden="1" customHeight="1">
      <c r="A10318" s="286"/>
    </row>
    <row r="10319" spans="1:1" s="287" customFormat="1" ht="12" hidden="1" customHeight="1">
      <c r="A10319" s="286"/>
    </row>
    <row r="10320" spans="1:1" s="287" customFormat="1" ht="12" hidden="1" customHeight="1">
      <c r="A10320" s="286"/>
    </row>
    <row r="10321" spans="1:1" s="287" customFormat="1" ht="12" hidden="1" customHeight="1">
      <c r="A10321" s="286"/>
    </row>
    <row r="10322" spans="1:1" s="287" customFormat="1" ht="12" hidden="1" customHeight="1">
      <c r="A10322" s="286"/>
    </row>
    <row r="10323" spans="1:1" s="287" customFormat="1" ht="12" hidden="1" customHeight="1">
      <c r="A10323" s="286"/>
    </row>
    <row r="10324" spans="1:1" s="287" customFormat="1" ht="12" hidden="1" customHeight="1">
      <c r="A10324" s="286"/>
    </row>
    <row r="10325" spans="1:1" s="287" customFormat="1" ht="12" hidden="1" customHeight="1">
      <c r="A10325" s="286"/>
    </row>
    <row r="10326" spans="1:1" s="287" customFormat="1" ht="12" hidden="1" customHeight="1">
      <c r="A10326" s="286"/>
    </row>
    <row r="10327" spans="1:1" s="287" customFormat="1" ht="12" hidden="1" customHeight="1">
      <c r="A10327" s="286"/>
    </row>
    <row r="10328" spans="1:1" s="287" customFormat="1" ht="12" hidden="1" customHeight="1">
      <c r="A10328" s="286"/>
    </row>
    <row r="10329" spans="1:1" s="287" customFormat="1" ht="12" hidden="1" customHeight="1">
      <c r="A10329" s="286"/>
    </row>
    <row r="10330" spans="1:1" s="287" customFormat="1" ht="12" hidden="1" customHeight="1">
      <c r="A10330" s="286"/>
    </row>
    <row r="10331" spans="1:1" s="287" customFormat="1" ht="12" hidden="1" customHeight="1">
      <c r="A10331" s="286"/>
    </row>
    <row r="10332" spans="1:1" s="287" customFormat="1" ht="12" hidden="1" customHeight="1">
      <c r="A10332" s="286"/>
    </row>
    <row r="10333" spans="1:1" s="287" customFormat="1" ht="12" hidden="1" customHeight="1">
      <c r="A10333" s="286"/>
    </row>
    <row r="10334" spans="1:1" s="287" customFormat="1" ht="12" hidden="1" customHeight="1">
      <c r="A10334" s="286"/>
    </row>
    <row r="10335" spans="1:1" s="287" customFormat="1" ht="12" hidden="1" customHeight="1">
      <c r="A10335" s="286"/>
    </row>
    <row r="10336" spans="1:1" s="287" customFormat="1" ht="12" hidden="1" customHeight="1">
      <c r="A10336" s="286"/>
    </row>
    <row r="10337" spans="1:1" s="287" customFormat="1" ht="12" hidden="1" customHeight="1">
      <c r="A10337" s="286"/>
    </row>
    <row r="10338" spans="1:1" s="287" customFormat="1" ht="12" hidden="1" customHeight="1">
      <c r="A10338" s="286"/>
    </row>
    <row r="10339" spans="1:1" s="287" customFormat="1" ht="12" hidden="1" customHeight="1">
      <c r="A10339" s="286"/>
    </row>
    <row r="10340" spans="1:1" s="287" customFormat="1" ht="12" hidden="1" customHeight="1">
      <c r="A10340" s="286"/>
    </row>
    <row r="10341" spans="1:1" s="287" customFormat="1" ht="12" hidden="1" customHeight="1">
      <c r="A10341" s="286"/>
    </row>
    <row r="10342" spans="1:1" s="287" customFormat="1" ht="12" hidden="1" customHeight="1">
      <c r="A10342" s="286"/>
    </row>
    <row r="10343" spans="1:1" s="287" customFormat="1" ht="12" hidden="1" customHeight="1">
      <c r="A10343" s="286"/>
    </row>
    <row r="10344" spans="1:1" s="287" customFormat="1" ht="12" hidden="1" customHeight="1">
      <c r="A10344" s="286"/>
    </row>
    <row r="10345" spans="1:1" s="287" customFormat="1" ht="12" hidden="1" customHeight="1">
      <c r="A10345" s="286"/>
    </row>
    <row r="10346" spans="1:1" s="287" customFormat="1" ht="12" hidden="1" customHeight="1">
      <c r="A10346" s="286"/>
    </row>
    <row r="10347" spans="1:1" s="287" customFormat="1" ht="12" hidden="1" customHeight="1">
      <c r="A10347" s="286"/>
    </row>
    <row r="10348" spans="1:1" s="287" customFormat="1" ht="12" hidden="1" customHeight="1">
      <c r="A10348" s="286"/>
    </row>
    <row r="10349" spans="1:1" s="287" customFormat="1" ht="12" hidden="1" customHeight="1">
      <c r="A10349" s="286"/>
    </row>
    <row r="10350" spans="1:1" s="287" customFormat="1" ht="12" hidden="1" customHeight="1">
      <c r="A10350" s="286"/>
    </row>
    <row r="10351" spans="1:1" s="287" customFormat="1" ht="12" hidden="1" customHeight="1">
      <c r="A10351" s="286"/>
    </row>
    <row r="10352" spans="1:1" s="287" customFormat="1" ht="12" hidden="1" customHeight="1">
      <c r="A10352" s="286"/>
    </row>
    <row r="10353" spans="1:1" s="287" customFormat="1" ht="12" hidden="1" customHeight="1">
      <c r="A10353" s="286"/>
    </row>
    <row r="10354" spans="1:1" s="287" customFormat="1" ht="12" hidden="1" customHeight="1">
      <c r="A10354" s="286"/>
    </row>
    <row r="10355" spans="1:1" s="287" customFormat="1" ht="12" hidden="1" customHeight="1">
      <c r="A10355" s="286"/>
    </row>
    <row r="10356" spans="1:1" s="287" customFormat="1" ht="12" hidden="1" customHeight="1">
      <c r="A10356" s="286"/>
    </row>
    <row r="10357" spans="1:1" s="287" customFormat="1" ht="12" hidden="1" customHeight="1">
      <c r="A10357" s="286"/>
    </row>
    <row r="10358" spans="1:1" s="287" customFormat="1" ht="12" hidden="1" customHeight="1">
      <c r="A10358" s="286"/>
    </row>
    <row r="10359" spans="1:1" s="287" customFormat="1" ht="12" hidden="1" customHeight="1">
      <c r="A10359" s="286"/>
    </row>
    <row r="10360" spans="1:1" s="287" customFormat="1" ht="12" hidden="1" customHeight="1">
      <c r="A10360" s="286"/>
    </row>
    <row r="10361" spans="1:1" s="287" customFormat="1" ht="12" hidden="1" customHeight="1">
      <c r="A10361" s="286"/>
    </row>
    <row r="10362" spans="1:1" s="287" customFormat="1" ht="12" hidden="1" customHeight="1">
      <c r="A10362" s="286"/>
    </row>
    <row r="10363" spans="1:1" s="287" customFormat="1" ht="12" hidden="1" customHeight="1">
      <c r="A10363" s="286"/>
    </row>
    <row r="10364" spans="1:1" s="287" customFormat="1" ht="12" hidden="1" customHeight="1">
      <c r="A10364" s="286"/>
    </row>
    <row r="10365" spans="1:1" s="287" customFormat="1" ht="12" hidden="1" customHeight="1">
      <c r="A10365" s="286"/>
    </row>
    <row r="10366" spans="1:1" s="287" customFormat="1" ht="12" hidden="1" customHeight="1">
      <c r="A10366" s="286"/>
    </row>
    <row r="10367" spans="1:1" s="287" customFormat="1" ht="12" hidden="1" customHeight="1">
      <c r="A10367" s="286"/>
    </row>
    <row r="10368" spans="1:1" s="287" customFormat="1" ht="12" hidden="1" customHeight="1">
      <c r="A10368" s="286"/>
    </row>
    <row r="10369" spans="1:1" s="287" customFormat="1" ht="12" hidden="1" customHeight="1">
      <c r="A10369" s="286"/>
    </row>
    <row r="10370" spans="1:1" s="287" customFormat="1" ht="12" hidden="1" customHeight="1">
      <c r="A10370" s="286"/>
    </row>
    <row r="10371" spans="1:1" s="287" customFormat="1" ht="12" hidden="1" customHeight="1">
      <c r="A10371" s="286"/>
    </row>
    <row r="10372" spans="1:1" s="287" customFormat="1" ht="12" hidden="1" customHeight="1">
      <c r="A10372" s="286"/>
    </row>
    <row r="10373" spans="1:1" s="287" customFormat="1" ht="12" hidden="1" customHeight="1">
      <c r="A10373" s="286"/>
    </row>
    <row r="10374" spans="1:1" s="287" customFormat="1" ht="12" hidden="1" customHeight="1">
      <c r="A10374" s="286"/>
    </row>
    <row r="10375" spans="1:1" s="287" customFormat="1" ht="12" hidden="1" customHeight="1">
      <c r="A10375" s="286"/>
    </row>
    <row r="10376" spans="1:1" s="287" customFormat="1" ht="12" hidden="1" customHeight="1">
      <c r="A10376" s="286"/>
    </row>
    <row r="10377" spans="1:1" s="287" customFormat="1" ht="12" hidden="1" customHeight="1">
      <c r="A10377" s="286"/>
    </row>
    <row r="10378" spans="1:1" s="287" customFormat="1" ht="12" hidden="1" customHeight="1">
      <c r="A10378" s="286"/>
    </row>
    <row r="10379" spans="1:1" s="287" customFormat="1" ht="12" hidden="1" customHeight="1">
      <c r="A10379" s="286"/>
    </row>
    <row r="10380" spans="1:1" s="287" customFormat="1" ht="12" hidden="1" customHeight="1">
      <c r="A10380" s="286"/>
    </row>
    <row r="10381" spans="1:1" s="287" customFormat="1" ht="12" hidden="1" customHeight="1">
      <c r="A10381" s="286"/>
    </row>
    <row r="10382" spans="1:1" s="287" customFormat="1" ht="12" hidden="1" customHeight="1">
      <c r="A10382" s="286"/>
    </row>
    <row r="10383" spans="1:1" s="287" customFormat="1" ht="12" hidden="1" customHeight="1">
      <c r="A10383" s="286"/>
    </row>
    <row r="10384" spans="1:1" s="287" customFormat="1" ht="12" hidden="1" customHeight="1">
      <c r="A10384" s="286"/>
    </row>
    <row r="10385" spans="1:1" s="287" customFormat="1" ht="12" hidden="1" customHeight="1">
      <c r="A10385" s="286"/>
    </row>
    <row r="10386" spans="1:1" s="287" customFormat="1" ht="12" hidden="1" customHeight="1">
      <c r="A10386" s="286"/>
    </row>
    <row r="10387" spans="1:1" s="287" customFormat="1" ht="12" hidden="1" customHeight="1">
      <c r="A10387" s="286"/>
    </row>
    <row r="10388" spans="1:1" s="287" customFormat="1" ht="12" hidden="1" customHeight="1">
      <c r="A10388" s="286"/>
    </row>
    <row r="10389" spans="1:1" s="287" customFormat="1" ht="12" hidden="1" customHeight="1">
      <c r="A10389" s="286"/>
    </row>
    <row r="10390" spans="1:1" s="287" customFormat="1" ht="12" hidden="1" customHeight="1">
      <c r="A10390" s="286"/>
    </row>
    <row r="10391" spans="1:1" s="287" customFormat="1" ht="12" hidden="1" customHeight="1">
      <c r="A10391" s="286"/>
    </row>
    <row r="10392" spans="1:1" s="287" customFormat="1" ht="12" hidden="1" customHeight="1">
      <c r="A10392" s="286"/>
    </row>
    <row r="10393" spans="1:1" s="287" customFormat="1" ht="12" hidden="1" customHeight="1">
      <c r="A10393" s="286"/>
    </row>
    <row r="10394" spans="1:1" s="287" customFormat="1" ht="12" hidden="1" customHeight="1">
      <c r="A10394" s="286"/>
    </row>
    <row r="10395" spans="1:1" s="287" customFormat="1" ht="12" hidden="1" customHeight="1">
      <c r="A10395" s="286"/>
    </row>
    <row r="10396" spans="1:1" s="287" customFormat="1" ht="12" hidden="1" customHeight="1">
      <c r="A10396" s="286"/>
    </row>
    <row r="10397" spans="1:1" s="287" customFormat="1" ht="12" hidden="1" customHeight="1">
      <c r="A10397" s="286"/>
    </row>
    <row r="10398" spans="1:1" s="287" customFormat="1" ht="12" hidden="1" customHeight="1">
      <c r="A10398" s="286"/>
    </row>
    <row r="10399" spans="1:1" s="287" customFormat="1" ht="12" hidden="1" customHeight="1">
      <c r="A10399" s="286"/>
    </row>
    <row r="10400" spans="1:1" s="287" customFormat="1" ht="12" hidden="1" customHeight="1">
      <c r="A10400" s="286"/>
    </row>
    <row r="10401" spans="1:1" s="287" customFormat="1" ht="12" hidden="1" customHeight="1">
      <c r="A10401" s="286"/>
    </row>
    <row r="10402" spans="1:1" s="287" customFormat="1" ht="12" hidden="1" customHeight="1">
      <c r="A10402" s="286"/>
    </row>
    <row r="10403" spans="1:1" s="287" customFormat="1" ht="12" hidden="1" customHeight="1">
      <c r="A10403" s="286"/>
    </row>
    <row r="10404" spans="1:1" s="287" customFormat="1" ht="12" hidden="1" customHeight="1">
      <c r="A10404" s="286"/>
    </row>
    <row r="10405" spans="1:1" s="287" customFormat="1" ht="12" hidden="1" customHeight="1">
      <c r="A10405" s="286"/>
    </row>
    <row r="10406" spans="1:1" s="287" customFormat="1" ht="12" hidden="1" customHeight="1">
      <c r="A10406" s="286"/>
    </row>
    <row r="10407" spans="1:1" s="287" customFormat="1" ht="12" hidden="1" customHeight="1">
      <c r="A10407" s="286"/>
    </row>
    <row r="10408" spans="1:1" s="287" customFormat="1" ht="12" hidden="1" customHeight="1">
      <c r="A10408" s="286"/>
    </row>
    <row r="10409" spans="1:1" s="287" customFormat="1" ht="12" hidden="1" customHeight="1">
      <c r="A10409" s="286"/>
    </row>
    <row r="10410" spans="1:1" s="287" customFormat="1" ht="12" hidden="1" customHeight="1">
      <c r="A10410" s="286"/>
    </row>
    <row r="10411" spans="1:1" s="287" customFormat="1" ht="12" hidden="1" customHeight="1">
      <c r="A10411" s="286"/>
    </row>
    <row r="10412" spans="1:1" s="287" customFormat="1" ht="12" hidden="1" customHeight="1">
      <c r="A10412" s="286"/>
    </row>
    <row r="10413" spans="1:1" s="287" customFormat="1" ht="12" hidden="1" customHeight="1">
      <c r="A10413" s="286"/>
    </row>
    <row r="10414" spans="1:1" s="287" customFormat="1" ht="12" hidden="1" customHeight="1">
      <c r="A10414" s="286"/>
    </row>
    <row r="10415" spans="1:1" s="287" customFormat="1" ht="12" hidden="1" customHeight="1">
      <c r="A10415" s="286"/>
    </row>
    <row r="10416" spans="1:1" s="287" customFormat="1" ht="12" hidden="1" customHeight="1">
      <c r="A10416" s="286"/>
    </row>
    <row r="10417" spans="1:1" s="287" customFormat="1" ht="12" hidden="1" customHeight="1">
      <c r="A10417" s="286"/>
    </row>
    <row r="10418" spans="1:1" s="287" customFormat="1" ht="12" hidden="1" customHeight="1">
      <c r="A10418" s="286"/>
    </row>
    <row r="10419" spans="1:1" s="287" customFormat="1" ht="12" hidden="1" customHeight="1">
      <c r="A10419" s="286"/>
    </row>
    <row r="10420" spans="1:1" s="287" customFormat="1" ht="12" hidden="1" customHeight="1">
      <c r="A10420" s="286"/>
    </row>
    <row r="10421" spans="1:1" s="287" customFormat="1" ht="12" hidden="1" customHeight="1">
      <c r="A10421" s="286"/>
    </row>
    <row r="10422" spans="1:1" s="287" customFormat="1" ht="12" hidden="1" customHeight="1">
      <c r="A10422" s="286"/>
    </row>
    <row r="10423" spans="1:1" s="287" customFormat="1" ht="12" hidden="1" customHeight="1">
      <c r="A10423" s="286"/>
    </row>
    <row r="10424" spans="1:1" s="287" customFormat="1" ht="12" hidden="1" customHeight="1">
      <c r="A10424" s="286"/>
    </row>
    <row r="10425" spans="1:1" s="287" customFormat="1" ht="12" hidden="1" customHeight="1">
      <c r="A10425" s="286"/>
    </row>
    <row r="10426" spans="1:1" s="287" customFormat="1" ht="12" hidden="1" customHeight="1">
      <c r="A10426" s="286"/>
    </row>
    <row r="10427" spans="1:1" s="287" customFormat="1" ht="12" hidden="1" customHeight="1">
      <c r="A10427" s="286"/>
    </row>
    <row r="10428" spans="1:1" s="287" customFormat="1" ht="12" hidden="1" customHeight="1">
      <c r="A10428" s="286"/>
    </row>
    <row r="10429" spans="1:1" s="287" customFormat="1" ht="12" hidden="1" customHeight="1">
      <c r="A10429" s="286"/>
    </row>
    <row r="10430" spans="1:1" s="287" customFormat="1" ht="12" hidden="1" customHeight="1">
      <c r="A10430" s="286"/>
    </row>
    <row r="10431" spans="1:1" s="287" customFormat="1" ht="12" hidden="1" customHeight="1">
      <c r="A10431" s="286"/>
    </row>
    <row r="10432" spans="1:1" s="287" customFormat="1" ht="12" hidden="1" customHeight="1">
      <c r="A10432" s="286"/>
    </row>
    <row r="10433" spans="1:1" s="287" customFormat="1" ht="12" hidden="1" customHeight="1">
      <c r="A10433" s="286"/>
    </row>
    <row r="10434" spans="1:1" s="287" customFormat="1" ht="12" hidden="1" customHeight="1">
      <c r="A10434" s="286"/>
    </row>
    <row r="10435" spans="1:1" s="287" customFormat="1" ht="12" hidden="1" customHeight="1">
      <c r="A10435" s="286"/>
    </row>
    <row r="10436" spans="1:1" s="287" customFormat="1" ht="12" hidden="1" customHeight="1">
      <c r="A10436" s="286"/>
    </row>
    <row r="10437" spans="1:1" s="287" customFormat="1" ht="12" hidden="1" customHeight="1">
      <c r="A10437" s="286"/>
    </row>
    <row r="10438" spans="1:1" s="287" customFormat="1" ht="12" hidden="1" customHeight="1">
      <c r="A10438" s="286"/>
    </row>
    <row r="10439" spans="1:1" s="287" customFormat="1" ht="12" hidden="1" customHeight="1">
      <c r="A10439" s="286"/>
    </row>
    <row r="10440" spans="1:1" s="287" customFormat="1" ht="12" hidden="1" customHeight="1">
      <c r="A10440" s="286"/>
    </row>
    <row r="10441" spans="1:1" s="287" customFormat="1" ht="12" hidden="1" customHeight="1">
      <c r="A10441" s="286"/>
    </row>
    <row r="10442" spans="1:1" s="287" customFormat="1" ht="12" hidden="1" customHeight="1">
      <c r="A10442" s="286"/>
    </row>
    <row r="10443" spans="1:1" s="287" customFormat="1" ht="12" hidden="1" customHeight="1">
      <c r="A10443" s="286"/>
    </row>
    <row r="10444" spans="1:1" s="287" customFormat="1" ht="12" hidden="1" customHeight="1">
      <c r="A10444" s="286"/>
    </row>
    <row r="10445" spans="1:1" s="287" customFormat="1" ht="12" hidden="1" customHeight="1">
      <c r="A10445" s="286"/>
    </row>
    <row r="10446" spans="1:1" s="287" customFormat="1" ht="12" hidden="1" customHeight="1">
      <c r="A10446" s="286"/>
    </row>
    <row r="10447" spans="1:1" s="287" customFormat="1" ht="12" hidden="1" customHeight="1">
      <c r="A10447" s="286"/>
    </row>
    <row r="10448" spans="1:1" s="287" customFormat="1" ht="12" hidden="1" customHeight="1">
      <c r="A10448" s="286"/>
    </row>
    <row r="10449" spans="1:1" s="287" customFormat="1" ht="12" hidden="1" customHeight="1">
      <c r="A10449" s="286"/>
    </row>
    <row r="10450" spans="1:1" s="287" customFormat="1" ht="12" hidden="1" customHeight="1">
      <c r="A10450" s="286"/>
    </row>
    <row r="10451" spans="1:1" s="287" customFormat="1" ht="12" hidden="1" customHeight="1">
      <c r="A10451" s="286"/>
    </row>
    <row r="10452" spans="1:1" s="287" customFormat="1" ht="12" hidden="1" customHeight="1">
      <c r="A10452" s="286"/>
    </row>
    <row r="10453" spans="1:1" s="287" customFormat="1" ht="12" hidden="1" customHeight="1">
      <c r="A10453" s="286"/>
    </row>
    <row r="10454" spans="1:1" s="287" customFormat="1" ht="12" hidden="1" customHeight="1">
      <c r="A10454" s="286"/>
    </row>
    <row r="10455" spans="1:1" s="287" customFormat="1" ht="12" hidden="1" customHeight="1">
      <c r="A10455" s="286"/>
    </row>
    <row r="10456" spans="1:1" s="287" customFormat="1" ht="12" hidden="1" customHeight="1">
      <c r="A10456" s="286"/>
    </row>
    <row r="10457" spans="1:1" s="287" customFormat="1" ht="12" hidden="1" customHeight="1">
      <c r="A10457" s="286"/>
    </row>
    <row r="10458" spans="1:1" s="287" customFormat="1" ht="12" hidden="1" customHeight="1">
      <c r="A10458" s="286"/>
    </row>
    <row r="10459" spans="1:1" s="287" customFormat="1" ht="12" hidden="1" customHeight="1">
      <c r="A10459" s="286"/>
    </row>
    <row r="10460" spans="1:1" s="287" customFormat="1" ht="12" hidden="1" customHeight="1">
      <c r="A10460" s="286"/>
    </row>
    <row r="10461" spans="1:1" s="287" customFormat="1" ht="12" hidden="1" customHeight="1">
      <c r="A10461" s="286"/>
    </row>
    <row r="10462" spans="1:1" s="287" customFormat="1" ht="12" hidden="1" customHeight="1">
      <c r="A10462" s="286"/>
    </row>
    <row r="10463" spans="1:1" s="287" customFormat="1" ht="12" hidden="1" customHeight="1">
      <c r="A10463" s="286"/>
    </row>
    <row r="10464" spans="1:1" s="287" customFormat="1" ht="12" hidden="1" customHeight="1">
      <c r="A10464" s="286"/>
    </row>
    <row r="10465" spans="1:1" s="287" customFormat="1" ht="12" hidden="1" customHeight="1">
      <c r="A10465" s="286"/>
    </row>
    <row r="10466" spans="1:1" s="287" customFormat="1" ht="12" hidden="1" customHeight="1">
      <c r="A10466" s="286"/>
    </row>
    <row r="10467" spans="1:1" s="287" customFormat="1" ht="12" hidden="1" customHeight="1">
      <c r="A10467" s="286"/>
    </row>
    <row r="10468" spans="1:1" s="287" customFormat="1" ht="12" hidden="1" customHeight="1">
      <c r="A10468" s="286"/>
    </row>
    <row r="10469" spans="1:1" s="287" customFormat="1" ht="12" hidden="1" customHeight="1">
      <c r="A10469" s="286"/>
    </row>
    <row r="10470" spans="1:1" s="287" customFormat="1" ht="12" hidden="1" customHeight="1">
      <c r="A10470" s="286"/>
    </row>
    <row r="10471" spans="1:1" s="287" customFormat="1" ht="12" hidden="1" customHeight="1">
      <c r="A10471" s="286"/>
    </row>
    <row r="10472" spans="1:1" s="287" customFormat="1" ht="12" hidden="1" customHeight="1">
      <c r="A10472" s="286"/>
    </row>
    <row r="10473" spans="1:1" s="287" customFormat="1" ht="12" hidden="1" customHeight="1">
      <c r="A10473" s="286"/>
    </row>
    <row r="10474" spans="1:1" s="287" customFormat="1" ht="12" hidden="1" customHeight="1">
      <c r="A10474" s="286"/>
    </row>
    <row r="10475" spans="1:1" s="287" customFormat="1" ht="12" hidden="1" customHeight="1">
      <c r="A10475" s="286"/>
    </row>
    <row r="10476" spans="1:1" s="287" customFormat="1" ht="12" hidden="1" customHeight="1">
      <c r="A10476" s="286"/>
    </row>
    <row r="10477" spans="1:1" s="287" customFormat="1" ht="12" hidden="1" customHeight="1">
      <c r="A10477" s="286"/>
    </row>
    <row r="10478" spans="1:1" s="287" customFormat="1" ht="12" hidden="1" customHeight="1">
      <c r="A10478" s="286"/>
    </row>
    <row r="10479" spans="1:1" s="287" customFormat="1" ht="12" hidden="1" customHeight="1">
      <c r="A10479" s="286"/>
    </row>
    <row r="10480" spans="1:1" s="287" customFormat="1" ht="12" hidden="1" customHeight="1">
      <c r="A10480" s="286"/>
    </row>
    <row r="10481" spans="1:1" s="287" customFormat="1" ht="12" hidden="1" customHeight="1">
      <c r="A10481" s="286"/>
    </row>
    <row r="10482" spans="1:1" s="287" customFormat="1" ht="12" hidden="1" customHeight="1">
      <c r="A10482" s="286"/>
    </row>
    <row r="10483" spans="1:1" s="287" customFormat="1" ht="12" hidden="1" customHeight="1">
      <c r="A10483" s="286"/>
    </row>
    <row r="10484" spans="1:1" s="287" customFormat="1" ht="12" hidden="1" customHeight="1">
      <c r="A10484" s="286"/>
    </row>
    <row r="10485" spans="1:1" s="287" customFormat="1" ht="12" hidden="1" customHeight="1">
      <c r="A10485" s="286"/>
    </row>
    <row r="10486" spans="1:1" s="287" customFormat="1" ht="12" hidden="1" customHeight="1">
      <c r="A10486" s="286"/>
    </row>
    <row r="10487" spans="1:1" s="287" customFormat="1" ht="12" hidden="1" customHeight="1">
      <c r="A10487" s="286"/>
    </row>
    <row r="10488" spans="1:1" s="287" customFormat="1" ht="12" hidden="1" customHeight="1">
      <c r="A10488" s="286"/>
    </row>
    <row r="10489" spans="1:1" s="287" customFormat="1" ht="12" hidden="1" customHeight="1">
      <c r="A10489" s="286"/>
    </row>
    <row r="10490" spans="1:1" s="287" customFormat="1" ht="12" hidden="1" customHeight="1">
      <c r="A10490" s="286"/>
    </row>
    <row r="10491" spans="1:1" s="287" customFormat="1" ht="12" hidden="1" customHeight="1">
      <c r="A10491" s="286"/>
    </row>
    <row r="10492" spans="1:1" s="287" customFormat="1" ht="12" hidden="1" customHeight="1">
      <c r="A10492" s="286"/>
    </row>
    <row r="10493" spans="1:1" s="287" customFormat="1" ht="12" hidden="1" customHeight="1">
      <c r="A10493" s="286"/>
    </row>
    <row r="10494" spans="1:1" s="287" customFormat="1" ht="12" hidden="1" customHeight="1">
      <c r="A10494" s="286"/>
    </row>
    <row r="10495" spans="1:1" s="287" customFormat="1" ht="12" hidden="1" customHeight="1">
      <c r="A10495" s="286"/>
    </row>
    <row r="10496" spans="1:1" s="287" customFormat="1" ht="12" hidden="1" customHeight="1">
      <c r="A10496" s="286"/>
    </row>
    <row r="10497" spans="1:1" s="287" customFormat="1" ht="12" hidden="1" customHeight="1">
      <c r="A10497" s="286"/>
    </row>
    <row r="10498" spans="1:1" s="287" customFormat="1" ht="12" hidden="1" customHeight="1">
      <c r="A10498" s="286"/>
    </row>
    <row r="10499" spans="1:1" s="287" customFormat="1" ht="12" hidden="1" customHeight="1">
      <c r="A10499" s="286"/>
    </row>
    <row r="10500" spans="1:1" s="287" customFormat="1" ht="12" hidden="1" customHeight="1">
      <c r="A10500" s="286"/>
    </row>
    <row r="10501" spans="1:1" s="287" customFormat="1" ht="12" hidden="1" customHeight="1">
      <c r="A10501" s="286"/>
    </row>
    <row r="10502" spans="1:1" s="287" customFormat="1" ht="12" hidden="1" customHeight="1">
      <c r="A10502" s="286"/>
    </row>
    <row r="10503" spans="1:1" s="287" customFormat="1" ht="12" hidden="1" customHeight="1">
      <c r="A10503" s="286"/>
    </row>
    <row r="10504" spans="1:1" s="287" customFormat="1" ht="12" hidden="1" customHeight="1">
      <c r="A10504" s="286"/>
    </row>
    <row r="10505" spans="1:1" s="287" customFormat="1" ht="12" hidden="1" customHeight="1">
      <c r="A10505" s="286"/>
    </row>
    <row r="10506" spans="1:1" s="287" customFormat="1" ht="12" hidden="1" customHeight="1">
      <c r="A10506" s="286"/>
    </row>
    <row r="10507" spans="1:1" s="287" customFormat="1" ht="12" hidden="1" customHeight="1">
      <c r="A10507" s="286"/>
    </row>
    <row r="10508" spans="1:1" s="287" customFormat="1" ht="12" hidden="1" customHeight="1">
      <c r="A10508" s="286"/>
    </row>
    <row r="10509" spans="1:1" s="287" customFormat="1" ht="12" hidden="1" customHeight="1">
      <c r="A10509" s="286"/>
    </row>
    <row r="10510" spans="1:1" s="287" customFormat="1" ht="12" hidden="1" customHeight="1">
      <c r="A10510" s="286"/>
    </row>
    <row r="10511" spans="1:1" s="287" customFormat="1" ht="12" hidden="1" customHeight="1">
      <c r="A10511" s="286"/>
    </row>
    <row r="10512" spans="1:1" s="287" customFormat="1" ht="12" hidden="1" customHeight="1">
      <c r="A10512" s="286"/>
    </row>
    <row r="10513" spans="1:1" s="287" customFormat="1" ht="12" hidden="1" customHeight="1">
      <c r="A10513" s="286"/>
    </row>
    <row r="10514" spans="1:1" s="287" customFormat="1" ht="12" hidden="1" customHeight="1">
      <c r="A10514" s="286"/>
    </row>
    <row r="10515" spans="1:1" s="287" customFormat="1" ht="12" hidden="1" customHeight="1">
      <c r="A10515" s="286"/>
    </row>
    <row r="10516" spans="1:1" s="287" customFormat="1" ht="12" hidden="1" customHeight="1">
      <c r="A10516" s="286"/>
    </row>
    <row r="10517" spans="1:1" s="287" customFormat="1" ht="12" hidden="1" customHeight="1">
      <c r="A10517" s="286"/>
    </row>
    <row r="10518" spans="1:1" s="287" customFormat="1" ht="12" hidden="1" customHeight="1">
      <c r="A10518" s="286"/>
    </row>
    <row r="10519" spans="1:1" s="287" customFormat="1" ht="12" hidden="1" customHeight="1">
      <c r="A10519" s="286"/>
    </row>
    <row r="10520" spans="1:1" s="287" customFormat="1" ht="12" hidden="1" customHeight="1">
      <c r="A10520" s="286"/>
    </row>
    <row r="10521" spans="1:1" s="287" customFormat="1" ht="12" hidden="1" customHeight="1">
      <c r="A10521" s="286"/>
    </row>
    <row r="10522" spans="1:1" s="287" customFormat="1" ht="12" hidden="1" customHeight="1">
      <c r="A10522" s="286"/>
    </row>
    <row r="10523" spans="1:1" s="287" customFormat="1" ht="12" hidden="1" customHeight="1">
      <c r="A10523" s="286"/>
    </row>
    <row r="10524" spans="1:1" s="287" customFormat="1" ht="12" hidden="1" customHeight="1">
      <c r="A10524" s="286"/>
    </row>
    <row r="10525" spans="1:1" s="287" customFormat="1" ht="12" hidden="1" customHeight="1">
      <c r="A10525" s="286"/>
    </row>
    <row r="10526" spans="1:1" s="287" customFormat="1" ht="12" hidden="1" customHeight="1">
      <c r="A10526" s="286"/>
    </row>
    <row r="10527" spans="1:1" s="287" customFormat="1" ht="12" hidden="1" customHeight="1">
      <c r="A10527" s="286"/>
    </row>
    <row r="10528" spans="1:1" s="287" customFormat="1" ht="12" hidden="1" customHeight="1">
      <c r="A10528" s="286"/>
    </row>
    <row r="10529" spans="1:1" s="287" customFormat="1" ht="12" hidden="1" customHeight="1">
      <c r="A10529" s="286"/>
    </row>
    <row r="10530" spans="1:1" s="287" customFormat="1" ht="12" hidden="1" customHeight="1">
      <c r="A10530" s="286"/>
    </row>
    <row r="10531" spans="1:1" s="287" customFormat="1" ht="12" hidden="1" customHeight="1">
      <c r="A10531" s="286"/>
    </row>
    <row r="10532" spans="1:1" s="287" customFormat="1" ht="12" hidden="1" customHeight="1">
      <c r="A10532" s="286"/>
    </row>
    <row r="10533" spans="1:1" s="287" customFormat="1" ht="12" hidden="1" customHeight="1">
      <c r="A10533" s="286"/>
    </row>
    <row r="10534" spans="1:1" s="287" customFormat="1" ht="12" hidden="1" customHeight="1">
      <c r="A10534" s="286"/>
    </row>
    <row r="10535" spans="1:1" s="287" customFormat="1" ht="12" hidden="1" customHeight="1">
      <c r="A10535" s="286"/>
    </row>
    <row r="10536" spans="1:1" s="287" customFormat="1" ht="12" hidden="1" customHeight="1">
      <c r="A10536" s="286"/>
    </row>
    <row r="10537" spans="1:1" s="287" customFormat="1" ht="12" hidden="1" customHeight="1">
      <c r="A10537" s="286"/>
    </row>
    <row r="10538" spans="1:1" s="287" customFormat="1" ht="12" hidden="1" customHeight="1">
      <c r="A10538" s="286"/>
    </row>
    <row r="10539" spans="1:1" s="287" customFormat="1" ht="12" hidden="1" customHeight="1">
      <c r="A10539" s="286"/>
    </row>
    <row r="10540" spans="1:1" s="287" customFormat="1" ht="12" hidden="1" customHeight="1">
      <c r="A10540" s="286"/>
    </row>
    <row r="10541" spans="1:1" s="287" customFormat="1" ht="12" hidden="1" customHeight="1">
      <c r="A10541" s="286"/>
    </row>
    <row r="10542" spans="1:1" s="287" customFormat="1" ht="12" hidden="1" customHeight="1">
      <c r="A10542" s="286"/>
    </row>
    <row r="10543" spans="1:1" s="287" customFormat="1" ht="12" hidden="1" customHeight="1">
      <c r="A10543" s="286"/>
    </row>
    <row r="10544" spans="1:1" s="287" customFormat="1" ht="12" hidden="1" customHeight="1">
      <c r="A10544" s="286"/>
    </row>
    <row r="10545" spans="1:1" s="287" customFormat="1" ht="12" hidden="1" customHeight="1">
      <c r="A10545" s="286"/>
    </row>
    <row r="10546" spans="1:1" s="287" customFormat="1" ht="12" hidden="1" customHeight="1">
      <c r="A10546" s="286"/>
    </row>
    <row r="10547" spans="1:1" s="287" customFormat="1" ht="12" hidden="1" customHeight="1">
      <c r="A10547" s="286"/>
    </row>
    <row r="10548" spans="1:1" s="287" customFormat="1" ht="12" hidden="1" customHeight="1">
      <c r="A10548" s="286"/>
    </row>
    <row r="10549" spans="1:1" s="287" customFormat="1" ht="12" hidden="1" customHeight="1">
      <c r="A10549" s="286"/>
    </row>
    <row r="10550" spans="1:1" s="287" customFormat="1" ht="12" hidden="1" customHeight="1">
      <c r="A10550" s="286"/>
    </row>
    <row r="10551" spans="1:1" s="287" customFormat="1" ht="12" hidden="1" customHeight="1">
      <c r="A10551" s="286"/>
    </row>
    <row r="10552" spans="1:1" s="287" customFormat="1" ht="12" hidden="1" customHeight="1">
      <c r="A10552" s="286"/>
    </row>
    <row r="10553" spans="1:1" s="287" customFormat="1" ht="12" hidden="1" customHeight="1">
      <c r="A10553" s="286"/>
    </row>
    <row r="10554" spans="1:1" s="287" customFormat="1" ht="12" hidden="1" customHeight="1">
      <c r="A10554" s="286"/>
    </row>
    <row r="10555" spans="1:1" s="287" customFormat="1" ht="12" hidden="1" customHeight="1">
      <c r="A10555" s="286"/>
    </row>
    <row r="10556" spans="1:1" s="287" customFormat="1" ht="12" hidden="1" customHeight="1">
      <c r="A10556" s="286"/>
    </row>
    <row r="10557" spans="1:1" s="287" customFormat="1" ht="12" hidden="1" customHeight="1">
      <c r="A10557" s="286"/>
    </row>
    <row r="10558" spans="1:1" s="287" customFormat="1" ht="12" hidden="1" customHeight="1">
      <c r="A10558" s="286"/>
    </row>
    <row r="10559" spans="1:1" s="287" customFormat="1" ht="12" hidden="1" customHeight="1">
      <c r="A10559" s="286"/>
    </row>
    <row r="10560" spans="1:1" s="287" customFormat="1" ht="12" hidden="1" customHeight="1">
      <c r="A10560" s="286"/>
    </row>
    <row r="10561" spans="1:1" s="287" customFormat="1" ht="12" hidden="1" customHeight="1">
      <c r="A10561" s="286"/>
    </row>
    <row r="10562" spans="1:1" s="287" customFormat="1" ht="12" hidden="1" customHeight="1">
      <c r="A10562" s="286"/>
    </row>
    <row r="10563" spans="1:1" s="287" customFormat="1" ht="12" hidden="1" customHeight="1">
      <c r="A10563" s="286"/>
    </row>
    <row r="10564" spans="1:1" s="287" customFormat="1" ht="12" hidden="1" customHeight="1">
      <c r="A10564" s="286"/>
    </row>
    <row r="10565" spans="1:1" s="287" customFormat="1" ht="12" hidden="1" customHeight="1">
      <c r="A10565" s="286"/>
    </row>
    <row r="10566" spans="1:1" s="287" customFormat="1" ht="12" hidden="1" customHeight="1">
      <c r="A10566" s="286"/>
    </row>
    <row r="10567" spans="1:1" s="287" customFormat="1" ht="12" hidden="1" customHeight="1">
      <c r="A10567" s="286"/>
    </row>
    <row r="10568" spans="1:1" s="287" customFormat="1" ht="12" hidden="1" customHeight="1">
      <c r="A10568" s="286"/>
    </row>
    <row r="10569" spans="1:1" s="287" customFormat="1" ht="12" hidden="1" customHeight="1">
      <c r="A10569" s="286"/>
    </row>
    <row r="10570" spans="1:1" s="287" customFormat="1" ht="12" hidden="1" customHeight="1">
      <c r="A10570" s="286"/>
    </row>
    <row r="10571" spans="1:1" s="287" customFormat="1" ht="12" hidden="1" customHeight="1">
      <c r="A10571" s="286"/>
    </row>
    <row r="10572" spans="1:1" s="287" customFormat="1" ht="12" hidden="1" customHeight="1">
      <c r="A10572" s="286"/>
    </row>
    <row r="10573" spans="1:1" s="287" customFormat="1" ht="12" hidden="1" customHeight="1">
      <c r="A10573" s="286"/>
    </row>
    <row r="10574" spans="1:1" s="287" customFormat="1" ht="12" hidden="1" customHeight="1">
      <c r="A10574" s="286"/>
    </row>
    <row r="10575" spans="1:1" s="287" customFormat="1" ht="12" hidden="1" customHeight="1">
      <c r="A10575" s="286"/>
    </row>
    <row r="10576" spans="1:1" s="287" customFormat="1" ht="12" hidden="1" customHeight="1">
      <c r="A10576" s="286"/>
    </row>
    <row r="10577" spans="1:1" s="287" customFormat="1" ht="12" hidden="1" customHeight="1">
      <c r="A10577" s="286"/>
    </row>
    <row r="10578" spans="1:1" s="287" customFormat="1" ht="12" hidden="1" customHeight="1">
      <c r="A10578" s="286"/>
    </row>
    <row r="10579" spans="1:1" s="287" customFormat="1" ht="12" hidden="1" customHeight="1">
      <c r="A10579" s="286"/>
    </row>
    <row r="10580" spans="1:1" s="287" customFormat="1" ht="12" hidden="1" customHeight="1">
      <c r="A10580" s="286"/>
    </row>
    <row r="10581" spans="1:1" s="287" customFormat="1" ht="12" hidden="1" customHeight="1">
      <c r="A10581" s="286"/>
    </row>
    <row r="10582" spans="1:1" s="287" customFormat="1" ht="12" hidden="1" customHeight="1">
      <c r="A10582" s="286"/>
    </row>
    <row r="10583" spans="1:1" s="287" customFormat="1" ht="12" hidden="1" customHeight="1">
      <c r="A10583" s="286"/>
    </row>
    <row r="10584" spans="1:1" s="287" customFormat="1" ht="12" hidden="1" customHeight="1">
      <c r="A10584" s="286"/>
    </row>
    <row r="10585" spans="1:1" s="287" customFormat="1" ht="12" hidden="1" customHeight="1">
      <c r="A10585" s="286"/>
    </row>
    <row r="10586" spans="1:1" s="287" customFormat="1" ht="12" hidden="1" customHeight="1">
      <c r="A10586" s="286"/>
    </row>
    <row r="10587" spans="1:1" s="287" customFormat="1" ht="12" hidden="1" customHeight="1">
      <c r="A10587" s="286"/>
    </row>
    <row r="10588" spans="1:1" s="287" customFormat="1" ht="12" hidden="1" customHeight="1">
      <c r="A10588" s="286"/>
    </row>
    <row r="10589" spans="1:1" s="287" customFormat="1" ht="12" hidden="1" customHeight="1">
      <c r="A10589" s="286"/>
    </row>
    <row r="10590" spans="1:1" s="287" customFormat="1" ht="12" hidden="1" customHeight="1">
      <c r="A10590" s="286"/>
    </row>
    <row r="10591" spans="1:1" s="287" customFormat="1" ht="12" hidden="1" customHeight="1">
      <c r="A10591" s="286"/>
    </row>
    <row r="10592" spans="1:1" s="287" customFormat="1" ht="12" hidden="1" customHeight="1">
      <c r="A10592" s="286"/>
    </row>
    <row r="10593" spans="1:1" s="287" customFormat="1" ht="12" hidden="1" customHeight="1">
      <c r="A10593" s="286"/>
    </row>
    <row r="10594" spans="1:1" s="287" customFormat="1" ht="12" hidden="1" customHeight="1">
      <c r="A10594" s="286"/>
    </row>
    <row r="10595" spans="1:1" s="287" customFormat="1" ht="12" hidden="1" customHeight="1">
      <c r="A10595" s="286"/>
    </row>
    <row r="10596" spans="1:1" s="287" customFormat="1" ht="12" hidden="1" customHeight="1">
      <c r="A10596" s="286"/>
    </row>
    <row r="10597" spans="1:1" s="287" customFormat="1" ht="12" hidden="1" customHeight="1">
      <c r="A10597" s="286"/>
    </row>
    <row r="10598" spans="1:1" s="287" customFormat="1" ht="12" hidden="1" customHeight="1">
      <c r="A10598" s="286"/>
    </row>
    <row r="10599" spans="1:1" s="287" customFormat="1" ht="12" hidden="1" customHeight="1">
      <c r="A10599" s="286"/>
    </row>
    <row r="10600" spans="1:1" s="287" customFormat="1" ht="12" hidden="1" customHeight="1">
      <c r="A10600" s="286"/>
    </row>
    <row r="10601" spans="1:1" s="287" customFormat="1" ht="12" hidden="1" customHeight="1">
      <c r="A10601" s="286"/>
    </row>
    <row r="10602" spans="1:1" s="287" customFormat="1" ht="12" hidden="1" customHeight="1">
      <c r="A10602" s="286"/>
    </row>
    <row r="10603" spans="1:1" s="287" customFormat="1" ht="12" hidden="1" customHeight="1">
      <c r="A10603" s="286"/>
    </row>
    <row r="10604" spans="1:1" s="287" customFormat="1" ht="12" hidden="1" customHeight="1">
      <c r="A10604" s="286"/>
    </row>
    <row r="10605" spans="1:1" s="287" customFormat="1" ht="12" hidden="1" customHeight="1">
      <c r="A10605" s="286"/>
    </row>
    <row r="10606" spans="1:1" s="287" customFormat="1" ht="12" hidden="1" customHeight="1">
      <c r="A10606" s="286"/>
    </row>
    <row r="10607" spans="1:1" s="287" customFormat="1" ht="12" hidden="1" customHeight="1">
      <c r="A10607" s="286"/>
    </row>
    <row r="10608" spans="1:1" s="287" customFormat="1" ht="12" hidden="1" customHeight="1">
      <c r="A10608" s="286"/>
    </row>
    <row r="10609" spans="1:1" s="287" customFormat="1" ht="12" hidden="1" customHeight="1">
      <c r="A10609" s="286"/>
    </row>
    <row r="10610" spans="1:1" s="287" customFormat="1" ht="12" hidden="1" customHeight="1">
      <c r="A10610" s="286"/>
    </row>
    <row r="10611" spans="1:1" s="287" customFormat="1" ht="12" hidden="1" customHeight="1">
      <c r="A10611" s="286"/>
    </row>
    <row r="10612" spans="1:1" s="287" customFormat="1" ht="12" hidden="1" customHeight="1">
      <c r="A10612" s="286"/>
    </row>
    <row r="10613" spans="1:1" s="287" customFormat="1" ht="12" hidden="1" customHeight="1">
      <c r="A10613" s="286"/>
    </row>
    <row r="10614" spans="1:1" s="287" customFormat="1" ht="12" hidden="1" customHeight="1">
      <c r="A10614" s="286"/>
    </row>
    <row r="10615" spans="1:1" s="287" customFormat="1" ht="12" hidden="1" customHeight="1">
      <c r="A10615" s="286"/>
    </row>
    <row r="10616" spans="1:1" s="287" customFormat="1" ht="12" hidden="1" customHeight="1">
      <c r="A10616" s="286"/>
    </row>
    <row r="10617" spans="1:1" s="287" customFormat="1" ht="12" hidden="1" customHeight="1">
      <c r="A10617" s="286"/>
    </row>
    <row r="10618" spans="1:1" s="287" customFormat="1" ht="12" hidden="1" customHeight="1">
      <c r="A10618" s="286"/>
    </row>
    <row r="10619" spans="1:1" s="287" customFormat="1" ht="12" hidden="1" customHeight="1">
      <c r="A10619" s="286"/>
    </row>
    <row r="10620" spans="1:1" s="287" customFormat="1" ht="12" hidden="1" customHeight="1">
      <c r="A10620" s="286"/>
    </row>
    <row r="10621" spans="1:1" s="287" customFormat="1" ht="12" hidden="1" customHeight="1">
      <c r="A10621" s="286"/>
    </row>
    <row r="10622" spans="1:1" s="287" customFormat="1" ht="12" hidden="1" customHeight="1">
      <c r="A10622" s="286"/>
    </row>
    <row r="10623" spans="1:1" s="287" customFormat="1" ht="12" hidden="1" customHeight="1">
      <c r="A10623" s="286"/>
    </row>
    <row r="10624" spans="1:1" s="287" customFormat="1" ht="12" hidden="1" customHeight="1">
      <c r="A10624" s="286"/>
    </row>
    <row r="10625" spans="1:1" s="287" customFormat="1" ht="12" hidden="1" customHeight="1">
      <c r="A10625" s="286"/>
    </row>
    <row r="10626" spans="1:1" s="287" customFormat="1" ht="12" hidden="1" customHeight="1">
      <c r="A10626" s="286"/>
    </row>
    <row r="10627" spans="1:1" s="287" customFormat="1" ht="12" hidden="1" customHeight="1">
      <c r="A10627" s="286"/>
    </row>
    <row r="10628" spans="1:1" s="287" customFormat="1" ht="12" hidden="1" customHeight="1">
      <c r="A10628" s="286"/>
    </row>
    <row r="10629" spans="1:1" s="287" customFormat="1" ht="12" hidden="1" customHeight="1">
      <c r="A10629" s="286"/>
    </row>
    <row r="10630" spans="1:1" s="287" customFormat="1" ht="12" hidden="1" customHeight="1">
      <c r="A10630" s="286"/>
    </row>
    <row r="10631" spans="1:1" s="287" customFormat="1" ht="12" hidden="1" customHeight="1">
      <c r="A10631" s="286"/>
    </row>
    <row r="10632" spans="1:1" s="287" customFormat="1" ht="12" hidden="1" customHeight="1">
      <c r="A10632" s="286"/>
    </row>
    <row r="10633" spans="1:1" s="287" customFormat="1" ht="12" hidden="1" customHeight="1">
      <c r="A10633" s="286"/>
    </row>
    <row r="10634" spans="1:1" s="287" customFormat="1" ht="12" hidden="1" customHeight="1">
      <c r="A10634" s="286"/>
    </row>
    <row r="10635" spans="1:1" s="287" customFormat="1" ht="12" hidden="1" customHeight="1">
      <c r="A10635" s="286"/>
    </row>
    <row r="10636" spans="1:1" s="287" customFormat="1" ht="12" hidden="1" customHeight="1">
      <c r="A10636" s="286"/>
    </row>
    <row r="10637" spans="1:1" s="287" customFormat="1" ht="12" hidden="1" customHeight="1">
      <c r="A10637" s="286"/>
    </row>
    <row r="10638" spans="1:1" s="287" customFormat="1" ht="12" hidden="1" customHeight="1">
      <c r="A10638" s="286"/>
    </row>
    <row r="10639" spans="1:1" s="287" customFormat="1" ht="12" hidden="1" customHeight="1">
      <c r="A10639" s="286"/>
    </row>
    <row r="10640" spans="1:1" s="287" customFormat="1" ht="12" hidden="1" customHeight="1">
      <c r="A10640" s="286"/>
    </row>
    <row r="10641" spans="1:1" s="287" customFormat="1" ht="12" hidden="1" customHeight="1">
      <c r="A10641" s="286"/>
    </row>
    <row r="10642" spans="1:1" s="287" customFormat="1" ht="12" hidden="1" customHeight="1">
      <c r="A10642" s="286"/>
    </row>
    <row r="10643" spans="1:1" s="287" customFormat="1" ht="12" hidden="1" customHeight="1">
      <c r="A10643" s="286"/>
    </row>
    <row r="10644" spans="1:1" s="287" customFormat="1" ht="12" hidden="1" customHeight="1">
      <c r="A10644" s="286"/>
    </row>
    <row r="10645" spans="1:1" s="287" customFormat="1" ht="12" hidden="1" customHeight="1">
      <c r="A10645" s="286"/>
    </row>
    <row r="10646" spans="1:1" s="287" customFormat="1" ht="12" hidden="1" customHeight="1">
      <c r="A10646" s="286"/>
    </row>
    <row r="10647" spans="1:1" s="287" customFormat="1" ht="12" hidden="1" customHeight="1">
      <c r="A10647" s="286"/>
    </row>
    <row r="10648" spans="1:1" s="287" customFormat="1" ht="12" hidden="1" customHeight="1">
      <c r="A10648" s="286"/>
    </row>
    <row r="10649" spans="1:1" s="287" customFormat="1" ht="12" hidden="1" customHeight="1">
      <c r="A10649" s="286"/>
    </row>
    <row r="10650" spans="1:1" s="287" customFormat="1" ht="12" hidden="1" customHeight="1">
      <c r="A10650" s="286"/>
    </row>
    <row r="10651" spans="1:1" s="287" customFormat="1" ht="12" hidden="1" customHeight="1">
      <c r="A10651" s="286"/>
    </row>
    <row r="10652" spans="1:1" s="287" customFormat="1" ht="12" hidden="1" customHeight="1">
      <c r="A10652" s="286"/>
    </row>
    <row r="10653" spans="1:1" s="287" customFormat="1" ht="12" hidden="1" customHeight="1">
      <c r="A10653" s="286"/>
    </row>
    <row r="10654" spans="1:1" s="287" customFormat="1" ht="12" hidden="1" customHeight="1">
      <c r="A10654" s="286"/>
    </row>
    <row r="10655" spans="1:1" s="287" customFormat="1" ht="12" hidden="1" customHeight="1">
      <c r="A10655" s="286"/>
    </row>
    <row r="10656" spans="1:1" s="287" customFormat="1" ht="12" hidden="1" customHeight="1">
      <c r="A10656" s="286"/>
    </row>
    <row r="10657" spans="1:1" s="287" customFormat="1" ht="12" hidden="1" customHeight="1">
      <c r="A10657" s="286"/>
    </row>
    <row r="10658" spans="1:1" s="287" customFormat="1" ht="12" hidden="1" customHeight="1">
      <c r="A10658" s="286"/>
    </row>
    <row r="10659" spans="1:1" s="287" customFormat="1" ht="12" hidden="1" customHeight="1">
      <c r="A10659" s="286"/>
    </row>
    <row r="10660" spans="1:1" s="287" customFormat="1" ht="12" hidden="1" customHeight="1">
      <c r="A10660" s="286"/>
    </row>
    <row r="10661" spans="1:1" s="287" customFormat="1" ht="12" hidden="1" customHeight="1">
      <c r="A10661" s="286"/>
    </row>
    <row r="10662" spans="1:1" s="287" customFormat="1" ht="12" hidden="1" customHeight="1">
      <c r="A10662" s="286"/>
    </row>
    <row r="10663" spans="1:1" s="287" customFormat="1" ht="12" hidden="1" customHeight="1">
      <c r="A10663" s="286"/>
    </row>
    <row r="10664" spans="1:1" s="287" customFormat="1" ht="12" hidden="1" customHeight="1">
      <c r="A10664" s="286"/>
    </row>
    <row r="10665" spans="1:1" s="287" customFormat="1" ht="12" hidden="1" customHeight="1">
      <c r="A10665" s="286"/>
    </row>
    <row r="10666" spans="1:1" s="287" customFormat="1" ht="12" hidden="1" customHeight="1">
      <c r="A10666" s="286"/>
    </row>
    <row r="10667" spans="1:1" s="287" customFormat="1" ht="12" hidden="1" customHeight="1">
      <c r="A10667" s="286"/>
    </row>
    <row r="10668" spans="1:1" s="287" customFormat="1" ht="12" hidden="1" customHeight="1">
      <c r="A10668" s="286"/>
    </row>
    <row r="10669" spans="1:1" s="287" customFormat="1" ht="12" hidden="1" customHeight="1">
      <c r="A10669" s="286"/>
    </row>
    <row r="10670" spans="1:1" s="287" customFormat="1" ht="12" hidden="1" customHeight="1">
      <c r="A10670" s="286"/>
    </row>
    <row r="10671" spans="1:1" s="287" customFormat="1" ht="12" hidden="1" customHeight="1">
      <c r="A10671" s="286"/>
    </row>
    <row r="10672" spans="1:1" s="287" customFormat="1" ht="12" hidden="1" customHeight="1">
      <c r="A10672" s="286"/>
    </row>
    <row r="10673" spans="1:1" s="287" customFormat="1" ht="12" hidden="1" customHeight="1">
      <c r="A10673" s="286"/>
    </row>
    <row r="10674" spans="1:1" s="287" customFormat="1" ht="12" hidden="1" customHeight="1">
      <c r="A10674" s="286"/>
    </row>
    <row r="10675" spans="1:1" s="287" customFormat="1" ht="12" hidden="1" customHeight="1">
      <c r="A10675" s="286"/>
    </row>
    <row r="10676" spans="1:1" s="287" customFormat="1" ht="12" hidden="1" customHeight="1">
      <c r="A10676" s="286"/>
    </row>
    <row r="10677" spans="1:1" s="287" customFormat="1" ht="12" hidden="1" customHeight="1">
      <c r="A10677" s="286"/>
    </row>
    <row r="10678" spans="1:1" s="287" customFormat="1" ht="12" hidden="1" customHeight="1">
      <c r="A10678" s="286"/>
    </row>
    <row r="10679" spans="1:1" s="287" customFormat="1" ht="12" hidden="1" customHeight="1">
      <c r="A10679" s="286"/>
    </row>
    <row r="10680" spans="1:1" s="287" customFormat="1" ht="12" hidden="1" customHeight="1">
      <c r="A10680" s="286"/>
    </row>
    <row r="10681" spans="1:1" s="287" customFormat="1" ht="12" hidden="1" customHeight="1">
      <c r="A10681" s="286"/>
    </row>
    <row r="10682" spans="1:1" s="287" customFormat="1" ht="12" hidden="1" customHeight="1">
      <c r="A10682" s="286"/>
    </row>
    <row r="10683" spans="1:1" s="287" customFormat="1" ht="12" hidden="1" customHeight="1">
      <c r="A10683" s="286"/>
    </row>
    <row r="10684" spans="1:1" s="287" customFormat="1" ht="12" hidden="1" customHeight="1">
      <c r="A10684" s="286"/>
    </row>
    <row r="10685" spans="1:1" s="287" customFormat="1" ht="12" hidden="1" customHeight="1">
      <c r="A10685" s="286"/>
    </row>
    <row r="10686" spans="1:1" s="287" customFormat="1" ht="12" hidden="1" customHeight="1">
      <c r="A10686" s="286"/>
    </row>
    <row r="10687" spans="1:1" s="287" customFormat="1" ht="12" hidden="1" customHeight="1">
      <c r="A10687" s="286"/>
    </row>
    <row r="10688" spans="1:1" s="287" customFormat="1" ht="12" hidden="1" customHeight="1">
      <c r="A10688" s="286"/>
    </row>
    <row r="10689" spans="1:1" s="287" customFormat="1" ht="12" hidden="1" customHeight="1">
      <c r="A10689" s="286"/>
    </row>
    <row r="10690" spans="1:1" s="287" customFormat="1" ht="12" hidden="1" customHeight="1">
      <c r="A10690" s="286"/>
    </row>
    <row r="10691" spans="1:1" s="287" customFormat="1" ht="12" hidden="1" customHeight="1">
      <c r="A10691" s="286"/>
    </row>
    <row r="10692" spans="1:1" s="287" customFormat="1" ht="12" hidden="1" customHeight="1">
      <c r="A10692" s="286"/>
    </row>
    <row r="10693" spans="1:1" s="287" customFormat="1" ht="12" hidden="1" customHeight="1">
      <c r="A10693" s="286"/>
    </row>
    <row r="10694" spans="1:1" s="287" customFormat="1" ht="12" hidden="1" customHeight="1">
      <c r="A10694" s="286"/>
    </row>
    <row r="10695" spans="1:1" s="287" customFormat="1" ht="12" hidden="1" customHeight="1">
      <c r="A10695" s="286"/>
    </row>
    <row r="10696" spans="1:1" s="287" customFormat="1" ht="12" hidden="1" customHeight="1">
      <c r="A10696" s="286"/>
    </row>
    <row r="10697" spans="1:1" s="287" customFormat="1" ht="12" hidden="1" customHeight="1">
      <c r="A10697" s="286"/>
    </row>
    <row r="10698" spans="1:1" s="287" customFormat="1" ht="12" hidden="1" customHeight="1">
      <c r="A10698" s="286"/>
    </row>
    <row r="10699" spans="1:1" s="287" customFormat="1" ht="12" hidden="1" customHeight="1">
      <c r="A10699" s="286"/>
    </row>
    <row r="10700" spans="1:1" s="287" customFormat="1" ht="12" hidden="1" customHeight="1">
      <c r="A10700" s="286"/>
    </row>
    <row r="10701" spans="1:1" s="287" customFormat="1" ht="12" hidden="1" customHeight="1">
      <c r="A10701" s="286"/>
    </row>
    <row r="10702" spans="1:1" s="287" customFormat="1" ht="12" hidden="1" customHeight="1">
      <c r="A10702" s="286"/>
    </row>
    <row r="10703" spans="1:1" s="287" customFormat="1" ht="12" hidden="1" customHeight="1">
      <c r="A10703" s="286"/>
    </row>
    <row r="10704" spans="1:1" s="287" customFormat="1" ht="12" hidden="1" customHeight="1">
      <c r="A10704" s="286"/>
    </row>
    <row r="10705" spans="1:1" s="287" customFormat="1" ht="12" hidden="1" customHeight="1">
      <c r="A10705" s="286"/>
    </row>
    <row r="10706" spans="1:1" s="287" customFormat="1" ht="12" hidden="1" customHeight="1">
      <c r="A10706" s="286"/>
    </row>
    <row r="10707" spans="1:1" s="287" customFormat="1" ht="12" hidden="1" customHeight="1">
      <c r="A10707" s="286"/>
    </row>
    <row r="10708" spans="1:1" s="287" customFormat="1" ht="12" hidden="1" customHeight="1">
      <c r="A10708" s="286"/>
    </row>
    <row r="10709" spans="1:1" s="287" customFormat="1" ht="12" hidden="1" customHeight="1">
      <c r="A10709" s="286"/>
    </row>
    <row r="10710" spans="1:1" s="287" customFormat="1" ht="12" hidden="1" customHeight="1">
      <c r="A10710" s="286"/>
    </row>
    <row r="10711" spans="1:1" s="287" customFormat="1" ht="12" hidden="1" customHeight="1">
      <c r="A10711" s="286"/>
    </row>
    <row r="10712" spans="1:1" s="287" customFormat="1" ht="12" hidden="1" customHeight="1">
      <c r="A10712" s="286"/>
    </row>
    <row r="10713" spans="1:1" s="287" customFormat="1" ht="12" hidden="1" customHeight="1">
      <c r="A10713" s="286"/>
    </row>
    <row r="10714" spans="1:1" s="287" customFormat="1" ht="12" hidden="1" customHeight="1">
      <c r="A10714" s="286"/>
    </row>
    <row r="10715" spans="1:1" s="287" customFormat="1" ht="12" hidden="1" customHeight="1">
      <c r="A10715" s="286"/>
    </row>
    <row r="10716" spans="1:1" s="287" customFormat="1" ht="12" hidden="1" customHeight="1">
      <c r="A10716" s="286"/>
    </row>
    <row r="10717" spans="1:1" s="287" customFormat="1" ht="12" hidden="1" customHeight="1">
      <c r="A10717" s="286"/>
    </row>
    <row r="10718" spans="1:1" s="287" customFormat="1" ht="12" hidden="1" customHeight="1">
      <c r="A10718" s="286"/>
    </row>
    <row r="10719" spans="1:1" s="287" customFormat="1" ht="12" hidden="1" customHeight="1">
      <c r="A10719" s="286"/>
    </row>
    <row r="10720" spans="1:1" s="287" customFormat="1" ht="12" hidden="1" customHeight="1">
      <c r="A10720" s="286"/>
    </row>
    <row r="10721" spans="1:1" s="287" customFormat="1" ht="12" hidden="1" customHeight="1">
      <c r="A10721" s="286"/>
    </row>
    <row r="10722" spans="1:1" s="287" customFormat="1" ht="12" hidden="1" customHeight="1">
      <c r="A10722" s="286"/>
    </row>
    <row r="10723" spans="1:1" s="287" customFormat="1" ht="12" hidden="1" customHeight="1">
      <c r="A10723" s="286"/>
    </row>
    <row r="10724" spans="1:1" s="287" customFormat="1" ht="12" hidden="1" customHeight="1">
      <c r="A10724" s="286"/>
    </row>
    <row r="10725" spans="1:1" s="287" customFormat="1" ht="12" hidden="1" customHeight="1">
      <c r="A10725" s="286"/>
    </row>
    <row r="10726" spans="1:1" s="287" customFormat="1" ht="12" hidden="1" customHeight="1">
      <c r="A10726" s="286"/>
    </row>
    <row r="10727" spans="1:1" s="287" customFormat="1" ht="12" hidden="1" customHeight="1">
      <c r="A10727" s="286"/>
    </row>
    <row r="10728" spans="1:1" s="287" customFormat="1" ht="12" hidden="1" customHeight="1">
      <c r="A10728" s="286"/>
    </row>
    <row r="10729" spans="1:1" s="287" customFormat="1" ht="12" hidden="1" customHeight="1">
      <c r="A10729" s="286"/>
    </row>
    <row r="10730" spans="1:1" s="287" customFormat="1" ht="12" hidden="1" customHeight="1">
      <c r="A10730" s="286"/>
    </row>
    <row r="10731" spans="1:1" s="287" customFormat="1" ht="12" hidden="1" customHeight="1">
      <c r="A10731" s="286"/>
    </row>
    <row r="10732" spans="1:1" s="287" customFormat="1" ht="12" hidden="1" customHeight="1">
      <c r="A10732" s="286"/>
    </row>
    <row r="10733" spans="1:1" s="287" customFormat="1" ht="12" hidden="1" customHeight="1">
      <c r="A10733" s="286"/>
    </row>
    <row r="10734" spans="1:1" s="287" customFormat="1" ht="12" hidden="1" customHeight="1">
      <c r="A10734" s="286"/>
    </row>
    <row r="10735" spans="1:1" s="287" customFormat="1" ht="12" hidden="1" customHeight="1">
      <c r="A10735" s="286"/>
    </row>
    <row r="10736" spans="1:1" s="287" customFormat="1" ht="12" hidden="1" customHeight="1">
      <c r="A10736" s="286"/>
    </row>
    <row r="10737" spans="1:1" s="287" customFormat="1" ht="12" hidden="1" customHeight="1">
      <c r="A10737" s="286"/>
    </row>
    <row r="10738" spans="1:1" s="287" customFormat="1" ht="12" hidden="1" customHeight="1">
      <c r="A10738" s="286"/>
    </row>
    <row r="10739" spans="1:1" s="287" customFormat="1" ht="12" hidden="1" customHeight="1">
      <c r="A10739" s="286"/>
    </row>
    <row r="10740" spans="1:1" s="287" customFormat="1" ht="12" hidden="1" customHeight="1">
      <c r="A10740" s="286"/>
    </row>
    <row r="10741" spans="1:1" s="287" customFormat="1" ht="12" hidden="1" customHeight="1">
      <c r="A10741" s="286"/>
    </row>
    <row r="10742" spans="1:1" s="287" customFormat="1" ht="12" hidden="1" customHeight="1">
      <c r="A10742" s="286"/>
    </row>
    <row r="10743" spans="1:1" s="287" customFormat="1" ht="12" hidden="1" customHeight="1">
      <c r="A10743" s="286"/>
    </row>
    <row r="10744" spans="1:1" s="287" customFormat="1" ht="12" hidden="1" customHeight="1">
      <c r="A10744" s="286"/>
    </row>
    <row r="10745" spans="1:1" s="287" customFormat="1" ht="12" hidden="1" customHeight="1">
      <c r="A10745" s="286"/>
    </row>
    <row r="10746" spans="1:1" s="287" customFormat="1" ht="12" hidden="1" customHeight="1">
      <c r="A10746" s="286"/>
    </row>
    <row r="10747" spans="1:1" s="287" customFormat="1" ht="12" hidden="1" customHeight="1">
      <c r="A10747" s="286"/>
    </row>
    <row r="10748" spans="1:1" s="287" customFormat="1" ht="12" hidden="1" customHeight="1">
      <c r="A10748" s="286"/>
    </row>
    <row r="10749" spans="1:1" s="287" customFormat="1" ht="12" hidden="1" customHeight="1">
      <c r="A10749" s="286"/>
    </row>
    <row r="10750" spans="1:1" s="287" customFormat="1" ht="12" hidden="1" customHeight="1">
      <c r="A10750" s="286"/>
    </row>
    <row r="10751" spans="1:1" s="287" customFormat="1" ht="12" hidden="1" customHeight="1">
      <c r="A10751" s="286"/>
    </row>
    <row r="10752" spans="1:1" s="287" customFormat="1" ht="12" hidden="1" customHeight="1">
      <c r="A10752" s="286"/>
    </row>
    <row r="10753" spans="1:1" s="287" customFormat="1" ht="12" hidden="1" customHeight="1">
      <c r="A10753" s="286"/>
    </row>
    <row r="10754" spans="1:1" s="287" customFormat="1" ht="12" hidden="1" customHeight="1">
      <c r="A10754" s="286"/>
    </row>
    <row r="10755" spans="1:1" s="287" customFormat="1" ht="12" hidden="1" customHeight="1">
      <c r="A10755" s="286"/>
    </row>
    <row r="10756" spans="1:1" s="287" customFormat="1" ht="12" hidden="1" customHeight="1">
      <c r="A10756" s="286"/>
    </row>
    <row r="10757" spans="1:1" s="287" customFormat="1" ht="12" hidden="1" customHeight="1">
      <c r="A10757" s="286"/>
    </row>
    <row r="10758" spans="1:1" s="287" customFormat="1" ht="12" hidden="1" customHeight="1">
      <c r="A10758" s="286"/>
    </row>
    <row r="10759" spans="1:1" s="287" customFormat="1" ht="12" hidden="1" customHeight="1">
      <c r="A10759" s="286"/>
    </row>
    <row r="10760" spans="1:1" s="287" customFormat="1" ht="12" hidden="1" customHeight="1">
      <c r="A10760" s="286"/>
    </row>
    <row r="10761" spans="1:1" s="287" customFormat="1" ht="12" hidden="1" customHeight="1">
      <c r="A10761" s="286"/>
    </row>
    <row r="10762" spans="1:1" s="287" customFormat="1" ht="12" hidden="1" customHeight="1">
      <c r="A10762" s="286"/>
    </row>
    <row r="10763" spans="1:1" s="287" customFormat="1" ht="12" hidden="1" customHeight="1">
      <c r="A10763" s="286"/>
    </row>
    <row r="10764" spans="1:1" s="287" customFormat="1" ht="12" hidden="1" customHeight="1">
      <c r="A10764" s="286"/>
    </row>
    <row r="10765" spans="1:1" s="287" customFormat="1" ht="12" hidden="1" customHeight="1">
      <c r="A10765" s="286"/>
    </row>
    <row r="10766" spans="1:1" s="287" customFormat="1" ht="12" hidden="1" customHeight="1">
      <c r="A10766" s="286"/>
    </row>
    <row r="10767" spans="1:1" s="287" customFormat="1" ht="12" hidden="1" customHeight="1">
      <c r="A10767" s="286"/>
    </row>
    <row r="10768" spans="1:1" s="287" customFormat="1" ht="12" hidden="1" customHeight="1">
      <c r="A10768" s="286"/>
    </row>
    <row r="10769" spans="1:1" s="287" customFormat="1" ht="12" hidden="1" customHeight="1">
      <c r="A10769" s="286"/>
    </row>
    <row r="10770" spans="1:1" s="287" customFormat="1" ht="12" hidden="1" customHeight="1">
      <c r="A10770" s="286"/>
    </row>
    <row r="10771" spans="1:1" s="287" customFormat="1" ht="12" hidden="1" customHeight="1">
      <c r="A10771" s="286"/>
    </row>
    <row r="10772" spans="1:1" s="287" customFormat="1" ht="12" hidden="1" customHeight="1">
      <c r="A10772" s="286"/>
    </row>
    <row r="10773" spans="1:1" s="287" customFormat="1" ht="12" hidden="1" customHeight="1">
      <c r="A10773" s="286"/>
    </row>
    <row r="10774" spans="1:1" s="287" customFormat="1" ht="12" hidden="1" customHeight="1">
      <c r="A10774" s="286"/>
    </row>
    <row r="10775" spans="1:1" s="287" customFormat="1" ht="12" hidden="1" customHeight="1">
      <c r="A10775" s="286"/>
    </row>
    <row r="10776" spans="1:1" s="287" customFormat="1" ht="12" hidden="1" customHeight="1">
      <c r="A10776" s="286"/>
    </row>
    <row r="10777" spans="1:1" s="287" customFormat="1" ht="12" hidden="1" customHeight="1">
      <c r="A10777" s="286"/>
    </row>
    <row r="10778" spans="1:1" s="287" customFormat="1" ht="12" hidden="1" customHeight="1">
      <c r="A10778" s="286"/>
    </row>
    <row r="10779" spans="1:1" s="287" customFormat="1" ht="12" hidden="1" customHeight="1">
      <c r="A10779" s="286"/>
    </row>
    <row r="10780" spans="1:1" s="287" customFormat="1" ht="12" hidden="1" customHeight="1">
      <c r="A10780" s="286"/>
    </row>
    <row r="10781" spans="1:1" s="287" customFormat="1" ht="12" hidden="1" customHeight="1">
      <c r="A10781" s="286"/>
    </row>
    <row r="10782" spans="1:1" s="287" customFormat="1" ht="12" hidden="1" customHeight="1">
      <c r="A10782" s="286"/>
    </row>
    <row r="10783" spans="1:1" s="287" customFormat="1" ht="12" hidden="1" customHeight="1">
      <c r="A10783" s="286"/>
    </row>
    <row r="10784" spans="1:1" s="287" customFormat="1" ht="12" hidden="1" customHeight="1">
      <c r="A10784" s="286"/>
    </row>
    <row r="10785" spans="1:1" s="287" customFormat="1" ht="12" hidden="1" customHeight="1">
      <c r="A10785" s="286"/>
    </row>
    <row r="10786" spans="1:1" s="287" customFormat="1" ht="12" hidden="1" customHeight="1">
      <c r="A10786" s="286"/>
    </row>
    <row r="10787" spans="1:1" s="287" customFormat="1" ht="12" hidden="1" customHeight="1">
      <c r="A10787" s="286"/>
    </row>
    <row r="10788" spans="1:1" s="287" customFormat="1" ht="12" hidden="1" customHeight="1">
      <c r="A10788" s="286"/>
    </row>
    <row r="10789" spans="1:1" s="287" customFormat="1" ht="12" hidden="1" customHeight="1">
      <c r="A10789" s="286"/>
    </row>
    <row r="10790" spans="1:1" s="287" customFormat="1" ht="12" hidden="1" customHeight="1">
      <c r="A10790" s="286"/>
    </row>
    <row r="10791" spans="1:1" s="287" customFormat="1" ht="12" hidden="1" customHeight="1">
      <c r="A10791" s="286"/>
    </row>
    <row r="10792" spans="1:1" s="287" customFormat="1" ht="12" hidden="1" customHeight="1">
      <c r="A10792" s="286"/>
    </row>
    <row r="10793" spans="1:1" s="287" customFormat="1" ht="12" hidden="1" customHeight="1">
      <c r="A10793" s="286"/>
    </row>
    <row r="10794" spans="1:1" s="287" customFormat="1" ht="12" hidden="1" customHeight="1">
      <c r="A10794" s="286"/>
    </row>
    <row r="10795" spans="1:1" s="287" customFormat="1" ht="12" hidden="1" customHeight="1">
      <c r="A10795" s="286"/>
    </row>
    <row r="10796" spans="1:1" s="287" customFormat="1" ht="12" hidden="1" customHeight="1">
      <c r="A10796" s="286"/>
    </row>
    <row r="10797" spans="1:1" s="287" customFormat="1" ht="12" hidden="1" customHeight="1">
      <c r="A10797" s="286"/>
    </row>
    <row r="10798" spans="1:1" s="287" customFormat="1" ht="12" hidden="1" customHeight="1">
      <c r="A10798" s="286"/>
    </row>
    <row r="10799" spans="1:1" s="287" customFormat="1" ht="12" hidden="1" customHeight="1">
      <c r="A10799" s="286"/>
    </row>
    <row r="10800" spans="1:1" s="287" customFormat="1" ht="12" hidden="1" customHeight="1">
      <c r="A10800" s="286"/>
    </row>
    <row r="10801" spans="1:1" s="287" customFormat="1" ht="12" hidden="1" customHeight="1">
      <c r="A10801" s="286"/>
    </row>
    <row r="10802" spans="1:1" s="287" customFormat="1" ht="12" hidden="1" customHeight="1">
      <c r="A10802" s="286"/>
    </row>
    <row r="10803" spans="1:1" s="287" customFormat="1" ht="12" hidden="1" customHeight="1">
      <c r="A10803" s="286"/>
    </row>
    <row r="10804" spans="1:1" s="287" customFormat="1" ht="12" hidden="1" customHeight="1">
      <c r="A10804" s="286"/>
    </row>
    <row r="10805" spans="1:1" s="287" customFormat="1" ht="12" hidden="1" customHeight="1">
      <c r="A10805" s="286"/>
    </row>
    <row r="10806" spans="1:1" s="287" customFormat="1" ht="12" hidden="1" customHeight="1">
      <c r="A10806" s="286"/>
    </row>
    <row r="10807" spans="1:1" s="287" customFormat="1" ht="12" hidden="1" customHeight="1">
      <c r="A10807" s="286"/>
    </row>
    <row r="10808" spans="1:1" s="287" customFormat="1" ht="12" hidden="1" customHeight="1">
      <c r="A10808" s="286"/>
    </row>
    <row r="10809" spans="1:1" s="287" customFormat="1" ht="12" hidden="1" customHeight="1">
      <c r="A10809" s="286"/>
    </row>
    <row r="10810" spans="1:1" s="287" customFormat="1" ht="12" hidden="1" customHeight="1">
      <c r="A10810" s="286"/>
    </row>
    <row r="10811" spans="1:1" s="287" customFormat="1" ht="12" hidden="1" customHeight="1">
      <c r="A10811" s="286"/>
    </row>
    <row r="10812" spans="1:1" s="287" customFormat="1" ht="12" hidden="1" customHeight="1">
      <c r="A10812" s="286"/>
    </row>
    <row r="10813" spans="1:1" s="287" customFormat="1" ht="12" hidden="1" customHeight="1">
      <c r="A10813" s="286"/>
    </row>
    <row r="10814" spans="1:1" s="287" customFormat="1" ht="12" hidden="1" customHeight="1">
      <c r="A10814" s="286"/>
    </row>
    <row r="10815" spans="1:1" s="287" customFormat="1" ht="12" hidden="1" customHeight="1">
      <c r="A10815" s="286"/>
    </row>
    <row r="10816" spans="1:1" s="287" customFormat="1" ht="12" hidden="1" customHeight="1">
      <c r="A10816" s="286"/>
    </row>
    <row r="10817" spans="1:1" s="287" customFormat="1" ht="12" hidden="1" customHeight="1">
      <c r="A10817" s="286"/>
    </row>
    <row r="10818" spans="1:1" s="287" customFormat="1" ht="12" hidden="1" customHeight="1">
      <c r="A10818" s="286"/>
    </row>
    <row r="10819" spans="1:1" s="287" customFormat="1" ht="12" hidden="1" customHeight="1">
      <c r="A10819" s="286"/>
    </row>
    <row r="10820" spans="1:1" s="287" customFormat="1" ht="12" hidden="1" customHeight="1">
      <c r="A10820" s="286"/>
    </row>
    <row r="10821" spans="1:1" s="287" customFormat="1" ht="12" hidden="1" customHeight="1">
      <c r="A10821" s="286"/>
    </row>
    <row r="10822" spans="1:1" s="287" customFormat="1" ht="12" hidden="1" customHeight="1">
      <c r="A10822" s="286"/>
    </row>
    <row r="10823" spans="1:1" s="287" customFormat="1" ht="12" hidden="1" customHeight="1">
      <c r="A10823" s="286"/>
    </row>
    <row r="10824" spans="1:1" s="287" customFormat="1" ht="12" hidden="1" customHeight="1">
      <c r="A10824" s="286"/>
    </row>
    <row r="10825" spans="1:1" s="287" customFormat="1" ht="12" hidden="1" customHeight="1">
      <c r="A10825" s="286"/>
    </row>
    <row r="10826" spans="1:1" s="287" customFormat="1" ht="12" hidden="1" customHeight="1">
      <c r="A10826" s="286"/>
    </row>
    <row r="10827" spans="1:1" s="287" customFormat="1" ht="12" hidden="1" customHeight="1">
      <c r="A10827" s="286"/>
    </row>
    <row r="10828" spans="1:1" s="287" customFormat="1" ht="12" hidden="1" customHeight="1">
      <c r="A10828" s="286"/>
    </row>
    <row r="10829" spans="1:1" s="287" customFormat="1" ht="12" hidden="1" customHeight="1">
      <c r="A10829" s="286"/>
    </row>
    <row r="10830" spans="1:1" s="287" customFormat="1" ht="12" hidden="1" customHeight="1">
      <c r="A10830" s="286"/>
    </row>
    <row r="10831" spans="1:1" s="287" customFormat="1" ht="12" hidden="1" customHeight="1">
      <c r="A10831" s="286"/>
    </row>
    <row r="10832" spans="1:1" s="287" customFormat="1" ht="12" hidden="1" customHeight="1">
      <c r="A10832" s="286"/>
    </row>
    <row r="10833" spans="1:1" s="287" customFormat="1" ht="12" hidden="1" customHeight="1">
      <c r="A10833" s="286"/>
    </row>
    <row r="10834" spans="1:1" s="287" customFormat="1" ht="12" hidden="1" customHeight="1">
      <c r="A10834" s="286"/>
    </row>
    <row r="10835" spans="1:1" s="287" customFormat="1" ht="12" hidden="1" customHeight="1">
      <c r="A10835" s="286"/>
    </row>
    <row r="10836" spans="1:1" s="287" customFormat="1" ht="12" hidden="1" customHeight="1">
      <c r="A10836" s="286"/>
    </row>
    <row r="10837" spans="1:1" s="287" customFormat="1" ht="12" hidden="1" customHeight="1">
      <c r="A10837" s="286"/>
    </row>
    <row r="10838" spans="1:1" s="287" customFormat="1" ht="12" hidden="1" customHeight="1">
      <c r="A10838" s="286"/>
    </row>
    <row r="10839" spans="1:1" s="287" customFormat="1" ht="12" hidden="1" customHeight="1">
      <c r="A10839" s="286"/>
    </row>
    <row r="10840" spans="1:1" s="287" customFormat="1" ht="12" hidden="1" customHeight="1">
      <c r="A10840" s="286"/>
    </row>
    <row r="10841" spans="1:1" s="287" customFormat="1" ht="12" hidden="1" customHeight="1">
      <c r="A10841" s="286"/>
    </row>
    <row r="10842" spans="1:1" s="287" customFormat="1" ht="12" hidden="1" customHeight="1">
      <c r="A10842" s="286"/>
    </row>
    <row r="10843" spans="1:1" s="287" customFormat="1" ht="12" hidden="1" customHeight="1">
      <c r="A10843" s="286"/>
    </row>
    <row r="10844" spans="1:1" s="287" customFormat="1" ht="12" hidden="1" customHeight="1">
      <c r="A10844" s="286"/>
    </row>
    <row r="10845" spans="1:1" s="287" customFormat="1" ht="12" hidden="1" customHeight="1">
      <c r="A10845" s="286"/>
    </row>
    <row r="10846" spans="1:1" s="287" customFormat="1" ht="12" hidden="1" customHeight="1">
      <c r="A10846" s="286"/>
    </row>
    <row r="10847" spans="1:1" s="287" customFormat="1" ht="12" hidden="1" customHeight="1">
      <c r="A10847" s="286"/>
    </row>
    <row r="10848" spans="1:1" s="287" customFormat="1" ht="12" hidden="1" customHeight="1">
      <c r="A10848" s="286"/>
    </row>
    <row r="10849" spans="1:1" s="287" customFormat="1" ht="12" hidden="1" customHeight="1">
      <c r="A10849" s="286"/>
    </row>
    <row r="10850" spans="1:1" s="287" customFormat="1" ht="12" hidden="1" customHeight="1">
      <c r="A10850" s="286"/>
    </row>
    <row r="10851" spans="1:1" s="287" customFormat="1" ht="12" hidden="1" customHeight="1">
      <c r="A10851" s="286"/>
    </row>
    <row r="10852" spans="1:1" s="287" customFormat="1" ht="12" hidden="1" customHeight="1">
      <c r="A10852" s="286"/>
    </row>
    <row r="10853" spans="1:1" s="287" customFormat="1" ht="12" hidden="1" customHeight="1">
      <c r="A10853" s="286"/>
    </row>
    <row r="10854" spans="1:1" s="287" customFormat="1" ht="12" hidden="1" customHeight="1">
      <c r="A10854" s="286"/>
    </row>
    <row r="10855" spans="1:1" s="287" customFormat="1" ht="12" hidden="1" customHeight="1">
      <c r="A10855" s="286"/>
    </row>
    <row r="10856" spans="1:1" s="287" customFormat="1" ht="12" hidden="1" customHeight="1">
      <c r="A10856" s="286"/>
    </row>
    <row r="10857" spans="1:1" s="287" customFormat="1" ht="12" hidden="1" customHeight="1">
      <c r="A10857" s="286"/>
    </row>
    <row r="10858" spans="1:1" s="287" customFormat="1" ht="12" hidden="1" customHeight="1">
      <c r="A10858" s="286"/>
    </row>
    <row r="10859" spans="1:1" s="287" customFormat="1" ht="12" hidden="1" customHeight="1">
      <c r="A10859" s="286"/>
    </row>
    <row r="10860" spans="1:1" s="287" customFormat="1" ht="12" hidden="1" customHeight="1">
      <c r="A10860" s="286"/>
    </row>
    <row r="10861" spans="1:1" s="287" customFormat="1" ht="12" hidden="1" customHeight="1">
      <c r="A10861" s="286"/>
    </row>
    <row r="10862" spans="1:1" s="287" customFormat="1" ht="12" hidden="1" customHeight="1">
      <c r="A10862" s="286"/>
    </row>
    <row r="10863" spans="1:1" s="287" customFormat="1" ht="12" hidden="1" customHeight="1">
      <c r="A10863" s="286"/>
    </row>
    <row r="10864" spans="1:1" s="287" customFormat="1" ht="12" hidden="1" customHeight="1">
      <c r="A10864" s="286"/>
    </row>
    <row r="10865" spans="1:1" s="287" customFormat="1" ht="12" hidden="1" customHeight="1">
      <c r="A10865" s="286"/>
    </row>
    <row r="10866" spans="1:1" s="287" customFormat="1" ht="12" hidden="1" customHeight="1">
      <c r="A10866" s="286"/>
    </row>
    <row r="10867" spans="1:1" s="287" customFormat="1" ht="12" hidden="1" customHeight="1">
      <c r="A10867" s="286"/>
    </row>
    <row r="10868" spans="1:1" s="287" customFormat="1" ht="12" hidden="1" customHeight="1">
      <c r="A10868" s="286"/>
    </row>
    <row r="10869" spans="1:1" s="287" customFormat="1" ht="12" hidden="1" customHeight="1">
      <c r="A10869" s="286"/>
    </row>
    <row r="10870" spans="1:1" s="287" customFormat="1" ht="12" hidden="1" customHeight="1">
      <c r="A10870" s="286"/>
    </row>
    <row r="10871" spans="1:1" s="287" customFormat="1" ht="12" hidden="1" customHeight="1">
      <c r="A10871" s="286"/>
    </row>
    <row r="10872" spans="1:1" s="287" customFormat="1" ht="12" hidden="1" customHeight="1">
      <c r="A10872" s="286"/>
    </row>
    <row r="10873" spans="1:1" s="287" customFormat="1" ht="12" hidden="1" customHeight="1">
      <c r="A10873" s="286"/>
    </row>
    <row r="10874" spans="1:1" s="287" customFormat="1" ht="12" hidden="1" customHeight="1">
      <c r="A10874" s="286"/>
    </row>
    <row r="10875" spans="1:1" s="287" customFormat="1" ht="12" hidden="1" customHeight="1">
      <c r="A10875" s="286"/>
    </row>
    <row r="10876" spans="1:1" s="287" customFormat="1" ht="12" hidden="1" customHeight="1">
      <c r="A10876" s="286"/>
    </row>
    <row r="10877" spans="1:1" s="287" customFormat="1" ht="12" hidden="1" customHeight="1">
      <c r="A10877" s="286"/>
    </row>
    <row r="10878" spans="1:1" s="287" customFormat="1" ht="12" hidden="1" customHeight="1">
      <c r="A10878" s="286"/>
    </row>
    <row r="10879" spans="1:1" s="287" customFormat="1" ht="12" hidden="1" customHeight="1">
      <c r="A10879" s="286"/>
    </row>
    <row r="10880" spans="1:1" s="287" customFormat="1" ht="12" hidden="1" customHeight="1">
      <c r="A10880" s="286"/>
    </row>
    <row r="10881" spans="1:1" s="287" customFormat="1" ht="12" hidden="1" customHeight="1">
      <c r="A10881" s="286"/>
    </row>
    <row r="10882" spans="1:1" s="287" customFormat="1" ht="12" hidden="1" customHeight="1">
      <c r="A10882" s="286"/>
    </row>
    <row r="10883" spans="1:1" s="287" customFormat="1" ht="12" hidden="1" customHeight="1">
      <c r="A10883" s="286"/>
    </row>
    <row r="10884" spans="1:1" s="287" customFormat="1" ht="12" hidden="1" customHeight="1">
      <c r="A10884" s="286"/>
    </row>
    <row r="10885" spans="1:1" s="287" customFormat="1" ht="12" hidden="1" customHeight="1">
      <c r="A10885" s="286"/>
    </row>
    <row r="10886" spans="1:1" s="287" customFormat="1" ht="12" hidden="1" customHeight="1">
      <c r="A10886" s="286"/>
    </row>
    <row r="10887" spans="1:1" s="287" customFormat="1" ht="12" hidden="1" customHeight="1">
      <c r="A10887" s="286"/>
    </row>
    <row r="10888" spans="1:1" s="287" customFormat="1" ht="12" hidden="1" customHeight="1">
      <c r="A10888" s="286"/>
    </row>
    <row r="10889" spans="1:1" s="287" customFormat="1" ht="12" hidden="1" customHeight="1">
      <c r="A10889" s="286"/>
    </row>
    <row r="10890" spans="1:1" s="287" customFormat="1" ht="12" hidden="1" customHeight="1">
      <c r="A10890" s="286"/>
    </row>
    <row r="10891" spans="1:1" s="287" customFormat="1" ht="12" hidden="1" customHeight="1">
      <c r="A10891" s="286"/>
    </row>
    <row r="10892" spans="1:1" s="287" customFormat="1" ht="12" hidden="1" customHeight="1">
      <c r="A10892" s="286"/>
    </row>
    <row r="10893" spans="1:1" s="287" customFormat="1" ht="12" hidden="1" customHeight="1">
      <c r="A10893" s="286"/>
    </row>
    <row r="10894" spans="1:1" s="287" customFormat="1" ht="12" hidden="1" customHeight="1">
      <c r="A10894" s="286"/>
    </row>
    <row r="10895" spans="1:1" s="287" customFormat="1" ht="12" hidden="1" customHeight="1">
      <c r="A10895" s="286"/>
    </row>
    <row r="10896" spans="1:1" s="287" customFormat="1" ht="12" hidden="1" customHeight="1">
      <c r="A10896" s="286"/>
    </row>
    <row r="10897" spans="1:1" s="287" customFormat="1" ht="12" hidden="1" customHeight="1">
      <c r="A10897" s="286"/>
    </row>
    <row r="10898" spans="1:1" s="287" customFormat="1" ht="12" hidden="1" customHeight="1">
      <c r="A10898" s="286"/>
    </row>
    <row r="10899" spans="1:1" s="287" customFormat="1" ht="12" hidden="1" customHeight="1">
      <c r="A10899" s="286"/>
    </row>
    <row r="10900" spans="1:1" s="287" customFormat="1" ht="12" hidden="1" customHeight="1">
      <c r="A10900" s="286"/>
    </row>
    <row r="10901" spans="1:1" s="287" customFormat="1" ht="12" hidden="1" customHeight="1">
      <c r="A10901" s="286"/>
    </row>
    <row r="10902" spans="1:1" s="287" customFormat="1" ht="12" hidden="1" customHeight="1">
      <c r="A10902" s="286"/>
    </row>
    <row r="10903" spans="1:1" s="287" customFormat="1" ht="12" hidden="1" customHeight="1">
      <c r="A10903" s="286"/>
    </row>
    <row r="10904" spans="1:1" s="287" customFormat="1" ht="12" hidden="1" customHeight="1">
      <c r="A10904" s="286"/>
    </row>
    <row r="10905" spans="1:1" s="287" customFormat="1" ht="12" hidden="1" customHeight="1">
      <c r="A10905" s="286"/>
    </row>
    <row r="10906" spans="1:1" s="287" customFormat="1" ht="12" hidden="1" customHeight="1">
      <c r="A10906" s="286"/>
    </row>
    <row r="10907" spans="1:1" s="287" customFormat="1" ht="12" hidden="1" customHeight="1">
      <c r="A10907" s="286"/>
    </row>
    <row r="10908" spans="1:1" s="287" customFormat="1" ht="12" hidden="1" customHeight="1">
      <c r="A10908" s="286"/>
    </row>
    <row r="10909" spans="1:1" s="287" customFormat="1" ht="12" hidden="1" customHeight="1">
      <c r="A10909" s="286"/>
    </row>
    <row r="10910" spans="1:1" s="287" customFormat="1" ht="12" hidden="1" customHeight="1">
      <c r="A10910" s="286"/>
    </row>
    <row r="10911" spans="1:1" s="287" customFormat="1" ht="12" hidden="1" customHeight="1">
      <c r="A10911" s="286"/>
    </row>
    <row r="10912" spans="1:1" s="287" customFormat="1" ht="12" hidden="1" customHeight="1">
      <c r="A10912" s="286"/>
    </row>
    <row r="10913" spans="1:1" s="287" customFormat="1" ht="12" hidden="1" customHeight="1">
      <c r="A10913" s="286"/>
    </row>
    <row r="10914" spans="1:1" s="287" customFormat="1" ht="12" hidden="1" customHeight="1">
      <c r="A10914" s="286"/>
    </row>
    <row r="10915" spans="1:1" s="287" customFormat="1" ht="12" hidden="1" customHeight="1">
      <c r="A10915" s="286"/>
    </row>
    <row r="10916" spans="1:1" s="287" customFormat="1" ht="12" hidden="1" customHeight="1">
      <c r="A10916" s="286"/>
    </row>
    <row r="10917" spans="1:1" s="287" customFormat="1" ht="12" hidden="1" customHeight="1">
      <c r="A10917" s="286"/>
    </row>
    <row r="10918" spans="1:1" s="287" customFormat="1" ht="12" hidden="1" customHeight="1">
      <c r="A10918" s="286"/>
    </row>
    <row r="10919" spans="1:1" s="287" customFormat="1" ht="12" hidden="1" customHeight="1">
      <c r="A10919" s="286"/>
    </row>
    <row r="10920" spans="1:1" s="287" customFormat="1" ht="12" hidden="1" customHeight="1">
      <c r="A10920" s="286"/>
    </row>
    <row r="10921" spans="1:1" s="287" customFormat="1" ht="12" hidden="1" customHeight="1">
      <c r="A10921" s="286"/>
    </row>
    <row r="10922" spans="1:1" s="287" customFormat="1" ht="12" hidden="1" customHeight="1">
      <c r="A10922" s="286"/>
    </row>
    <row r="10923" spans="1:1" s="287" customFormat="1" ht="12" hidden="1" customHeight="1">
      <c r="A10923" s="286"/>
    </row>
    <row r="10924" spans="1:1" s="287" customFormat="1" ht="12" hidden="1" customHeight="1">
      <c r="A10924" s="286"/>
    </row>
    <row r="10925" spans="1:1" s="287" customFormat="1" ht="12" hidden="1" customHeight="1">
      <c r="A10925" s="286"/>
    </row>
    <row r="10926" spans="1:1" s="287" customFormat="1" ht="12" hidden="1" customHeight="1">
      <c r="A10926" s="286"/>
    </row>
    <row r="10927" spans="1:1" s="287" customFormat="1" ht="12" hidden="1" customHeight="1">
      <c r="A10927" s="286"/>
    </row>
    <row r="10928" spans="1:1" s="287" customFormat="1" ht="12" hidden="1" customHeight="1">
      <c r="A10928" s="286"/>
    </row>
    <row r="10929" spans="1:1" s="287" customFormat="1" ht="12" hidden="1" customHeight="1">
      <c r="A10929" s="286"/>
    </row>
    <row r="10930" spans="1:1" s="287" customFormat="1" ht="12" hidden="1" customHeight="1">
      <c r="A10930" s="286"/>
    </row>
    <row r="10931" spans="1:1" s="287" customFormat="1" ht="12" hidden="1" customHeight="1">
      <c r="A10931" s="286"/>
    </row>
    <row r="10932" spans="1:1" s="287" customFormat="1" ht="12" hidden="1" customHeight="1">
      <c r="A10932" s="286"/>
    </row>
    <row r="10933" spans="1:1" s="287" customFormat="1" ht="12" hidden="1" customHeight="1">
      <c r="A10933" s="286"/>
    </row>
    <row r="10934" spans="1:1" s="287" customFormat="1" ht="12" hidden="1" customHeight="1">
      <c r="A10934" s="286"/>
    </row>
    <row r="10935" spans="1:1" s="287" customFormat="1" ht="12" hidden="1" customHeight="1">
      <c r="A10935" s="286"/>
    </row>
    <row r="10936" spans="1:1" s="287" customFormat="1" ht="12" hidden="1" customHeight="1">
      <c r="A10936" s="286"/>
    </row>
    <row r="10937" spans="1:1" s="287" customFormat="1" ht="12" hidden="1" customHeight="1">
      <c r="A10937" s="286"/>
    </row>
    <row r="10938" spans="1:1" s="287" customFormat="1" ht="12" hidden="1" customHeight="1">
      <c r="A10938" s="286"/>
    </row>
    <row r="10939" spans="1:1" s="287" customFormat="1" ht="12" hidden="1" customHeight="1">
      <c r="A10939" s="286"/>
    </row>
    <row r="10940" spans="1:1" s="287" customFormat="1" ht="12" hidden="1" customHeight="1">
      <c r="A10940" s="286"/>
    </row>
    <row r="10941" spans="1:1" s="287" customFormat="1" ht="12" hidden="1" customHeight="1">
      <c r="A10941" s="286"/>
    </row>
    <row r="10942" spans="1:1" s="287" customFormat="1" ht="12" hidden="1" customHeight="1">
      <c r="A10942" s="286"/>
    </row>
    <row r="10943" spans="1:1" s="287" customFormat="1" ht="12" hidden="1" customHeight="1">
      <c r="A10943" s="286"/>
    </row>
    <row r="10944" spans="1:1" s="287" customFormat="1" ht="12" hidden="1" customHeight="1">
      <c r="A10944" s="286"/>
    </row>
    <row r="10945" spans="1:1" s="287" customFormat="1" ht="12" hidden="1" customHeight="1">
      <c r="A10945" s="286"/>
    </row>
    <row r="10946" spans="1:1" s="287" customFormat="1" ht="12" hidden="1" customHeight="1">
      <c r="A10946" s="286"/>
    </row>
    <row r="10947" spans="1:1" s="287" customFormat="1" ht="12" hidden="1" customHeight="1">
      <c r="A10947" s="286"/>
    </row>
    <row r="10948" spans="1:1" s="287" customFormat="1" ht="12" hidden="1" customHeight="1">
      <c r="A10948" s="286"/>
    </row>
    <row r="10949" spans="1:1" s="287" customFormat="1" ht="12" hidden="1" customHeight="1">
      <c r="A10949" s="286"/>
    </row>
    <row r="10950" spans="1:1" s="287" customFormat="1" ht="12" hidden="1" customHeight="1">
      <c r="A10950" s="286"/>
    </row>
    <row r="10951" spans="1:1" s="287" customFormat="1" ht="12" hidden="1" customHeight="1">
      <c r="A10951" s="286"/>
    </row>
    <row r="10952" spans="1:1" s="287" customFormat="1" ht="12" hidden="1" customHeight="1">
      <c r="A10952" s="286"/>
    </row>
    <row r="10953" spans="1:1" s="287" customFormat="1" ht="12" hidden="1" customHeight="1">
      <c r="A10953" s="286"/>
    </row>
    <row r="10954" spans="1:1" s="287" customFormat="1" ht="12" hidden="1" customHeight="1">
      <c r="A10954" s="286"/>
    </row>
    <row r="10955" spans="1:1" s="287" customFormat="1" ht="12" hidden="1" customHeight="1">
      <c r="A10955" s="286"/>
    </row>
    <row r="10956" spans="1:1" s="287" customFormat="1" ht="12" hidden="1" customHeight="1">
      <c r="A10956" s="286"/>
    </row>
    <row r="10957" spans="1:1" s="287" customFormat="1" ht="12" hidden="1" customHeight="1">
      <c r="A10957" s="286"/>
    </row>
    <row r="10958" spans="1:1" s="287" customFormat="1" ht="12" hidden="1" customHeight="1">
      <c r="A10958" s="286"/>
    </row>
    <row r="10959" spans="1:1" s="287" customFormat="1" ht="12" hidden="1" customHeight="1">
      <c r="A10959" s="286"/>
    </row>
    <row r="10960" spans="1:1" s="287" customFormat="1" ht="12" hidden="1" customHeight="1">
      <c r="A10960" s="286"/>
    </row>
    <row r="10961" spans="1:1" s="287" customFormat="1" ht="12" hidden="1" customHeight="1">
      <c r="A10961" s="286"/>
    </row>
    <row r="10962" spans="1:1" s="287" customFormat="1" ht="12" hidden="1" customHeight="1">
      <c r="A10962" s="286"/>
    </row>
    <row r="10963" spans="1:1" s="287" customFormat="1" ht="12" hidden="1" customHeight="1">
      <c r="A10963" s="286"/>
    </row>
    <row r="10964" spans="1:1" s="287" customFormat="1" ht="12" hidden="1" customHeight="1">
      <c r="A10964" s="286"/>
    </row>
    <row r="10965" spans="1:1" s="287" customFormat="1" ht="12" hidden="1" customHeight="1">
      <c r="A10965" s="286"/>
    </row>
    <row r="10966" spans="1:1" s="287" customFormat="1" ht="12" hidden="1" customHeight="1">
      <c r="A10966" s="286"/>
    </row>
    <row r="10967" spans="1:1" s="287" customFormat="1" ht="12" hidden="1" customHeight="1">
      <c r="A10967" s="286"/>
    </row>
    <row r="10968" spans="1:1" s="287" customFormat="1" ht="12" hidden="1" customHeight="1">
      <c r="A10968" s="286"/>
    </row>
    <row r="10969" spans="1:1" s="287" customFormat="1" ht="12" hidden="1" customHeight="1">
      <c r="A10969" s="286"/>
    </row>
    <row r="10970" spans="1:1" s="287" customFormat="1" ht="12" hidden="1" customHeight="1">
      <c r="A10970" s="286"/>
    </row>
    <row r="10971" spans="1:1" s="287" customFormat="1" ht="12" hidden="1" customHeight="1">
      <c r="A10971" s="286"/>
    </row>
    <row r="10972" spans="1:1" s="287" customFormat="1" ht="12" hidden="1" customHeight="1">
      <c r="A10972" s="286"/>
    </row>
    <row r="10973" spans="1:1" s="287" customFormat="1" ht="12" hidden="1" customHeight="1">
      <c r="A10973" s="286"/>
    </row>
    <row r="10974" spans="1:1" s="287" customFormat="1" ht="12" hidden="1" customHeight="1">
      <c r="A10974" s="286"/>
    </row>
    <row r="10975" spans="1:1" s="287" customFormat="1" ht="12" hidden="1" customHeight="1">
      <c r="A10975" s="286"/>
    </row>
    <row r="10976" spans="1:1" s="287" customFormat="1" ht="12" hidden="1" customHeight="1">
      <c r="A10976" s="286"/>
    </row>
    <row r="10977" spans="1:1" s="287" customFormat="1" ht="12" hidden="1" customHeight="1">
      <c r="A10977" s="286"/>
    </row>
    <row r="10978" spans="1:1" s="287" customFormat="1" ht="12" hidden="1" customHeight="1">
      <c r="A10978" s="286"/>
    </row>
    <row r="10979" spans="1:1" s="287" customFormat="1" ht="12" hidden="1" customHeight="1">
      <c r="A10979" s="286"/>
    </row>
    <row r="10980" spans="1:1" s="287" customFormat="1" ht="12" hidden="1" customHeight="1">
      <c r="A10980" s="286"/>
    </row>
    <row r="10981" spans="1:1" s="287" customFormat="1" ht="12" hidden="1" customHeight="1">
      <c r="A10981" s="286"/>
    </row>
    <row r="10982" spans="1:1" s="287" customFormat="1" ht="12" hidden="1" customHeight="1">
      <c r="A10982" s="286"/>
    </row>
    <row r="10983" spans="1:1" s="287" customFormat="1" ht="12" hidden="1" customHeight="1">
      <c r="A10983" s="286"/>
    </row>
    <row r="10984" spans="1:1" s="287" customFormat="1" ht="12" hidden="1" customHeight="1">
      <c r="A10984" s="286"/>
    </row>
    <row r="10985" spans="1:1" s="287" customFormat="1" ht="12" hidden="1" customHeight="1">
      <c r="A10985" s="286"/>
    </row>
    <row r="10986" spans="1:1" s="287" customFormat="1" ht="12" hidden="1" customHeight="1">
      <c r="A10986" s="286"/>
    </row>
    <row r="10987" spans="1:1" s="287" customFormat="1" ht="12" hidden="1" customHeight="1">
      <c r="A10987" s="286"/>
    </row>
    <row r="10988" spans="1:1" s="287" customFormat="1" ht="12" hidden="1" customHeight="1">
      <c r="A10988" s="286"/>
    </row>
    <row r="10989" spans="1:1" s="287" customFormat="1" ht="12" hidden="1" customHeight="1">
      <c r="A10989" s="286"/>
    </row>
    <row r="10990" spans="1:1" s="287" customFormat="1" ht="12" hidden="1" customHeight="1">
      <c r="A10990" s="286"/>
    </row>
    <row r="10991" spans="1:1" s="287" customFormat="1" ht="12" hidden="1" customHeight="1">
      <c r="A10991" s="286"/>
    </row>
    <row r="10992" spans="1:1" s="287" customFormat="1" ht="12" hidden="1" customHeight="1">
      <c r="A10992" s="286"/>
    </row>
    <row r="10993" spans="1:1" s="287" customFormat="1" ht="12" hidden="1" customHeight="1">
      <c r="A10993" s="286"/>
    </row>
    <row r="10994" spans="1:1" s="287" customFormat="1" ht="12" hidden="1" customHeight="1">
      <c r="A10994" s="286"/>
    </row>
    <row r="10995" spans="1:1" s="287" customFormat="1" ht="12" hidden="1" customHeight="1">
      <c r="A10995" s="286"/>
    </row>
    <row r="10996" spans="1:1" s="287" customFormat="1" ht="12" hidden="1" customHeight="1">
      <c r="A10996" s="286"/>
    </row>
    <row r="10997" spans="1:1" s="287" customFormat="1" ht="12" hidden="1" customHeight="1">
      <c r="A10997" s="286"/>
    </row>
    <row r="10998" spans="1:1" s="287" customFormat="1" ht="12" hidden="1" customHeight="1">
      <c r="A10998" s="286"/>
    </row>
    <row r="10999" spans="1:1" s="287" customFormat="1" ht="12" hidden="1" customHeight="1">
      <c r="A10999" s="286"/>
    </row>
    <row r="11000" spans="1:1" s="287" customFormat="1" ht="12" hidden="1" customHeight="1">
      <c r="A11000" s="286"/>
    </row>
    <row r="11001" spans="1:1" s="287" customFormat="1" ht="12" hidden="1" customHeight="1">
      <c r="A11001" s="286"/>
    </row>
    <row r="11002" spans="1:1" s="287" customFormat="1" ht="12" hidden="1" customHeight="1">
      <c r="A11002" s="286"/>
    </row>
    <row r="11003" spans="1:1" s="287" customFormat="1" ht="12" hidden="1" customHeight="1">
      <c r="A11003" s="286"/>
    </row>
    <row r="11004" spans="1:1" s="287" customFormat="1" ht="12" hidden="1" customHeight="1">
      <c r="A11004" s="286"/>
    </row>
    <row r="11005" spans="1:1" s="287" customFormat="1" ht="12" hidden="1" customHeight="1">
      <c r="A11005" s="286"/>
    </row>
    <row r="11006" spans="1:1" s="287" customFormat="1" ht="12" hidden="1" customHeight="1">
      <c r="A11006" s="286"/>
    </row>
    <row r="11007" spans="1:1" s="287" customFormat="1" ht="12" hidden="1" customHeight="1">
      <c r="A11007" s="286"/>
    </row>
    <row r="11008" spans="1:1" s="287" customFormat="1" ht="12" hidden="1" customHeight="1">
      <c r="A11008" s="286"/>
    </row>
    <row r="11009" spans="1:1" s="287" customFormat="1" ht="12" hidden="1" customHeight="1">
      <c r="A11009" s="286"/>
    </row>
    <row r="11010" spans="1:1" s="287" customFormat="1" ht="12" hidden="1" customHeight="1">
      <c r="A11010" s="286"/>
    </row>
    <row r="11011" spans="1:1" s="287" customFormat="1" ht="12" hidden="1" customHeight="1">
      <c r="A11011" s="286"/>
    </row>
    <row r="11012" spans="1:1" s="287" customFormat="1" ht="12" hidden="1" customHeight="1">
      <c r="A11012" s="286"/>
    </row>
    <row r="11013" spans="1:1" s="287" customFormat="1" ht="12" hidden="1" customHeight="1">
      <c r="A11013" s="286"/>
    </row>
    <row r="11014" spans="1:1" s="287" customFormat="1" ht="12" hidden="1" customHeight="1">
      <c r="A11014" s="286"/>
    </row>
    <row r="11015" spans="1:1" s="287" customFormat="1" ht="12" hidden="1" customHeight="1">
      <c r="A11015" s="286"/>
    </row>
    <row r="11016" spans="1:1" s="287" customFormat="1" ht="12" hidden="1" customHeight="1">
      <c r="A11016" s="286"/>
    </row>
    <row r="11017" spans="1:1" s="287" customFormat="1" ht="12" hidden="1" customHeight="1">
      <c r="A11017" s="286"/>
    </row>
    <row r="11018" spans="1:1" s="287" customFormat="1" ht="12" hidden="1" customHeight="1">
      <c r="A11018" s="286"/>
    </row>
    <row r="11019" spans="1:1" s="287" customFormat="1" ht="12" hidden="1" customHeight="1">
      <c r="A11019" s="286"/>
    </row>
    <row r="11020" spans="1:1" s="287" customFormat="1" ht="12" hidden="1" customHeight="1">
      <c r="A11020" s="286"/>
    </row>
    <row r="11021" spans="1:1" s="287" customFormat="1" ht="12" hidden="1" customHeight="1">
      <c r="A11021" s="286"/>
    </row>
    <row r="11022" spans="1:1" s="287" customFormat="1" ht="12" hidden="1" customHeight="1">
      <c r="A11022" s="286"/>
    </row>
    <row r="11023" spans="1:1" s="287" customFormat="1" ht="12" hidden="1" customHeight="1">
      <c r="A11023" s="286"/>
    </row>
    <row r="11024" spans="1:1" s="287" customFormat="1" ht="12" hidden="1" customHeight="1">
      <c r="A11024" s="286"/>
    </row>
    <row r="11025" spans="1:1" s="287" customFormat="1" ht="12" hidden="1" customHeight="1">
      <c r="A11025" s="286"/>
    </row>
    <row r="11026" spans="1:1" s="287" customFormat="1" ht="12" hidden="1" customHeight="1">
      <c r="A11026" s="286"/>
    </row>
    <row r="11027" spans="1:1" s="287" customFormat="1" ht="12" hidden="1" customHeight="1">
      <c r="A11027" s="286"/>
    </row>
    <row r="11028" spans="1:1" s="287" customFormat="1" ht="12" hidden="1" customHeight="1">
      <c r="A11028" s="286"/>
    </row>
    <row r="11029" spans="1:1" s="287" customFormat="1" ht="12" hidden="1" customHeight="1">
      <c r="A11029" s="286"/>
    </row>
    <row r="11030" spans="1:1" s="287" customFormat="1" ht="12" hidden="1" customHeight="1">
      <c r="A11030" s="286"/>
    </row>
    <row r="11031" spans="1:1" s="287" customFormat="1" ht="12" hidden="1" customHeight="1">
      <c r="A11031" s="286"/>
    </row>
    <row r="11032" spans="1:1" s="287" customFormat="1" ht="12" hidden="1" customHeight="1">
      <c r="A11032" s="286"/>
    </row>
    <row r="11033" spans="1:1" s="287" customFormat="1" ht="12" hidden="1" customHeight="1">
      <c r="A11033" s="286"/>
    </row>
    <row r="11034" spans="1:1" s="287" customFormat="1" ht="12" hidden="1" customHeight="1">
      <c r="A11034" s="286"/>
    </row>
    <row r="11035" spans="1:1" s="287" customFormat="1" ht="12" hidden="1" customHeight="1">
      <c r="A11035" s="286"/>
    </row>
    <row r="11036" spans="1:1" s="287" customFormat="1" ht="12" hidden="1" customHeight="1">
      <c r="A11036" s="286"/>
    </row>
    <row r="11037" spans="1:1" s="287" customFormat="1" ht="12" hidden="1" customHeight="1">
      <c r="A11037" s="286"/>
    </row>
    <row r="11038" spans="1:1" s="287" customFormat="1" ht="12" hidden="1" customHeight="1">
      <c r="A11038" s="286"/>
    </row>
    <row r="11039" spans="1:1" s="287" customFormat="1" ht="12" hidden="1" customHeight="1">
      <c r="A11039" s="286"/>
    </row>
    <row r="11040" spans="1:1" s="287" customFormat="1" ht="12" hidden="1" customHeight="1">
      <c r="A11040" s="286"/>
    </row>
    <row r="11041" spans="1:1" s="287" customFormat="1" ht="12" hidden="1" customHeight="1">
      <c r="A11041" s="286"/>
    </row>
    <row r="11042" spans="1:1" s="287" customFormat="1" ht="12" hidden="1" customHeight="1">
      <c r="A11042" s="286"/>
    </row>
    <row r="11043" spans="1:1" s="287" customFormat="1" ht="12" hidden="1" customHeight="1">
      <c r="A11043" s="286"/>
    </row>
    <row r="11044" spans="1:1" s="287" customFormat="1" ht="12" hidden="1" customHeight="1">
      <c r="A11044" s="286"/>
    </row>
    <row r="11045" spans="1:1" s="287" customFormat="1" ht="12" hidden="1" customHeight="1">
      <c r="A11045" s="286"/>
    </row>
    <row r="11046" spans="1:1" s="287" customFormat="1" ht="12" hidden="1" customHeight="1">
      <c r="A11046" s="286"/>
    </row>
    <row r="11047" spans="1:1" s="287" customFormat="1" ht="12" hidden="1" customHeight="1">
      <c r="A11047" s="286"/>
    </row>
    <row r="11048" spans="1:1" s="287" customFormat="1" ht="12" hidden="1" customHeight="1">
      <c r="A11048" s="286"/>
    </row>
    <row r="11049" spans="1:1" s="287" customFormat="1" ht="12" hidden="1" customHeight="1">
      <c r="A11049" s="286"/>
    </row>
    <row r="11050" spans="1:1" s="287" customFormat="1" ht="12" hidden="1" customHeight="1">
      <c r="A11050" s="286"/>
    </row>
    <row r="11051" spans="1:1" s="287" customFormat="1" ht="12" hidden="1" customHeight="1">
      <c r="A11051" s="286"/>
    </row>
    <row r="11052" spans="1:1" s="287" customFormat="1" ht="12" hidden="1" customHeight="1">
      <c r="A11052" s="286"/>
    </row>
    <row r="11053" spans="1:1" s="287" customFormat="1" ht="12" hidden="1" customHeight="1">
      <c r="A11053" s="286"/>
    </row>
    <row r="11054" spans="1:1" s="287" customFormat="1" ht="12" hidden="1" customHeight="1">
      <c r="A11054" s="286"/>
    </row>
    <row r="11055" spans="1:1" s="287" customFormat="1" ht="12" hidden="1" customHeight="1">
      <c r="A11055" s="286"/>
    </row>
    <row r="11056" spans="1:1" s="287" customFormat="1" ht="12" hidden="1" customHeight="1">
      <c r="A11056" s="286"/>
    </row>
    <row r="11057" spans="1:1" s="287" customFormat="1" ht="12" hidden="1" customHeight="1">
      <c r="A11057" s="286"/>
    </row>
    <row r="11058" spans="1:1" s="287" customFormat="1" ht="12" hidden="1" customHeight="1">
      <c r="A11058" s="286"/>
    </row>
    <row r="11059" spans="1:1" s="287" customFormat="1" ht="12" hidden="1" customHeight="1">
      <c r="A11059" s="286"/>
    </row>
    <row r="11060" spans="1:1" s="287" customFormat="1" ht="12" hidden="1" customHeight="1">
      <c r="A11060" s="286"/>
    </row>
    <row r="11061" spans="1:1" s="287" customFormat="1" ht="12" hidden="1" customHeight="1">
      <c r="A11061" s="286"/>
    </row>
    <row r="11062" spans="1:1" s="287" customFormat="1" ht="12" hidden="1" customHeight="1">
      <c r="A11062" s="286"/>
    </row>
    <row r="11063" spans="1:1" s="287" customFormat="1" ht="12" hidden="1" customHeight="1">
      <c r="A11063" s="286"/>
    </row>
    <row r="11064" spans="1:1" s="287" customFormat="1" ht="12" hidden="1" customHeight="1">
      <c r="A11064" s="286"/>
    </row>
    <row r="11065" spans="1:1" s="287" customFormat="1" ht="12" hidden="1" customHeight="1">
      <c r="A11065" s="286"/>
    </row>
    <row r="11066" spans="1:1" s="287" customFormat="1" ht="12" hidden="1" customHeight="1">
      <c r="A11066" s="286"/>
    </row>
    <row r="11067" spans="1:1" s="287" customFormat="1" ht="12" hidden="1" customHeight="1">
      <c r="A11067" s="286"/>
    </row>
    <row r="11068" spans="1:1" s="287" customFormat="1" ht="12" hidden="1" customHeight="1">
      <c r="A11068" s="286"/>
    </row>
    <row r="11069" spans="1:1" s="287" customFormat="1" ht="12" hidden="1" customHeight="1">
      <c r="A11069" s="286"/>
    </row>
    <row r="11070" spans="1:1" s="287" customFormat="1" ht="12" hidden="1" customHeight="1">
      <c r="A11070" s="286"/>
    </row>
    <row r="11071" spans="1:1" s="287" customFormat="1" ht="12" hidden="1" customHeight="1">
      <c r="A11071" s="286"/>
    </row>
    <row r="11072" spans="1:1" s="287" customFormat="1" ht="12" hidden="1" customHeight="1">
      <c r="A11072" s="286"/>
    </row>
    <row r="11073" spans="1:1" s="287" customFormat="1" ht="12" hidden="1" customHeight="1">
      <c r="A11073" s="286"/>
    </row>
    <row r="11074" spans="1:1" s="287" customFormat="1" ht="12" hidden="1" customHeight="1">
      <c r="A11074" s="286"/>
    </row>
    <row r="11075" spans="1:1" s="287" customFormat="1" ht="12" hidden="1" customHeight="1">
      <c r="A11075" s="286"/>
    </row>
    <row r="11076" spans="1:1" s="287" customFormat="1" ht="12" hidden="1" customHeight="1">
      <c r="A11076" s="286"/>
    </row>
    <row r="11077" spans="1:1" s="287" customFormat="1" ht="12" hidden="1" customHeight="1">
      <c r="A11077" s="286"/>
    </row>
    <row r="11078" spans="1:1" s="287" customFormat="1" ht="12" hidden="1" customHeight="1">
      <c r="A11078" s="286"/>
    </row>
    <row r="11079" spans="1:1" s="287" customFormat="1" ht="12" hidden="1" customHeight="1">
      <c r="A11079" s="286"/>
    </row>
    <row r="11080" spans="1:1" s="287" customFormat="1" ht="12" hidden="1" customHeight="1">
      <c r="A11080" s="286"/>
    </row>
    <row r="11081" spans="1:1" s="287" customFormat="1" ht="12" hidden="1" customHeight="1">
      <c r="A11081" s="286"/>
    </row>
    <row r="11082" spans="1:1" s="287" customFormat="1" ht="12" hidden="1" customHeight="1">
      <c r="A11082" s="286"/>
    </row>
    <row r="11083" spans="1:1" s="287" customFormat="1" ht="12" hidden="1" customHeight="1">
      <c r="A11083" s="286"/>
    </row>
    <row r="11084" spans="1:1" s="287" customFormat="1" ht="12" hidden="1" customHeight="1">
      <c r="A11084" s="286"/>
    </row>
    <row r="11085" spans="1:1" s="287" customFormat="1" ht="12" hidden="1" customHeight="1">
      <c r="A11085" s="286"/>
    </row>
    <row r="11086" spans="1:1" s="287" customFormat="1" ht="12" hidden="1" customHeight="1">
      <c r="A11086" s="286"/>
    </row>
    <row r="11087" spans="1:1" s="287" customFormat="1" ht="12" hidden="1" customHeight="1">
      <c r="A11087" s="286"/>
    </row>
    <row r="11088" spans="1:1" s="287" customFormat="1" ht="12" hidden="1" customHeight="1">
      <c r="A11088" s="286"/>
    </row>
    <row r="11089" spans="1:1" s="287" customFormat="1" ht="12" hidden="1" customHeight="1">
      <c r="A11089" s="286"/>
    </row>
    <row r="11090" spans="1:1" s="287" customFormat="1" ht="12" hidden="1" customHeight="1">
      <c r="A11090" s="286"/>
    </row>
    <row r="11091" spans="1:1" s="287" customFormat="1" ht="12" hidden="1" customHeight="1">
      <c r="A11091" s="286"/>
    </row>
    <row r="11092" spans="1:1" s="287" customFormat="1" ht="12" hidden="1" customHeight="1">
      <c r="A11092" s="286"/>
    </row>
    <row r="11093" spans="1:1" s="287" customFormat="1" ht="12" hidden="1" customHeight="1">
      <c r="A11093" s="286"/>
    </row>
    <row r="11094" spans="1:1" s="287" customFormat="1" ht="12" hidden="1" customHeight="1">
      <c r="A11094" s="286"/>
    </row>
    <row r="11095" spans="1:1" s="287" customFormat="1" ht="12" hidden="1" customHeight="1">
      <c r="A11095" s="286"/>
    </row>
    <row r="11096" spans="1:1" s="287" customFormat="1" ht="12" hidden="1" customHeight="1">
      <c r="A11096" s="286"/>
    </row>
    <row r="11097" spans="1:1" s="287" customFormat="1" ht="12" hidden="1" customHeight="1">
      <c r="A11097" s="286"/>
    </row>
    <row r="11098" spans="1:1" s="287" customFormat="1" ht="12" hidden="1" customHeight="1">
      <c r="A11098" s="286"/>
    </row>
    <row r="11099" spans="1:1" s="287" customFormat="1" ht="12" hidden="1" customHeight="1">
      <c r="A11099" s="286"/>
    </row>
    <row r="11100" spans="1:1" s="287" customFormat="1" ht="12" hidden="1" customHeight="1">
      <c r="A11100" s="286"/>
    </row>
    <row r="11101" spans="1:1" s="287" customFormat="1" ht="12" hidden="1" customHeight="1">
      <c r="A11101" s="286"/>
    </row>
    <row r="11102" spans="1:1" s="287" customFormat="1" ht="12" hidden="1" customHeight="1">
      <c r="A11102" s="286"/>
    </row>
    <row r="11103" spans="1:1" s="287" customFormat="1" ht="12" hidden="1" customHeight="1">
      <c r="A11103" s="286"/>
    </row>
    <row r="11104" spans="1:1" s="287" customFormat="1" ht="12" hidden="1" customHeight="1">
      <c r="A11104" s="286"/>
    </row>
    <row r="11105" spans="1:1" s="287" customFormat="1" ht="12" hidden="1" customHeight="1">
      <c r="A11105" s="286"/>
    </row>
    <row r="11106" spans="1:1" s="287" customFormat="1" ht="12" hidden="1" customHeight="1">
      <c r="A11106" s="286"/>
    </row>
    <row r="11107" spans="1:1" s="287" customFormat="1" ht="12" hidden="1" customHeight="1">
      <c r="A11107" s="286"/>
    </row>
    <row r="11108" spans="1:1" s="287" customFormat="1" ht="12" hidden="1" customHeight="1">
      <c r="A11108" s="286"/>
    </row>
    <row r="11109" spans="1:1" s="287" customFormat="1" ht="12" hidden="1" customHeight="1">
      <c r="A11109" s="286"/>
    </row>
    <row r="11110" spans="1:1" s="287" customFormat="1" ht="12" hidden="1" customHeight="1">
      <c r="A11110" s="286"/>
    </row>
    <row r="11111" spans="1:1" s="287" customFormat="1" ht="12" hidden="1" customHeight="1">
      <c r="A11111" s="286"/>
    </row>
    <row r="11112" spans="1:1" s="287" customFormat="1" ht="12" hidden="1" customHeight="1">
      <c r="A11112" s="286"/>
    </row>
    <row r="11113" spans="1:1" s="287" customFormat="1" ht="12" hidden="1" customHeight="1">
      <c r="A11113" s="286"/>
    </row>
    <row r="11114" spans="1:1" s="287" customFormat="1" ht="12" hidden="1" customHeight="1">
      <c r="A11114" s="286"/>
    </row>
    <row r="11115" spans="1:1" s="287" customFormat="1" ht="12" hidden="1" customHeight="1">
      <c r="A11115" s="286"/>
    </row>
    <row r="11116" spans="1:1" s="287" customFormat="1" ht="12" hidden="1" customHeight="1">
      <c r="A11116" s="286"/>
    </row>
    <row r="11117" spans="1:1" s="287" customFormat="1" ht="12" hidden="1" customHeight="1">
      <c r="A11117" s="286"/>
    </row>
    <row r="11118" spans="1:1" s="287" customFormat="1" ht="12" hidden="1" customHeight="1">
      <c r="A11118" s="286"/>
    </row>
    <row r="11119" spans="1:1" s="287" customFormat="1" ht="12" hidden="1" customHeight="1">
      <c r="A11119" s="286"/>
    </row>
    <row r="11120" spans="1:1" s="287" customFormat="1" ht="12" hidden="1" customHeight="1">
      <c r="A11120" s="286"/>
    </row>
    <row r="11121" spans="1:1" s="287" customFormat="1" ht="12" hidden="1" customHeight="1">
      <c r="A11121" s="286"/>
    </row>
    <row r="11122" spans="1:1" s="287" customFormat="1" ht="12" hidden="1" customHeight="1">
      <c r="A11122" s="286"/>
    </row>
    <row r="11123" spans="1:1" s="287" customFormat="1" ht="12" hidden="1" customHeight="1">
      <c r="A11123" s="286"/>
    </row>
    <row r="11124" spans="1:1" s="287" customFormat="1" ht="12" hidden="1" customHeight="1">
      <c r="A11124" s="286"/>
    </row>
    <row r="11125" spans="1:1" s="287" customFormat="1" ht="12" hidden="1" customHeight="1">
      <c r="A11125" s="286"/>
    </row>
    <row r="11126" spans="1:1" s="287" customFormat="1" ht="12" hidden="1" customHeight="1">
      <c r="A11126" s="286"/>
    </row>
    <row r="11127" spans="1:1" s="287" customFormat="1" ht="12" hidden="1" customHeight="1">
      <c r="A11127" s="286"/>
    </row>
    <row r="11128" spans="1:1" s="287" customFormat="1" ht="12" hidden="1" customHeight="1">
      <c r="A11128" s="286"/>
    </row>
    <row r="11129" spans="1:1" s="287" customFormat="1" ht="12" hidden="1" customHeight="1">
      <c r="A11129" s="286"/>
    </row>
    <row r="11130" spans="1:1" s="287" customFormat="1" ht="12" hidden="1" customHeight="1">
      <c r="A11130" s="286"/>
    </row>
    <row r="11131" spans="1:1" s="287" customFormat="1" ht="12" hidden="1" customHeight="1">
      <c r="A11131" s="286"/>
    </row>
    <row r="11132" spans="1:1" s="287" customFormat="1" ht="12" hidden="1" customHeight="1">
      <c r="A11132" s="286"/>
    </row>
    <row r="11133" spans="1:1" s="287" customFormat="1" ht="12" hidden="1" customHeight="1">
      <c r="A11133" s="286"/>
    </row>
    <row r="11134" spans="1:1" s="287" customFormat="1" ht="12" hidden="1" customHeight="1">
      <c r="A11134" s="286"/>
    </row>
    <row r="11135" spans="1:1" s="287" customFormat="1" ht="12" hidden="1" customHeight="1">
      <c r="A11135" s="286"/>
    </row>
    <row r="11136" spans="1:1" s="287" customFormat="1" ht="12" hidden="1" customHeight="1">
      <c r="A11136" s="286"/>
    </row>
    <row r="11137" spans="1:1" s="287" customFormat="1" ht="12" hidden="1" customHeight="1">
      <c r="A11137" s="286"/>
    </row>
    <row r="11138" spans="1:1" s="287" customFormat="1" ht="12" hidden="1" customHeight="1">
      <c r="A11138" s="286"/>
    </row>
    <row r="11139" spans="1:1" s="287" customFormat="1" ht="12" hidden="1" customHeight="1">
      <c r="A11139" s="286"/>
    </row>
    <row r="11140" spans="1:1" s="287" customFormat="1" ht="12" hidden="1" customHeight="1">
      <c r="A11140" s="286"/>
    </row>
    <row r="11141" spans="1:1" s="287" customFormat="1" ht="12" hidden="1" customHeight="1">
      <c r="A11141" s="286"/>
    </row>
    <row r="11142" spans="1:1" s="287" customFormat="1" ht="12" hidden="1" customHeight="1">
      <c r="A11142" s="286"/>
    </row>
    <row r="11143" spans="1:1" s="287" customFormat="1" ht="12" hidden="1" customHeight="1">
      <c r="A11143" s="286"/>
    </row>
    <row r="11144" spans="1:1" s="287" customFormat="1" ht="12" hidden="1" customHeight="1">
      <c r="A11144" s="286"/>
    </row>
    <row r="11145" spans="1:1" s="287" customFormat="1" ht="12" hidden="1" customHeight="1">
      <c r="A11145" s="286"/>
    </row>
    <row r="11146" spans="1:1" s="287" customFormat="1" ht="12" hidden="1" customHeight="1">
      <c r="A11146" s="286"/>
    </row>
    <row r="11147" spans="1:1" s="287" customFormat="1" ht="12" hidden="1" customHeight="1">
      <c r="A11147" s="286"/>
    </row>
    <row r="11148" spans="1:1" s="287" customFormat="1" ht="12" hidden="1" customHeight="1">
      <c r="A11148" s="286"/>
    </row>
    <row r="11149" spans="1:1" s="287" customFormat="1" ht="12" hidden="1" customHeight="1">
      <c r="A11149" s="286"/>
    </row>
    <row r="11150" spans="1:1" s="287" customFormat="1" ht="12" hidden="1" customHeight="1">
      <c r="A11150" s="286"/>
    </row>
    <row r="11151" spans="1:1" s="287" customFormat="1" ht="12" hidden="1" customHeight="1">
      <c r="A11151" s="286"/>
    </row>
    <row r="11152" spans="1:1" s="287" customFormat="1" ht="12" hidden="1" customHeight="1">
      <c r="A11152" s="286"/>
    </row>
    <row r="11153" spans="1:1" s="287" customFormat="1" ht="12" hidden="1" customHeight="1">
      <c r="A11153" s="286"/>
    </row>
    <row r="11154" spans="1:1" s="287" customFormat="1" ht="12" hidden="1" customHeight="1">
      <c r="A11154" s="286"/>
    </row>
    <row r="11155" spans="1:1" s="287" customFormat="1" ht="12" hidden="1" customHeight="1">
      <c r="A11155" s="286"/>
    </row>
    <row r="11156" spans="1:1" s="287" customFormat="1" ht="12" hidden="1" customHeight="1">
      <c r="A11156" s="286"/>
    </row>
    <row r="11157" spans="1:1" s="287" customFormat="1" ht="12" hidden="1" customHeight="1">
      <c r="A11157" s="286"/>
    </row>
    <row r="11158" spans="1:1" s="287" customFormat="1" ht="12" hidden="1" customHeight="1">
      <c r="A11158" s="286"/>
    </row>
    <row r="11159" spans="1:1" s="287" customFormat="1" ht="12" hidden="1" customHeight="1">
      <c r="A11159" s="286"/>
    </row>
    <row r="11160" spans="1:1" s="287" customFormat="1" ht="12" hidden="1" customHeight="1">
      <c r="A11160" s="286"/>
    </row>
    <row r="11161" spans="1:1" s="287" customFormat="1" ht="12" hidden="1" customHeight="1">
      <c r="A11161" s="286"/>
    </row>
    <row r="11162" spans="1:1" s="287" customFormat="1" ht="12" hidden="1" customHeight="1">
      <c r="A11162" s="286"/>
    </row>
    <row r="11163" spans="1:1" s="287" customFormat="1" ht="12" hidden="1" customHeight="1">
      <c r="A11163" s="286"/>
    </row>
    <row r="11164" spans="1:1" s="287" customFormat="1" ht="12" hidden="1" customHeight="1">
      <c r="A11164" s="286"/>
    </row>
    <row r="11165" spans="1:1" s="287" customFormat="1" ht="12" hidden="1" customHeight="1">
      <c r="A11165" s="286"/>
    </row>
    <row r="11166" spans="1:1" s="287" customFormat="1" ht="12" hidden="1" customHeight="1">
      <c r="A11166" s="286"/>
    </row>
    <row r="11167" spans="1:1" s="287" customFormat="1" ht="12" hidden="1" customHeight="1">
      <c r="A11167" s="286"/>
    </row>
    <row r="11168" spans="1:1" s="287" customFormat="1" ht="12" hidden="1" customHeight="1">
      <c r="A11168" s="286"/>
    </row>
    <row r="11169" spans="1:1" s="287" customFormat="1" ht="12" hidden="1" customHeight="1">
      <c r="A11169" s="286"/>
    </row>
    <row r="11170" spans="1:1" s="287" customFormat="1" ht="12" hidden="1" customHeight="1">
      <c r="A11170" s="286"/>
    </row>
    <row r="11171" spans="1:1" s="287" customFormat="1" ht="12" hidden="1" customHeight="1">
      <c r="A11171" s="286"/>
    </row>
    <row r="11172" spans="1:1" s="287" customFormat="1" ht="12" hidden="1" customHeight="1">
      <c r="A11172" s="286"/>
    </row>
    <row r="11173" spans="1:1" s="287" customFormat="1" ht="12" hidden="1" customHeight="1">
      <c r="A11173" s="286"/>
    </row>
    <row r="11174" spans="1:1" s="287" customFormat="1" ht="12" hidden="1" customHeight="1">
      <c r="A11174" s="286"/>
    </row>
    <row r="11175" spans="1:1" s="287" customFormat="1" ht="12" hidden="1" customHeight="1">
      <c r="A11175" s="286"/>
    </row>
    <row r="11176" spans="1:1" s="287" customFormat="1" ht="12" hidden="1" customHeight="1">
      <c r="A11176" s="286"/>
    </row>
    <row r="11177" spans="1:1" s="287" customFormat="1" ht="12" hidden="1" customHeight="1">
      <c r="A11177" s="286"/>
    </row>
    <row r="11178" spans="1:1" s="287" customFormat="1" ht="12" hidden="1" customHeight="1">
      <c r="A11178" s="286"/>
    </row>
    <row r="11179" spans="1:1" s="287" customFormat="1" ht="12" hidden="1" customHeight="1">
      <c r="A11179" s="286"/>
    </row>
    <row r="11180" spans="1:1" s="287" customFormat="1" ht="12" hidden="1" customHeight="1">
      <c r="A11180" s="286"/>
    </row>
    <row r="11181" spans="1:1" s="287" customFormat="1" ht="12" hidden="1" customHeight="1">
      <c r="A11181" s="286"/>
    </row>
    <row r="11182" spans="1:1" s="287" customFormat="1" ht="12" hidden="1" customHeight="1">
      <c r="A11182" s="286"/>
    </row>
    <row r="11183" spans="1:1" s="287" customFormat="1" ht="12" hidden="1" customHeight="1">
      <c r="A11183" s="286"/>
    </row>
    <row r="11184" spans="1:1" s="287" customFormat="1" ht="12" hidden="1" customHeight="1">
      <c r="A11184" s="286"/>
    </row>
    <row r="11185" spans="1:1" s="287" customFormat="1" ht="12" hidden="1" customHeight="1">
      <c r="A11185" s="286"/>
    </row>
    <row r="11186" spans="1:1" s="287" customFormat="1" ht="12" hidden="1" customHeight="1">
      <c r="A11186" s="286"/>
    </row>
    <row r="11187" spans="1:1" s="287" customFormat="1" ht="12" hidden="1" customHeight="1">
      <c r="A11187" s="286"/>
    </row>
    <row r="11188" spans="1:1" s="287" customFormat="1" ht="12" hidden="1" customHeight="1">
      <c r="A11188" s="286"/>
    </row>
    <row r="11189" spans="1:1" s="287" customFormat="1" ht="12" hidden="1" customHeight="1">
      <c r="A11189" s="286"/>
    </row>
    <row r="11190" spans="1:1" s="287" customFormat="1" ht="12" hidden="1" customHeight="1">
      <c r="A11190" s="286"/>
    </row>
    <row r="11191" spans="1:1" s="287" customFormat="1" ht="12" hidden="1" customHeight="1">
      <c r="A11191" s="286"/>
    </row>
    <row r="11192" spans="1:1" s="287" customFormat="1" ht="12" hidden="1" customHeight="1">
      <c r="A11192" s="286"/>
    </row>
    <row r="11193" spans="1:1" s="287" customFormat="1" ht="12" hidden="1" customHeight="1">
      <c r="A11193" s="286"/>
    </row>
    <row r="11194" spans="1:1" s="287" customFormat="1" ht="12" hidden="1" customHeight="1">
      <c r="A11194" s="286"/>
    </row>
    <row r="11195" spans="1:1" s="287" customFormat="1" ht="12" hidden="1" customHeight="1">
      <c r="A11195" s="286"/>
    </row>
    <row r="11196" spans="1:1" s="287" customFormat="1" ht="12" hidden="1" customHeight="1">
      <c r="A11196" s="286"/>
    </row>
    <row r="11197" spans="1:1" s="287" customFormat="1" ht="12" hidden="1" customHeight="1">
      <c r="A11197" s="286"/>
    </row>
    <row r="11198" spans="1:1" s="287" customFormat="1" ht="12" hidden="1" customHeight="1">
      <c r="A11198" s="286"/>
    </row>
    <row r="11199" spans="1:1" s="287" customFormat="1" ht="12" hidden="1" customHeight="1">
      <c r="A11199" s="286"/>
    </row>
    <row r="11200" spans="1:1" s="287" customFormat="1" ht="12" hidden="1" customHeight="1">
      <c r="A11200" s="286"/>
    </row>
    <row r="11201" spans="1:1" s="287" customFormat="1" ht="12" hidden="1" customHeight="1">
      <c r="A11201" s="286"/>
    </row>
    <row r="11202" spans="1:1" s="287" customFormat="1" ht="12" hidden="1" customHeight="1">
      <c r="A11202" s="286"/>
    </row>
    <row r="11203" spans="1:1" s="287" customFormat="1" ht="12" hidden="1" customHeight="1">
      <c r="A11203" s="286"/>
    </row>
    <row r="11204" spans="1:1" s="287" customFormat="1" ht="12" hidden="1" customHeight="1">
      <c r="A11204" s="286"/>
    </row>
    <row r="11205" spans="1:1" s="287" customFormat="1" ht="12" hidden="1" customHeight="1">
      <c r="A11205" s="286"/>
    </row>
    <row r="11206" spans="1:1" s="287" customFormat="1" ht="12" hidden="1" customHeight="1">
      <c r="A11206" s="286"/>
    </row>
    <row r="11207" spans="1:1" s="287" customFormat="1" ht="12" hidden="1" customHeight="1">
      <c r="A11207" s="286"/>
    </row>
    <row r="11208" spans="1:1" s="287" customFormat="1" ht="12" hidden="1" customHeight="1">
      <c r="A11208" s="286"/>
    </row>
    <row r="11209" spans="1:1" s="287" customFormat="1" ht="12" hidden="1" customHeight="1">
      <c r="A11209" s="286"/>
    </row>
    <row r="11210" spans="1:1" s="287" customFormat="1" ht="12" hidden="1" customHeight="1">
      <c r="A11210" s="286"/>
    </row>
    <row r="11211" spans="1:1" s="287" customFormat="1" ht="12" hidden="1" customHeight="1">
      <c r="A11211" s="286"/>
    </row>
    <row r="11212" spans="1:1" s="287" customFormat="1" ht="12" hidden="1" customHeight="1">
      <c r="A11212" s="286"/>
    </row>
    <row r="11213" spans="1:1" s="287" customFormat="1" ht="12" hidden="1" customHeight="1">
      <c r="A11213" s="286"/>
    </row>
    <row r="11214" spans="1:1" s="287" customFormat="1" ht="12" hidden="1" customHeight="1">
      <c r="A11214" s="286"/>
    </row>
    <row r="11215" spans="1:1" s="287" customFormat="1" ht="12" hidden="1" customHeight="1">
      <c r="A11215" s="286"/>
    </row>
    <row r="11216" spans="1:1" s="287" customFormat="1" ht="12" hidden="1" customHeight="1">
      <c r="A11216" s="286"/>
    </row>
    <row r="11217" spans="1:1" s="287" customFormat="1" ht="12" hidden="1" customHeight="1">
      <c r="A11217" s="286"/>
    </row>
    <row r="11218" spans="1:1" s="287" customFormat="1" ht="12" hidden="1" customHeight="1">
      <c r="A11218" s="286"/>
    </row>
    <row r="11219" spans="1:1" s="287" customFormat="1" ht="12" hidden="1" customHeight="1">
      <c r="A11219" s="286"/>
    </row>
    <row r="11220" spans="1:1" s="287" customFormat="1" ht="12" hidden="1" customHeight="1">
      <c r="A11220" s="286"/>
    </row>
    <row r="11221" spans="1:1" s="287" customFormat="1" ht="12" hidden="1" customHeight="1">
      <c r="A11221" s="286"/>
    </row>
    <row r="11222" spans="1:1" s="287" customFormat="1" ht="12" hidden="1" customHeight="1">
      <c r="A11222" s="286"/>
    </row>
    <row r="11223" spans="1:1" s="287" customFormat="1" ht="12" hidden="1" customHeight="1">
      <c r="A11223" s="286"/>
    </row>
    <row r="11224" spans="1:1" s="287" customFormat="1" ht="12" hidden="1" customHeight="1">
      <c r="A11224" s="286"/>
    </row>
    <row r="11225" spans="1:1" s="287" customFormat="1" ht="12" hidden="1" customHeight="1">
      <c r="A11225" s="286"/>
    </row>
    <row r="11226" spans="1:1" s="287" customFormat="1" ht="12" hidden="1" customHeight="1">
      <c r="A11226" s="286"/>
    </row>
    <row r="11227" spans="1:1" s="287" customFormat="1" ht="12" hidden="1" customHeight="1">
      <c r="A11227" s="286"/>
    </row>
    <row r="11228" spans="1:1" s="287" customFormat="1" ht="12" hidden="1" customHeight="1">
      <c r="A11228" s="286"/>
    </row>
    <row r="11229" spans="1:1" s="287" customFormat="1" ht="12" hidden="1" customHeight="1">
      <c r="A11229" s="286"/>
    </row>
    <row r="11230" spans="1:1" s="287" customFormat="1" ht="12" hidden="1" customHeight="1">
      <c r="A11230" s="286"/>
    </row>
    <row r="11231" spans="1:1" s="287" customFormat="1" ht="12" hidden="1" customHeight="1">
      <c r="A11231" s="286"/>
    </row>
    <row r="11232" spans="1:1" s="287" customFormat="1" ht="12" hidden="1" customHeight="1">
      <c r="A11232" s="286"/>
    </row>
    <row r="11233" spans="1:1" s="287" customFormat="1" ht="12" hidden="1" customHeight="1">
      <c r="A11233" s="286"/>
    </row>
    <row r="11234" spans="1:1" s="287" customFormat="1" ht="12" hidden="1" customHeight="1">
      <c r="A11234" s="286"/>
    </row>
    <row r="11235" spans="1:1" s="287" customFormat="1" ht="12" hidden="1" customHeight="1">
      <c r="A11235" s="286"/>
    </row>
    <row r="11236" spans="1:1" s="287" customFormat="1" ht="12" hidden="1" customHeight="1">
      <c r="A11236" s="286"/>
    </row>
    <row r="11237" spans="1:1" s="287" customFormat="1" ht="12" hidden="1" customHeight="1">
      <c r="A11237" s="286"/>
    </row>
    <row r="11238" spans="1:1" s="287" customFormat="1" ht="12" hidden="1" customHeight="1">
      <c r="A11238" s="286"/>
    </row>
    <row r="11239" spans="1:1" s="287" customFormat="1" ht="12" hidden="1" customHeight="1">
      <c r="A11239" s="286"/>
    </row>
    <row r="11240" spans="1:1" s="287" customFormat="1" ht="12" hidden="1" customHeight="1">
      <c r="A11240" s="286"/>
    </row>
    <row r="11241" spans="1:1" s="287" customFormat="1" ht="12" hidden="1" customHeight="1">
      <c r="A11241" s="286"/>
    </row>
    <row r="11242" spans="1:1" s="287" customFormat="1" ht="12" hidden="1" customHeight="1">
      <c r="A11242" s="286"/>
    </row>
    <row r="11243" spans="1:1" s="287" customFormat="1" ht="12" hidden="1" customHeight="1">
      <c r="A11243" s="286"/>
    </row>
    <row r="11244" spans="1:1" s="287" customFormat="1" ht="12" hidden="1" customHeight="1">
      <c r="A11244" s="286"/>
    </row>
    <row r="11245" spans="1:1" s="287" customFormat="1" ht="12" hidden="1" customHeight="1">
      <c r="A11245" s="286"/>
    </row>
    <row r="11246" spans="1:1" s="287" customFormat="1" ht="12" hidden="1" customHeight="1">
      <c r="A11246" s="286"/>
    </row>
    <row r="11247" spans="1:1" s="287" customFormat="1" ht="12" hidden="1" customHeight="1">
      <c r="A11247" s="286"/>
    </row>
    <row r="11248" spans="1:1" s="287" customFormat="1" ht="12" hidden="1" customHeight="1">
      <c r="A11248" s="286"/>
    </row>
    <row r="11249" spans="1:1" s="287" customFormat="1" ht="12" hidden="1" customHeight="1">
      <c r="A11249" s="286"/>
    </row>
    <row r="11250" spans="1:1" s="287" customFormat="1" ht="12" hidden="1" customHeight="1">
      <c r="A11250" s="286"/>
    </row>
    <row r="11251" spans="1:1" s="287" customFormat="1" ht="12" hidden="1" customHeight="1">
      <c r="A11251" s="286"/>
    </row>
    <row r="11252" spans="1:1" s="287" customFormat="1" ht="12" hidden="1" customHeight="1">
      <c r="A11252" s="286"/>
    </row>
    <row r="11253" spans="1:1" s="287" customFormat="1" ht="12" hidden="1" customHeight="1">
      <c r="A11253" s="286"/>
    </row>
    <row r="11254" spans="1:1" s="287" customFormat="1" ht="12" hidden="1" customHeight="1">
      <c r="A11254" s="286"/>
    </row>
    <row r="11255" spans="1:1" s="287" customFormat="1" ht="12" hidden="1" customHeight="1">
      <c r="A11255" s="286"/>
    </row>
    <row r="11256" spans="1:1" s="287" customFormat="1" ht="12" hidden="1" customHeight="1">
      <c r="A11256" s="286"/>
    </row>
    <row r="11257" spans="1:1" s="287" customFormat="1" ht="12" hidden="1" customHeight="1">
      <c r="A11257" s="286"/>
    </row>
    <row r="11258" spans="1:1" s="287" customFormat="1" ht="12" hidden="1" customHeight="1">
      <c r="A11258" s="286"/>
    </row>
    <row r="11259" spans="1:1" s="287" customFormat="1" ht="12" hidden="1" customHeight="1">
      <c r="A11259" s="286"/>
    </row>
    <row r="11260" spans="1:1" s="287" customFormat="1" ht="12" hidden="1" customHeight="1">
      <c r="A11260" s="286"/>
    </row>
    <row r="11261" spans="1:1" s="287" customFormat="1" ht="12" hidden="1" customHeight="1">
      <c r="A11261" s="286"/>
    </row>
    <row r="11262" spans="1:1" s="287" customFormat="1" ht="12" hidden="1" customHeight="1">
      <c r="A11262" s="286"/>
    </row>
    <row r="11263" spans="1:1" s="287" customFormat="1" ht="12" hidden="1" customHeight="1">
      <c r="A11263" s="286"/>
    </row>
    <row r="11264" spans="1:1" s="287" customFormat="1" ht="12" hidden="1" customHeight="1">
      <c r="A11264" s="286"/>
    </row>
    <row r="11265" spans="1:1" s="287" customFormat="1" ht="12" hidden="1" customHeight="1">
      <c r="A11265" s="286"/>
    </row>
    <row r="11266" spans="1:1" s="287" customFormat="1" ht="12" hidden="1" customHeight="1">
      <c r="A11266" s="286"/>
    </row>
    <row r="11267" spans="1:1" s="287" customFormat="1" ht="12" hidden="1" customHeight="1">
      <c r="A11267" s="286"/>
    </row>
    <row r="11268" spans="1:1" s="287" customFormat="1" ht="12" hidden="1" customHeight="1">
      <c r="A11268" s="286"/>
    </row>
    <row r="11269" spans="1:1" s="287" customFormat="1" ht="12" hidden="1" customHeight="1">
      <c r="A11269" s="286"/>
    </row>
    <row r="11270" spans="1:1" s="287" customFormat="1" ht="12" hidden="1" customHeight="1">
      <c r="A11270" s="286"/>
    </row>
    <row r="11271" spans="1:1" s="287" customFormat="1" ht="12" hidden="1" customHeight="1">
      <c r="A11271" s="286"/>
    </row>
    <row r="11272" spans="1:1" s="287" customFormat="1" ht="12" hidden="1" customHeight="1">
      <c r="A11272" s="286"/>
    </row>
    <row r="11273" spans="1:1" s="287" customFormat="1" ht="12" hidden="1" customHeight="1">
      <c r="A11273" s="286"/>
    </row>
    <row r="11274" spans="1:1" s="287" customFormat="1" ht="12" hidden="1" customHeight="1">
      <c r="A11274" s="286"/>
    </row>
    <row r="11275" spans="1:1" s="287" customFormat="1" ht="12" hidden="1" customHeight="1">
      <c r="A11275" s="286"/>
    </row>
    <row r="11276" spans="1:1" s="287" customFormat="1" ht="12" hidden="1" customHeight="1">
      <c r="A11276" s="286"/>
    </row>
    <row r="11277" spans="1:1" s="287" customFormat="1" ht="12" hidden="1" customHeight="1">
      <c r="A11277" s="286"/>
    </row>
    <row r="11278" spans="1:1" s="287" customFormat="1" ht="12" hidden="1" customHeight="1">
      <c r="A11278" s="286"/>
    </row>
    <row r="11279" spans="1:1" s="287" customFormat="1" ht="12" hidden="1" customHeight="1">
      <c r="A11279" s="286"/>
    </row>
    <row r="11280" spans="1:1" s="287" customFormat="1" ht="12" hidden="1" customHeight="1">
      <c r="A11280" s="286"/>
    </row>
    <row r="11281" spans="1:1" s="287" customFormat="1" ht="12" hidden="1" customHeight="1">
      <c r="A11281" s="286"/>
    </row>
    <row r="11282" spans="1:1" s="287" customFormat="1" ht="12" hidden="1" customHeight="1">
      <c r="A11282" s="286"/>
    </row>
    <row r="11283" spans="1:1" s="287" customFormat="1" ht="12" hidden="1" customHeight="1">
      <c r="A11283" s="286"/>
    </row>
    <row r="11284" spans="1:1" s="287" customFormat="1" ht="12" hidden="1" customHeight="1">
      <c r="A11284" s="286"/>
    </row>
    <row r="11285" spans="1:1" s="287" customFormat="1" ht="12" hidden="1" customHeight="1">
      <c r="A11285" s="286"/>
    </row>
    <row r="11286" spans="1:1" s="287" customFormat="1" ht="12" hidden="1" customHeight="1">
      <c r="A11286" s="286"/>
    </row>
    <row r="11287" spans="1:1" s="287" customFormat="1" ht="12" hidden="1" customHeight="1">
      <c r="A11287" s="286"/>
    </row>
    <row r="11288" spans="1:1" s="287" customFormat="1" ht="12" hidden="1" customHeight="1">
      <c r="A11288" s="286"/>
    </row>
    <row r="11289" spans="1:1" s="287" customFormat="1" ht="12" hidden="1" customHeight="1">
      <c r="A11289" s="286"/>
    </row>
    <row r="11290" spans="1:1" s="287" customFormat="1" ht="12" hidden="1" customHeight="1">
      <c r="A11290" s="286"/>
    </row>
    <row r="11291" spans="1:1" s="287" customFormat="1" ht="12" hidden="1" customHeight="1">
      <c r="A11291" s="286"/>
    </row>
    <row r="11292" spans="1:1" s="287" customFormat="1" ht="12" hidden="1" customHeight="1">
      <c r="A11292" s="286"/>
    </row>
    <row r="11293" spans="1:1" s="287" customFormat="1" ht="12" hidden="1" customHeight="1">
      <c r="A11293" s="286"/>
    </row>
    <row r="11294" spans="1:1" s="287" customFormat="1" ht="12" hidden="1" customHeight="1">
      <c r="A11294" s="286"/>
    </row>
    <row r="11295" spans="1:1" s="287" customFormat="1" ht="12" hidden="1" customHeight="1">
      <c r="A11295" s="286"/>
    </row>
    <row r="11296" spans="1:1" s="287" customFormat="1" ht="12" hidden="1" customHeight="1">
      <c r="A11296" s="286"/>
    </row>
    <row r="11297" spans="1:1" s="287" customFormat="1" ht="12" hidden="1" customHeight="1">
      <c r="A11297" s="286"/>
    </row>
    <row r="11298" spans="1:1" s="287" customFormat="1" ht="12" hidden="1" customHeight="1">
      <c r="A11298" s="286"/>
    </row>
    <row r="11299" spans="1:1" s="287" customFormat="1" ht="12" hidden="1" customHeight="1">
      <c r="A11299" s="286"/>
    </row>
    <row r="11300" spans="1:1" s="287" customFormat="1" ht="12" hidden="1" customHeight="1">
      <c r="A11300" s="286"/>
    </row>
    <row r="11301" spans="1:1" s="287" customFormat="1" ht="12" hidden="1" customHeight="1">
      <c r="A11301" s="286"/>
    </row>
    <row r="11302" spans="1:1" s="287" customFormat="1" ht="12" hidden="1" customHeight="1">
      <c r="A11302" s="286"/>
    </row>
    <row r="11303" spans="1:1" s="287" customFormat="1" ht="12" hidden="1" customHeight="1">
      <c r="A11303" s="286"/>
    </row>
    <row r="11304" spans="1:1" s="287" customFormat="1" ht="12" hidden="1" customHeight="1">
      <c r="A11304" s="286"/>
    </row>
    <row r="11305" spans="1:1" s="287" customFormat="1" ht="12" hidden="1" customHeight="1">
      <c r="A11305" s="286"/>
    </row>
    <row r="11306" spans="1:1" s="287" customFormat="1" ht="12" hidden="1" customHeight="1">
      <c r="A11306" s="286"/>
    </row>
    <row r="11307" spans="1:1" s="287" customFormat="1" ht="12" hidden="1" customHeight="1">
      <c r="A11307" s="286"/>
    </row>
    <row r="11308" spans="1:1" s="287" customFormat="1" ht="12" hidden="1" customHeight="1">
      <c r="A11308" s="286"/>
    </row>
    <row r="11309" spans="1:1" s="287" customFormat="1" ht="12" hidden="1" customHeight="1">
      <c r="A11309" s="286"/>
    </row>
    <row r="11310" spans="1:1" s="287" customFormat="1" ht="12" hidden="1" customHeight="1">
      <c r="A11310" s="286"/>
    </row>
    <row r="11311" spans="1:1" s="287" customFormat="1" ht="12" hidden="1" customHeight="1">
      <c r="A11311" s="286"/>
    </row>
    <row r="11312" spans="1:1" s="287" customFormat="1" ht="12" hidden="1" customHeight="1">
      <c r="A11312" s="286"/>
    </row>
    <row r="11313" spans="1:1" s="287" customFormat="1" ht="12" hidden="1" customHeight="1">
      <c r="A11313" s="286"/>
    </row>
    <row r="11314" spans="1:1" s="287" customFormat="1" ht="12" hidden="1" customHeight="1">
      <c r="A11314" s="286"/>
    </row>
    <row r="11315" spans="1:1" s="287" customFormat="1" ht="12" hidden="1" customHeight="1">
      <c r="A11315" s="286"/>
    </row>
    <row r="11316" spans="1:1" s="287" customFormat="1" ht="12" hidden="1" customHeight="1">
      <c r="A11316" s="286"/>
    </row>
    <row r="11317" spans="1:1" s="287" customFormat="1" ht="12" hidden="1" customHeight="1">
      <c r="A11317" s="286"/>
    </row>
    <row r="11318" spans="1:1" s="287" customFormat="1" ht="12" hidden="1" customHeight="1">
      <c r="A11318" s="286"/>
    </row>
    <row r="11319" spans="1:1" s="287" customFormat="1" ht="12" hidden="1" customHeight="1">
      <c r="A11319" s="286"/>
    </row>
    <row r="11320" spans="1:1" s="287" customFormat="1" ht="12" hidden="1" customHeight="1">
      <c r="A11320" s="286"/>
    </row>
    <row r="11321" spans="1:1" s="287" customFormat="1" ht="12" hidden="1" customHeight="1">
      <c r="A11321" s="286"/>
    </row>
    <row r="11322" spans="1:1" s="287" customFormat="1" ht="12" hidden="1" customHeight="1">
      <c r="A11322" s="286"/>
    </row>
    <row r="11323" spans="1:1" s="287" customFormat="1" ht="12" hidden="1" customHeight="1">
      <c r="A11323" s="286"/>
    </row>
    <row r="11324" spans="1:1" s="287" customFormat="1" ht="12" hidden="1" customHeight="1">
      <c r="A11324" s="286"/>
    </row>
    <row r="11325" spans="1:1" s="287" customFormat="1" ht="12" hidden="1" customHeight="1">
      <c r="A11325" s="286"/>
    </row>
    <row r="11326" spans="1:1" s="287" customFormat="1" ht="12" hidden="1" customHeight="1">
      <c r="A11326" s="286"/>
    </row>
    <row r="11327" spans="1:1" s="287" customFormat="1" ht="12" hidden="1" customHeight="1">
      <c r="A11327" s="286"/>
    </row>
    <row r="11328" spans="1:1" s="287" customFormat="1" ht="12" hidden="1" customHeight="1">
      <c r="A11328" s="286"/>
    </row>
    <row r="11329" spans="1:1" s="287" customFormat="1" ht="12" hidden="1" customHeight="1">
      <c r="A11329" s="286"/>
    </row>
    <row r="11330" spans="1:1" s="287" customFormat="1" ht="12" hidden="1" customHeight="1">
      <c r="A11330" s="286"/>
    </row>
    <row r="11331" spans="1:1" s="287" customFormat="1" ht="12" hidden="1" customHeight="1">
      <c r="A11331" s="286"/>
    </row>
    <row r="11332" spans="1:1" s="287" customFormat="1" ht="12" hidden="1" customHeight="1">
      <c r="A11332" s="286"/>
    </row>
    <row r="11333" spans="1:1" s="287" customFormat="1" ht="12" hidden="1" customHeight="1">
      <c r="A11333" s="286"/>
    </row>
    <row r="11334" spans="1:1" s="287" customFormat="1" ht="12" hidden="1" customHeight="1">
      <c r="A11334" s="286"/>
    </row>
    <row r="11335" spans="1:1" s="287" customFormat="1" ht="12" hidden="1" customHeight="1">
      <c r="A11335" s="286"/>
    </row>
    <row r="11336" spans="1:1" s="287" customFormat="1" ht="12" hidden="1" customHeight="1">
      <c r="A11336" s="286"/>
    </row>
    <row r="11337" spans="1:1" s="287" customFormat="1" ht="12" hidden="1" customHeight="1">
      <c r="A11337" s="286"/>
    </row>
    <row r="11338" spans="1:1" s="287" customFormat="1" ht="12" hidden="1" customHeight="1">
      <c r="A11338" s="286"/>
    </row>
    <row r="11339" spans="1:1" s="287" customFormat="1" ht="12" hidden="1" customHeight="1">
      <c r="A11339" s="286"/>
    </row>
    <row r="11340" spans="1:1" s="287" customFormat="1" ht="12" hidden="1" customHeight="1">
      <c r="A11340" s="286"/>
    </row>
    <row r="11341" spans="1:1" s="287" customFormat="1" ht="12" hidden="1" customHeight="1">
      <c r="A11341" s="286"/>
    </row>
    <row r="11342" spans="1:1" s="287" customFormat="1" ht="12" hidden="1" customHeight="1">
      <c r="A11342" s="286"/>
    </row>
    <row r="11343" spans="1:1" s="287" customFormat="1" ht="12" hidden="1" customHeight="1">
      <c r="A11343" s="286"/>
    </row>
    <row r="11344" spans="1:1" s="287" customFormat="1" ht="12" hidden="1" customHeight="1">
      <c r="A11344" s="286"/>
    </row>
    <row r="11345" spans="1:1" s="287" customFormat="1" ht="12" hidden="1" customHeight="1">
      <c r="A11345" s="286"/>
    </row>
    <row r="11346" spans="1:1" s="287" customFormat="1" ht="12" hidden="1" customHeight="1">
      <c r="A11346" s="286"/>
    </row>
    <row r="11347" spans="1:1" s="287" customFormat="1" ht="12" hidden="1" customHeight="1">
      <c r="A11347" s="286"/>
    </row>
    <row r="11348" spans="1:1" s="287" customFormat="1" ht="12" hidden="1" customHeight="1">
      <c r="A11348" s="286"/>
    </row>
    <row r="11349" spans="1:1" s="287" customFormat="1" ht="12" hidden="1" customHeight="1">
      <c r="A11349" s="286"/>
    </row>
    <row r="11350" spans="1:1" s="287" customFormat="1" ht="12" hidden="1" customHeight="1">
      <c r="A11350" s="286"/>
    </row>
    <row r="11351" spans="1:1" s="287" customFormat="1" ht="12" hidden="1" customHeight="1">
      <c r="A11351" s="286"/>
    </row>
    <row r="11352" spans="1:1" s="287" customFormat="1" ht="12" hidden="1" customHeight="1">
      <c r="A11352" s="286"/>
    </row>
    <row r="11353" spans="1:1" s="287" customFormat="1" ht="12" hidden="1" customHeight="1">
      <c r="A11353" s="286"/>
    </row>
    <row r="11354" spans="1:1" s="287" customFormat="1" ht="12" hidden="1" customHeight="1">
      <c r="A11354" s="286"/>
    </row>
    <row r="11355" spans="1:1" s="287" customFormat="1" ht="12" hidden="1" customHeight="1">
      <c r="A11355" s="286"/>
    </row>
    <row r="11356" spans="1:1" s="287" customFormat="1" ht="12" hidden="1" customHeight="1">
      <c r="A11356" s="286"/>
    </row>
    <row r="11357" spans="1:1" s="287" customFormat="1" ht="12" hidden="1" customHeight="1">
      <c r="A11357" s="286"/>
    </row>
    <row r="11358" spans="1:1" s="287" customFormat="1" ht="12" hidden="1" customHeight="1">
      <c r="A11358" s="286"/>
    </row>
    <row r="11359" spans="1:1" s="287" customFormat="1" ht="12" hidden="1" customHeight="1">
      <c r="A11359" s="286"/>
    </row>
    <row r="11360" spans="1:1" s="287" customFormat="1" ht="12" hidden="1" customHeight="1">
      <c r="A11360" s="286"/>
    </row>
    <row r="11361" spans="1:1" s="287" customFormat="1" ht="12" hidden="1" customHeight="1">
      <c r="A11361" s="286"/>
    </row>
    <row r="11362" spans="1:1" s="287" customFormat="1" ht="12" hidden="1" customHeight="1">
      <c r="A11362" s="286"/>
    </row>
    <row r="11363" spans="1:1" s="287" customFormat="1" ht="12" hidden="1" customHeight="1">
      <c r="A11363" s="286"/>
    </row>
    <row r="11364" spans="1:1" s="287" customFormat="1" ht="12" hidden="1" customHeight="1">
      <c r="A11364" s="286"/>
    </row>
    <row r="11365" spans="1:1" s="287" customFormat="1" ht="12" hidden="1" customHeight="1">
      <c r="A11365" s="286"/>
    </row>
    <row r="11366" spans="1:1" s="287" customFormat="1" ht="12" hidden="1" customHeight="1">
      <c r="A11366" s="286"/>
    </row>
    <row r="11367" spans="1:1" s="287" customFormat="1" ht="12" hidden="1" customHeight="1">
      <c r="A11367" s="286"/>
    </row>
    <row r="11368" spans="1:1" s="287" customFormat="1" ht="12" hidden="1" customHeight="1">
      <c r="A11368" s="286"/>
    </row>
    <row r="11369" spans="1:1" s="287" customFormat="1" ht="12" hidden="1" customHeight="1">
      <c r="A11369" s="286"/>
    </row>
    <row r="11370" spans="1:1" s="287" customFormat="1" ht="12" hidden="1" customHeight="1">
      <c r="A11370" s="286"/>
    </row>
    <row r="11371" spans="1:1" s="287" customFormat="1" ht="12" hidden="1" customHeight="1">
      <c r="A11371" s="286"/>
    </row>
    <row r="11372" spans="1:1" s="287" customFormat="1" ht="12" hidden="1" customHeight="1">
      <c r="A11372" s="286"/>
    </row>
    <row r="11373" spans="1:1" s="287" customFormat="1" ht="12" hidden="1" customHeight="1">
      <c r="A11373" s="286"/>
    </row>
    <row r="11374" spans="1:1" s="287" customFormat="1" ht="12" hidden="1" customHeight="1">
      <c r="A11374" s="286"/>
    </row>
    <row r="11375" spans="1:1" s="287" customFormat="1" ht="12" hidden="1" customHeight="1">
      <c r="A11375" s="286"/>
    </row>
    <row r="11376" spans="1:1" s="287" customFormat="1" ht="12" hidden="1" customHeight="1">
      <c r="A11376" s="286"/>
    </row>
    <row r="11377" spans="1:1" s="287" customFormat="1" ht="12" hidden="1" customHeight="1">
      <c r="A11377" s="286"/>
    </row>
    <row r="11378" spans="1:1" s="287" customFormat="1" ht="12" hidden="1" customHeight="1">
      <c r="A11378" s="286"/>
    </row>
    <row r="11379" spans="1:1" s="287" customFormat="1" ht="12" hidden="1" customHeight="1">
      <c r="A11379" s="286"/>
    </row>
    <row r="11380" spans="1:1" s="287" customFormat="1" ht="12" hidden="1" customHeight="1">
      <c r="A11380" s="286"/>
    </row>
    <row r="11381" spans="1:1" s="287" customFormat="1" ht="12" hidden="1" customHeight="1">
      <c r="A11381" s="286"/>
    </row>
    <row r="11382" spans="1:1" s="287" customFormat="1" ht="12" hidden="1" customHeight="1">
      <c r="A11382" s="286"/>
    </row>
    <row r="11383" spans="1:1" s="287" customFormat="1" ht="12" hidden="1" customHeight="1">
      <c r="A11383" s="286"/>
    </row>
    <row r="11384" spans="1:1" s="287" customFormat="1" ht="12" hidden="1" customHeight="1">
      <c r="A11384" s="286"/>
    </row>
    <row r="11385" spans="1:1" s="287" customFormat="1" ht="12" hidden="1" customHeight="1">
      <c r="A11385" s="286"/>
    </row>
    <row r="11386" spans="1:1" s="287" customFormat="1" ht="12" hidden="1" customHeight="1">
      <c r="A11386" s="286"/>
    </row>
    <row r="11387" spans="1:1" s="287" customFormat="1" ht="12" hidden="1" customHeight="1">
      <c r="A11387" s="286"/>
    </row>
    <row r="11388" spans="1:1" s="287" customFormat="1" ht="12" hidden="1" customHeight="1">
      <c r="A11388" s="286"/>
    </row>
    <row r="11389" spans="1:1" s="287" customFormat="1" ht="12" hidden="1" customHeight="1">
      <c r="A11389" s="286"/>
    </row>
    <row r="11390" spans="1:1" s="287" customFormat="1" ht="12" hidden="1" customHeight="1">
      <c r="A11390" s="286"/>
    </row>
    <row r="11391" spans="1:1" s="287" customFormat="1" ht="12" hidden="1" customHeight="1">
      <c r="A11391" s="286"/>
    </row>
    <row r="11392" spans="1:1" s="287" customFormat="1" ht="12" hidden="1" customHeight="1">
      <c r="A11392" s="286"/>
    </row>
    <row r="11393" spans="1:1" s="287" customFormat="1" ht="12" hidden="1" customHeight="1">
      <c r="A11393" s="286"/>
    </row>
    <row r="11394" spans="1:1" s="287" customFormat="1" ht="12" hidden="1" customHeight="1">
      <c r="A11394" s="286"/>
    </row>
    <row r="11395" spans="1:1" s="287" customFormat="1" ht="12" hidden="1" customHeight="1">
      <c r="A11395" s="286"/>
    </row>
    <row r="11396" spans="1:1" s="287" customFormat="1" ht="12" hidden="1" customHeight="1">
      <c r="A11396" s="286"/>
    </row>
    <row r="11397" spans="1:1" s="287" customFormat="1" ht="12" hidden="1" customHeight="1">
      <c r="A11397" s="286"/>
    </row>
    <row r="11398" spans="1:1" s="287" customFormat="1" ht="12" hidden="1" customHeight="1">
      <c r="A11398" s="286"/>
    </row>
    <row r="11399" spans="1:1" s="287" customFormat="1" ht="12" hidden="1" customHeight="1">
      <c r="A11399" s="286"/>
    </row>
    <row r="11400" spans="1:1" s="287" customFormat="1" ht="12" hidden="1" customHeight="1">
      <c r="A11400" s="286"/>
    </row>
    <row r="11401" spans="1:1" s="287" customFormat="1" ht="12" hidden="1" customHeight="1">
      <c r="A11401" s="286"/>
    </row>
    <row r="11402" spans="1:1" s="287" customFormat="1" ht="12" hidden="1" customHeight="1">
      <c r="A11402" s="286"/>
    </row>
    <row r="11403" spans="1:1" s="287" customFormat="1" ht="12" hidden="1" customHeight="1">
      <c r="A11403" s="286"/>
    </row>
    <row r="11404" spans="1:1" s="287" customFormat="1" ht="12" hidden="1" customHeight="1">
      <c r="A11404" s="286"/>
    </row>
    <row r="11405" spans="1:1" s="287" customFormat="1" ht="12" hidden="1" customHeight="1">
      <c r="A11405" s="286"/>
    </row>
    <row r="11406" spans="1:1" s="287" customFormat="1" ht="12" hidden="1" customHeight="1">
      <c r="A11406" s="286"/>
    </row>
    <row r="11407" spans="1:1" s="287" customFormat="1" ht="12" hidden="1" customHeight="1">
      <c r="A11407" s="286"/>
    </row>
    <row r="11408" spans="1:1" s="287" customFormat="1" ht="12" hidden="1" customHeight="1">
      <c r="A11408" s="286"/>
    </row>
    <row r="11409" spans="1:1" s="287" customFormat="1" ht="12" hidden="1" customHeight="1">
      <c r="A11409" s="286"/>
    </row>
    <row r="11410" spans="1:1" s="287" customFormat="1" ht="12" hidden="1" customHeight="1">
      <c r="A11410" s="286"/>
    </row>
    <row r="11411" spans="1:1" s="287" customFormat="1" ht="12" hidden="1" customHeight="1">
      <c r="A11411" s="286"/>
    </row>
    <row r="11412" spans="1:1" s="287" customFormat="1" ht="12" hidden="1" customHeight="1">
      <c r="A11412" s="286"/>
    </row>
    <row r="11413" spans="1:1" s="287" customFormat="1" ht="12" hidden="1" customHeight="1">
      <c r="A11413" s="286"/>
    </row>
    <row r="11414" spans="1:1" s="287" customFormat="1" ht="12" hidden="1" customHeight="1">
      <c r="A11414" s="286"/>
    </row>
    <row r="11415" spans="1:1" s="287" customFormat="1" ht="12" hidden="1" customHeight="1">
      <c r="A11415" s="286"/>
    </row>
    <row r="11416" spans="1:1" s="287" customFormat="1" ht="12" hidden="1" customHeight="1">
      <c r="A11416" s="286"/>
    </row>
    <row r="11417" spans="1:1" s="287" customFormat="1" ht="12" hidden="1" customHeight="1">
      <c r="A11417" s="286"/>
    </row>
    <row r="11418" spans="1:1" s="287" customFormat="1" ht="12" hidden="1" customHeight="1">
      <c r="A11418" s="286"/>
    </row>
    <row r="11419" spans="1:1" s="287" customFormat="1" ht="12" hidden="1" customHeight="1">
      <c r="A11419" s="286"/>
    </row>
    <row r="11420" spans="1:1" s="287" customFormat="1" ht="12" hidden="1" customHeight="1">
      <c r="A11420" s="286"/>
    </row>
    <row r="11421" spans="1:1" s="287" customFormat="1" ht="12" hidden="1" customHeight="1">
      <c r="A11421" s="286"/>
    </row>
    <row r="11422" spans="1:1" s="287" customFormat="1" ht="12" hidden="1" customHeight="1">
      <c r="A11422" s="286"/>
    </row>
    <row r="11423" spans="1:1" s="287" customFormat="1" ht="12" hidden="1" customHeight="1">
      <c r="A11423" s="286"/>
    </row>
    <row r="11424" spans="1:1" s="287" customFormat="1" ht="12" hidden="1" customHeight="1">
      <c r="A11424" s="286"/>
    </row>
    <row r="11425" spans="1:1" s="287" customFormat="1" ht="12" hidden="1" customHeight="1">
      <c r="A11425" s="286"/>
    </row>
    <row r="11426" spans="1:1" s="287" customFormat="1" ht="12" hidden="1" customHeight="1">
      <c r="A11426" s="286"/>
    </row>
    <row r="11427" spans="1:1" s="287" customFormat="1" ht="12" hidden="1" customHeight="1">
      <c r="A11427" s="286"/>
    </row>
    <row r="11428" spans="1:1" s="287" customFormat="1" ht="12" hidden="1" customHeight="1">
      <c r="A11428" s="286"/>
    </row>
    <row r="11429" spans="1:1" s="287" customFormat="1" ht="12" hidden="1" customHeight="1">
      <c r="A11429" s="286"/>
    </row>
    <row r="11430" spans="1:1" s="287" customFormat="1" ht="12" hidden="1" customHeight="1">
      <c r="A11430" s="286"/>
    </row>
    <row r="11431" spans="1:1" s="287" customFormat="1" ht="12" hidden="1" customHeight="1">
      <c r="A11431" s="286"/>
    </row>
    <row r="11432" spans="1:1" s="287" customFormat="1" ht="12" hidden="1" customHeight="1">
      <c r="A11432" s="286"/>
    </row>
    <row r="11433" spans="1:1" s="287" customFormat="1" ht="12" hidden="1" customHeight="1">
      <c r="A11433" s="286"/>
    </row>
    <row r="11434" spans="1:1" s="287" customFormat="1" ht="12" hidden="1" customHeight="1">
      <c r="A11434" s="286"/>
    </row>
    <row r="11435" spans="1:1" s="287" customFormat="1" ht="12" hidden="1" customHeight="1">
      <c r="A11435" s="286"/>
    </row>
    <row r="11436" spans="1:1" s="287" customFormat="1" ht="12" hidden="1" customHeight="1">
      <c r="A11436" s="286"/>
    </row>
    <row r="11437" spans="1:1" s="287" customFormat="1" ht="12" hidden="1" customHeight="1">
      <c r="A11437" s="286"/>
    </row>
    <row r="11438" spans="1:1" s="287" customFormat="1" ht="12" hidden="1" customHeight="1">
      <c r="A11438" s="286"/>
    </row>
    <row r="11439" spans="1:1" s="287" customFormat="1" ht="12" hidden="1" customHeight="1">
      <c r="A11439" s="286"/>
    </row>
    <row r="11440" spans="1:1" s="287" customFormat="1" ht="12" hidden="1" customHeight="1">
      <c r="A11440" s="286"/>
    </row>
    <row r="11441" spans="1:1" s="287" customFormat="1" ht="12" hidden="1" customHeight="1">
      <c r="A11441" s="286"/>
    </row>
    <row r="11442" spans="1:1" s="287" customFormat="1" ht="12" hidden="1" customHeight="1">
      <c r="A11442" s="286"/>
    </row>
    <row r="11443" spans="1:1" s="287" customFormat="1" ht="12" hidden="1" customHeight="1">
      <c r="A11443" s="286"/>
    </row>
    <row r="11444" spans="1:1" s="287" customFormat="1" ht="12" hidden="1" customHeight="1">
      <c r="A11444" s="286"/>
    </row>
    <row r="11445" spans="1:1" s="287" customFormat="1" ht="12" hidden="1" customHeight="1">
      <c r="A11445" s="286"/>
    </row>
    <row r="11446" spans="1:1" s="287" customFormat="1" ht="12" hidden="1" customHeight="1">
      <c r="A11446" s="286"/>
    </row>
    <row r="11447" spans="1:1" s="287" customFormat="1" ht="12" hidden="1" customHeight="1">
      <c r="A11447" s="286"/>
    </row>
    <row r="11448" spans="1:1" s="287" customFormat="1" ht="12" hidden="1" customHeight="1">
      <c r="A11448" s="286"/>
    </row>
    <row r="11449" spans="1:1" s="287" customFormat="1" ht="12" hidden="1" customHeight="1">
      <c r="A11449" s="286"/>
    </row>
    <row r="11450" spans="1:1" s="287" customFormat="1" ht="12" hidden="1" customHeight="1">
      <c r="A11450" s="286"/>
    </row>
    <row r="11451" spans="1:1" s="287" customFormat="1" ht="12" hidden="1" customHeight="1">
      <c r="A11451" s="286"/>
    </row>
    <row r="11452" spans="1:1" s="287" customFormat="1" ht="12" hidden="1" customHeight="1">
      <c r="A11452" s="286"/>
    </row>
    <row r="11453" spans="1:1" s="287" customFormat="1" ht="12" hidden="1" customHeight="1">
      <c r="A11453" s="286"/>
    </row>
    <row r="11454" spans="1:1" s="287" customFormat="1" ht="12" hidden="1" customHeight="1">
      <c r="A11454" s="286"/>
    </row>
    <row r="11455" spans="1:1" s="287" customFormat="1" ht="12" hidden="1" customHeight="1">
      <c r="A11455" s="286"/>
    </row>
    <row r="11456" spans="1:1" s="287" customFormat="1" ht="12" hidden="1" customHeight="1">
      <c r="A11456" s="286"/>
    </row>
    <row r="11457" spans="1:1" s="287" customFormat="1" ht="12" hidden="1" customHeight="1">
      <c r="A11457" s="286"/>
    </row>
    <row r="11458" spans="1:1" s="287" customFormat="1" ht="12" hidden="1" customHeight="1">
      <c r="A11458" s="286"/>
    </row>
    <row r="11459" spans="1:1" s="287" customFormat="1" ht="12" hidden="1" customHeight="1">
      <c r="A11459" s="286"/>
    </row>
    <row r="11460" spans="1:1" s="287" customFormat="1" ht="12" hidden="1" customHeight="1">
      <c r="A11460" s="286"/>
    </row>
    <row r="11461" spans="1:1" s="287" customFormat="1" ht="12" hidden="1" customHeight="1">
      <c r="A11461" s="286"/>
    </row>
    <row r="11462" spans="1:1" s="287" customFormat="1" ht="12" hidden="1" customHeight="1">
      <c r="A11462" s="286"/>
    </row>
    <row r="11463" spans="1:1" s="287" customFormat="1" ht="12" hidden="1" customHeight="1">
      <c r="A11463" s="286"/>
    </row>
    <row r="11464" spans="1:1" s="287" customFormat="1" ht="12" hidden="1" customHeight="1">
      <c r="A11464" s="286"/>
    </row>
    <row r="11465" spans="1:1" s="287" customFormat="1" ht="12" hidden="1" customHeight="1">
      <c r="A11465" s="286"/>
    </row>
    <row r="11466" spans="1:1" s="287" customFormat="1" ht="12" hidden="1" customHeight="1">
      <c r="A11466" s="286"/>
    </row>
    <row r="11467" spans="1:1" s="287" customFormat="1" ht="12" hidden="1" customHeight="1">
      <c r="A11467" s="286"/>
    </row>
    <row r="11468" spans="1:1" s="287" customFormat="1" ht="12" hidden="1" customHeight="1">
      <c r="A11468" s="286"/>
    </row>
    <row r="11469" spans="1:1" s="287" customFormat="1" ht="12" hidden="1" customHeight="1">
      <c r="A11469" s="286"/>
    </row>
    <row r="11470" spans="1:1" s="287" customFormat="1" ht="12" hidden="1" customHeight="1">
      <c r="A11470" s="286"/>
    </row>
    <row r="11471" spans="1:1" s="287" customFormat="1" ht="12" hidden="1" customHeight="1">
      <c r="A11471" s="286"/>
    </row>
    <row r="11472" spans="1:1" s="287" customFormat="1" ht="12" hidden="1" customHeight="1">
      <c r="A11472" s="286"/>
    </row>
    <row r="11473" spans="1:1" s="287" customFormat="1" ht="12" hidden="1" customHeight="1">
      <c r="A11473" s="286"/>
    </row>
    <row r="11474" spans="1:1" s="287" customFormat="1" ht="12" hidden="1" customHeight="1">
      <c r="A11474" s="286"/>
    </row>
    <row r="11475" spans="1:1" s="287" customFormat="1" ht="12" hidden="1" customHeight="1">
      <c r="A11475" s="286"/>
    </row>
    <row r="11476" spans="1:1" s="287" customFormat="1" ht="12" hidden="1" customHeight="1">
      <c r="A11476" s="286"/>
    </row>
    <row r="11477" spans="1:1" s="287" customFormat="1" ht="12" hidden="1" customHeight="1">
      <c r="A11477" s="286"/>
    </row>
    <row r="11478" spans="1:1" s="287" customFormat="1" ht="12" hidden="1" customHeight="1">
      <c r="A11478" s="286"/>
    </row>
    <row r="11479" spans="1:1" s="287" customFormat="1" ht="12" hidden="1" customHeight="1">
      <c r="A11479" s="286"/>
    </row>
    <row r="11480" spans="1:1" s="287" customFormat="1" ht="12" hidden="1" customHeight="1">
      <c r="A11480" s="286"/>
    </row>
    <row r="11481" spans="1:1" s="287" customFormat="1" ht="12" hidden="1" customHeight="1">
      <c r="A11481" s="286"/>
    </row>
    <row r="11482" spans="1:1" s="287" customFormat="1" ht="12" hidden="1" customHeight="1">
      <c r="A11482" s="286"/>
    </row>
    <row r="11483" spans="1:1" s="287" customFormat="1" ht="12" hidden="1" customHeight="1">
      <c r="A11483" s="286"/>
    </row>
    <row r="11484" spans="1:1" s="287" customFormat="1" ht="12" hidden="1" customHeight="1">
      <c r="A11484" s="286"/>
    </row>
    <row r="11485" spans="1:1" s="287" customFormat="1" ht="12" hidden="1" customHeight="1">
      <c r="A11485" s="286"/>
    </row>
    <row r="11486" spans="1:1" s="287" customFormat="1" ht="12" hidden="1" customHeight="1">
      <c r="A11486" s="286"/>
    </row>
    <row r="11487" spans="1:1" s="287" customFormat="1" ht="12" hidden="1" customHeight="1">
      <c r="A11487" s="286"/>
    </row>
    <row r="11488" spans="1:1" s="287" customFormat="1" ht="12" hidden="1" customHeight="1">
      <c r="A11488" s="286"/>
    </row>
    <row r="11489" spans="1:1" s="287" customFormat="1" ht="12" hidden="1" customHeight="1">
      <c r="A11489" s="286"/>
    </row>
    <row r="11490" spans="1:1" s="287" customFormat="1" ht="12" hidden="1" customHeight="1">
      <c r="A11490" s="286"/>
    </row>
    <row r="11491" spans="1:1" s="287" customFormat="1" ht="12" hidden="1" customHeight="1">
      <c r="A11491" s="286"/>
    </row>
    <row r="11492" spans="1:1" s="287" customFormat="1" ht="12" hidden="1" customHeight="1">
      <c r="A11492" s="286"/>
    </row>
    <row r="11493" spans="1:1" s="287" customFormat="1" ht="12" hidden="1" customHeight="1">
      <c r="A11493" s="286"/>
    </row>
    <row r="11494" spans="1:1" s="287" customFormat="1" ht="12" hidden="1" customHeight="1">
      <c r="A11494" s="286"/>
    </row>
    <row r="11495" spans="1:1" s="287" customFormat="1" ht="12" hidden="1" customHeight="1">
      <c r="A11495" s="286"/>
    </row>
    <row r="11496" spans="1:1" s="287" customFormat="1" ht="12" hidden="1" customHeight="1">
      <c r="A11496" s="286"/>
    </row>
    <row r="11497" spans="1:1" s="287" customFormat="1" ht="12" hidden="1" customHeight="1">
      <c r="A11497" s="286"/>
    </row>
    <row r="11498" spans="1:1" s="287" customFormat="1" ht="12" hidden="1" customHeight="1">
      <c r="A11498" s="286"/>
    </row>
    <row r="11499" spans="1:1" s="287" customFormat="1" ht="12" hidden="1" customHeight="1">
      <c r="A11499" s="286"/>
    </row>
    <row r="11500" spans="1:1" s="287" customFormat="1" ht="12" hidden="1" customHeight="1">
      <c r="A11500" s="286"/>
    </row>
    <row r="11501" spans="1:1" s="287" customFormat="1" ht="12" hidden="1" customHeight="1">
      <c r="A11501" s="286"/>
    </row>
    <row r="11502" spans="1:1" s="287" customFormat="1" ht="12" hidden="1" customHeight="1">
      <c r="A11502" s="286"/>
    </row>
    <row r="11503" spans="1:1" s="287" customFormat="1" ht="12" hidden="1" customHeight="1">
      <c r="A11503" s="286"/>
    </row>
    <row r="11504" spans="1:1" s="287" customFormat="1" ht="12" hidden="1" customHeight="1">
      <c r="A11504" s="286"/>
    </row>
    <row r="11505" spans="1:1" s="287" customFormat="1" ht="12" hidden="1" customHeight="1">
      <c r="A11505" s="286"/>
    </row>
    <row r="11506" spans="1:1" s="287" customFormat="1" ht="12" hidden="1" customHeight="1">
      <c r="A11506" s="286"/>
    </row>
    <row r="11507" spans="1:1" s="287" customFormat="1" ht="12" hidden="1" customHeight="1">
      <c r="A11507" s="286"/>
    </row>
    <row r="11508" spans="1:1" s="287" customFormat="1" ht="12" hidden="1" customHeight="1">
      <c r="A11508" s="286"/>
    </row>
    <row r="11509" spans="1:1" s="287" customFormat="1" ht="12" hidden="1" customHeight="1">
      <c r="A11509" s="286"/>
    </row>
    <row r="11510" spans="1:1" s="287" customFormat="1" ht="12" hidden="1" customHeight="1">
      <c r="A11510" s="286"/>
    </row>
    <row r="11511" spans="1:1" s="287" customFormat="1" ht="12" hidden="1" customHeight="1">
      <c r="A11511" s="286"/>
    </row>
    <row r="11512" spans="1:1" s="287" customFormat="1" ht="12" hidden="1" customHeight="1">
      <c r="A11512" s="286"/>
    </row>
    <row r="11513" spans="1:1" s="287" customFormat="1" ht="12" hidden="1" customHeight="1">
      <c r="A11513" s="286"/>
    </row>
    <row r="11514" spans="1:1" s="287" customFormat="1" ht="12" hidden="1" customHeight="1">
      <c r="A11514" s="286"/>
    </row>
    <row r="11515" spans="1:1" s="287" customFormat="1" ht="12" hidden="1" customHeight="1">
      <c r="A11515" s="286"/>
    </row>
    <row r="11516" spans="1:1" s="287" customFormat="1" ht="12" hidden="1" customHeight="1">
      <c r="A11516" s="286"/>
    </row>
    <row r="11517" spans="1:1" s="287" customFormat="1" ht="12" hidden="1" customHeight="1">
      <c r="A11517" s="286"/>
    </row>
    <row r="11518" spans="1:1" s="287" customFormat="1" ht="12" hidden="1" customHeight="1">
      <c r="A11518" s="286"/>
    </row>
    <row r="11519" spans="1:1" s="287" customFormat="1" ht="12" hidden="1" customHeight="1">
      <c r="A11519" s="286"/>
    </row>
    <row r="11520" spans="1:1" s="287" customFormat="1" ht="12" hidden="1" customHeight="1">
      <c r="A11520" s="286"/>
    </row>
    <row r="11521" spans="1:1" s="287" customFormat="1" ht="12" hidden="1" customHeight="1">
      <c r="A11521" s="286"/>
    </row>
    <row r="11522" spans="1:1" s="287" customFormat="1" ht="12" hidden="1" customHeight="1">
      <c r="A11522" s="286"/>
    </row>
    <row r="11523" spans="1:1" s="287" customFormat="1" ht="12" hidden="1" customHeight="1">
      <c r="A11523" s="286"/>
    </row>
    <row r="11524" spans="1:1" s="287" customFormat="1" ht="12" hidden="1" customHeight="1">
      <c r="A11524" s="286"/>
    </row>
    <row r="11525" spans="1:1" s="287" customFormat="1" ht="12" hidden="1" customHeight="1">
      <c r="A11525" s="286"/>
    </row>
    <row r="11526" spans="1:1" s="287" customFormat="1" ht="12" hidden="1" customHeight="1">
      <c r="A11526" s="286"/>
    </row>
    <row r="11527" spans="1:1" s="287" customFormat="1" ht="12" hidden="1" customHeight="1">
      <c r="A11527" s="286"/>
    </row>
    <row r="11528" spans="1:1" s="287" customFormat="1" ht="12" hidden="1" customHeight="1">
      <c r="A11528" s="286"/>
    </row>
    <row r="11529" spans="1:1" s="287" customFormat="1" ht="12" hidden="1" customHeight="1">
      <c r="A11529" s="286"/>
    </row>
    <row r="11530" spans="1:1" s="287" customFormat="1" ht="12" hidden="1" customHeight="1">
      <c r="A11530" s="286"/>
    </row>
    <row r="11531" spans="1:1" s="287" customFormat="1" ht="12" hidden="1" customHeight="1">
      <c r="A11531" s="286"/>
    </row>
    <row r="11532" spans="1:1" s="287" customFormat="1" ht="12" hidden="1" customHeight="1">
      <c r="A11532" s="286"/>
    </row>
    <row r="11533" spans="1:1" s="287" customFormat="1" ht="12" hidden="1" customHeight="1">
      <c r="A11533" s="286"/>
    </row>
    <row r="11534" spans="1:1" s="287" customFormat="1" ht="12" hidden="1" customHeight="1">
      <c r="A11534" s="286"/>
    </row>
    <row r="11535" spans="1:1" s="287" customFormat="1" ht="12" hidden="1" customHeight="1">
      <c r="A11535" s="286"/>
    </row>
    <row r="11536" spans="1:1" s="287" customFormat="1" ht="12" hidden="1" customHeight="1">
      <c r="A11536" s="286"/>
    </row>
    <row r="11537" spans="1:1" s="287" customFormat="1" ht="12" hidden="1" customHeight="1">
      <c r="A11537" s="286"/>
    </row>
    <row r="11538" spans="1:1" s="287" customFormat="1" ht="12" hidden="1" customHeight="1">
      <c r="A11538" s="286"/>
    </row>
    <row r="11539" spans="1:1" s="287" customFormat="1" ht="12" hidden="1" customHeight="1">
      <c r="A11539" s="286"/>
    </row>
    <row r="11540" spans="1:1" s="287" customFormat="1" ht="12" hidden="1" customHeight="1">
      <c r="A11540" s="286"/>
    </row>
    <row r="11541" spans="1:1" s="287" customFormat="1" ht="12" hidden="1" customHeight="1">
      <c r="A11541" s="286"/>
    </row>
    <row r="11542" spans="1:1" s="287" customFormat="1" ht="12" hidden="1" customHeight="1">
      <c r="A11542" s="286"/>
    </row>
    <row r="11543" spans="1:1" s="287" customFormat="1" ht="12" hidden="1" customHeight="1">
      <c r="A11543" s="286"/>
    </row>
    <row r="11544" spans="1:1" s="287" customFormat="1" ht="12" hidden="1" customHeight="1">
      <c r="A11544" s="286"/>
    </row>
    <row r="11545" spans="1:1" s="287" customFormat="1" ht="12" hidden="1" customHeight="1">
      <c r="A11545" s="286"/>
    </row>
    <row r="11546" spans="1:1" s="287" customFormat="1" ht="12" hidden="1" customHeight="1">
      <c r="A11546" s="286"/>
    </row>
    <row r="11547" spans="1:1" s="287" customFormat="1" ht="12" hidden="1" customHeight="1">
      <c r="A11547" s="286"/>
    </row>
    <row r="11548" spans="1:1" s="287" customFormat="1" ht="12" hidden="1" customHeight="1">
      <c r="A11548" s="286"/>
    </row>
    <row r="11549" spans="1:1" s="287" customFormat="1" ht="12" hidden="1" customHeight="1">
      <c r="A11549" s="286"/>
    </row>
    <row r="11550" spans="1:1" s="287" customFormat="1" ht="12" hidden="1" customHeight="1">
      <c r="A11550" s="286"/>
    </row>
    <row r="11551" spans="1:1" s="287" customFormat="1" ht="12" hidden="1" customHeight="1">
      <c r="A11551" s="286"/>
    </row>
    <row r="11552" spans="1:1" s="287" customFormat="1" ht="12" hidden="1" customHeight="1">
      <c r="A11552" s="286"/>
    </row>
    <row r="11553" spans="1:1" s="287" customFormat="1" ht="12" hidden="1" customHeight="1">
      <c r="A11553" s="286"/>
    </row>
    <row r="11554" spans="1:1" s="287" customFormat="1" ht="12" hidden="1" customHeight="1">
      <c r="A11554" s="286"/>
    </row>
    <row r="11555" spans="1:1" s="287" customFormat="1" ht="12" hidden="1" customHeight="1">
      <c r="A11555" s="286"/>
    </row>
    <row r="11556" spans="1:1" s="287" customFormat="1" ht="12" hidden="1" customHeight="1">
      <c r="A11556" s="286"/>
    </row>
    <row r="11557" spans="1:1" s="287" customFormat="1" ht="12" hidden="1" customHeight="1">
      <c r="A11557" s="286"/>
    </row>
    <row r="11558" spans="1:1" s="287" customFormat="1" ht="12" hidden="1" customHeight="1">
      <c r="A11558" s="286"/>
    </row>
    <row r="11559" spans="1:1" s="287" customFormat="1" ht="12" hidden="1" customHeight="1">
      <c r="A11559" s="286"/>
    </row>
    <row r="11560" spans="1:1" s="287" customFormat="1" ht="12" hidden="1" customHeight="1">
      <c r="A11560" s="286"/>
    </row>
    <row r="11561" spans="1:1" s="287" customFormat="1" ht="12" hidden="1" customHeight="1">
      <c r="A11561" s="286"/>
    </row>
    <row r="11562" spans="1:1" s="287" customFormat="1" ht="12" hidden="1" customHeight="1">
      <c r="A11562" s="286"/>
    </row>
    <row r="11563" spans="1:1" s="287" customFormat="1" ht="12" hidden="1" customHeight="1">
      <c r="A11563" s="286"/>
    </row>
    <row r="11564" spans="1:1" s="287" customFormat="1" ht="12" hidden="1" customHeight="1">
      <c r="A11564" s="286"/>
    </row>
    <row r="11565" spans="1:1" s="287" customFormat="1" ht="12" hidden="1" customHeight="1">
      <c r="A11565" s="286"/>
    </row>
    <row r="11566" spans="1:1" s="287" customFormat="1" ht="12" hidden="1" customHeight="1">
      <c r="A11566" s="286"/>
    </row>
    <row r="11567" spans="1:1" s="287" customFormat="1" ht="12" hidden="1" customHeight="1">
      <c r="A11567" s="286"/>
    </row>
    <row r="11568" spans="1:1" s="287" customFormat="1" ht="12" hidden="1" customHeight="1">
      <c r="A11568" s="286"/>
    </row>
    <row r="11569" spans="1:1" s="287" customFormat="1" ht="12" hidden="1" customHeight="1">
      <c r="A11569" s="286"/>
    </row>
    <row r="11570" spans="1:1" s="287" customFormat="1" ht="12" hidden="1" customHeight="1">
      <c r="A11570" s="286"/>
    </row>
    <row r="11571" spans="1:1" s="287" customFormat="1" ht="12" hidden="1" customHeight="1">
      <c r="A11571" s="286"/>
    </row>
    <row r="11572" spans="1:1" s="287" customFormat="1" ht="12" hidden="1" customHeight="1">
      <c r="A11572" s="286"/>
    </row>
    <row r="11573" spans="1:1" s="287" customFormat="1" ht="12" hidden="1" customHeight="1">
      <c r="A11573" s="286"/>
    </row>
    <row r="11574" spans="1:1" s="287" customFormat="1" ht="12" hidden="1" customHeight="1">
      <c r="A11574" s="286"/>
    </row>
    <row r="11575" spans="1:1" s="287" customFormat="1" ht="12" hidden="1" customHeight="1">
      <c r="A11575" s="286"/>
    </row>
    <row r="11576" spans="1:1" s="287" customFormat="1" ht="12" hidden="1" customHeight="1">
      <c r="A11576" s="286"/>
    </row>
    <row r="11577" spans="1:1" s="287" customFormat="1" ht="12" hidden="1" customHeight="1">
      <c r="A11577" s="286"/>
    </row>
    <row r="11578" spans="1:1" s="287" customFormat="1" ht="12" hidden="1" customHeight="1">
      <c r="A11578" s="286"/>
    </row>
    <row r="11579" spans="1:1" s="287" customFormat="1" ht="12" hidden="1" customHeight="1">
      <c r="A11579" s="286"/>
    </row>
    <row r="11580" spans="1:1" s="287" customFormat="1" ht="12" hidden="1" customHeight="1">
      <c r="A11580" s="286"/>
    </row>
    <row r="11581" spans="1:1" s="287" customFormat="1" ht="12" hidden="1" customHeight="1">
      <c r="A11581" s="286"/>
    </row>
    <row r="11582" spans="1:1" s="287" customFormat="1" ht="12" hidden="1" customHeight="1">
      <c r="A11582" s="286"/>
    </row>
    <row r="11583" spans="1:1" s="287" customFormat="1" ht="12" hidden="1" customHeight="1">
      <c r="A11583" s="286"/>
    </row>
    <row r="11584" spans="1:1" s="287" customFormat="1" ht="12" hidden="1" customHeight="1">
      <c r="A11584" s="286"/>
    </row>
    <row r="11585" spans="1:1" s="287" customFormat="1" ht="12" hidden="1" customHeight="1">
      <c r="A11585" s="286"/>
    </row>
    <row r="11586" spans="1:1" s="287" customFormat="1" ht="12" hidden="1" customHeight="1">
      <c r="A11586" s="286"/>
    </row>
    <row r="11587" spans="1:1" s="287" customFormat="1" ht="12" hidden="1" customHeight="1">
      <c r="A11587" s="286"/>
    </row>
    <row r="11588" spans="1:1" s="287" customFormat="1" ht="12" hidden="1" customHeight="1">
      <c r="A11588" s="286"/>
    </row>
    <row r="11589" spans="1:1" s="287" customFormat="1" ht="12" hidden="1" customHeight="1">
      <c r="A11589" s="286"/>
    </row>
    <row r="11590" spans="1:1" s="287" customFormat="1" ht="12" hidden="1" customHeight="1">
      <c r="A11590" s="286"/>
    </row>
    <row r="11591" spans="1:1" s="287" customFormat="1" ht="12" hidden="1" customHeight="1">
      <c r="A11591" s="286"/>
    </row>
    <row r="11592" spans="1:1" s="287" customFormat="1" ht="12" hidden="1" customHeight="1">
      <c r="A11592" s="286"/>
    </row>
    <row r="11593" spans="1:1" s="287" customFormat="1" ht="12" hidden="1" customHeight="1">
      <c r="A11593" s="286"/>
    </row>
    <row r="11594" spans="1:1" s="287" customFormat="1" ht="12" hidden="1" customHeight="1">
      <c r="A11594" s="286"/>
    </row>
    <row r="11595" spans="1:1" s="287" customFormat="1" ht="12" hidden="1" customHeight="1">
      <c r="A11595" s="286"/>
    </row>
    <row r="11596" spans="1:1" s="287" customFormat="1" ht="12" hidden="1" customHeight="1">
      <c r="A11596" s="286"/>
    </row>
    <row r="11597" spans="1:1" s="287" customFormat="1" ht="12" hidden="1" customHeight="1">
      <c r="A11597" s="286"/>
    </row>
    <row r="11598" spans="1:1" s="287" customFormat="1" ht="12" hidden="1" customHeight="1">
      <c r="A11598" s="286"/>
    </row>
    <row r="11599" spans="1:1" s="287" customFormat="1" ht="12" hidden="1" customHeight="1">
      <c r="A11599" s="286"/>
    </row>
    <row r="11600" spans="1:1" s="287" customFormat="1" ht="12" hidden="1" customHeight="1">
      <c r="A11600" s="286"/>
    </row>
    <row r="11601" spans="1:1" s="287" customFormat="1" ht="12" hidden="1" customHeight="1">
      <c r="A11601" s="286"/>
    </row>
    <row r="11602" spans="1:1" s="287" customFormat="1" ht="12" hidden="1" customHeight="1">
      <c r="A11602" s="286"/>
    </row>
    <row r="11603" spans="1:1" s="287" customFormat="1" ht="12" hidden="1" customHeight="1">
      <c r="A11603" s="286"/>
    </row>
    <row r="11604" spans="1:1" s="287" customFormat="1" ht="12" hidden="1" customHeight="1">
      <c r="A11604" s="286"/>
    </row>
    <row r="11605" spans="1:1" s="287" customFormat="1" ht="12" hidden="1" customHeight="1">
      <c r="A11605" s="286"/>
    </row>
    <row r="11606" spans="1:1" s="287" customFormat="1" ht="12" hidden="1" customHeight="1">
      <c r="A11606" s="286"/>
    </row>
    <row r="11607" spans="1:1" s="287" customFormat="1" ht="12" hidden="1" customHeight="1">
      <c r="A11607" s="286"/>
    </row>
    <row r="11608" spans="1:1" s="287" customFormat="1" ht="12" hidden="1" customHeight="1">
      <c r="A11608" s="286"/>
    </row>
    <row r="11609" spans="1:1" s="287" customFormat="1" ht="12" hidden="1" customHeight="1">
      <c r="A11609" s="286"/>
    </row>
    <row r="11610" spans="1:1" s="287" customFormat="1" ht="12" hidden="1" customHeight="1">
      <c r="A11610" s="286"/>
    </row>
    <row r="11611" spans="1:1" s="287" customFormat="1" ht="12" hidden="1" customHeight="1">
      <c r="A11611" s="286"/>
    </row>
    <row r="11612" spans="1:1" s="287" customFormat="1" ht="12" hidden="1" customHeight="1">
      <c r="A11612" s="286"/>
    </row>
    <row r="11613" spans="1:1" s="287" customFormat="1" ht="12" hidden="1" customHeight="1">
      <c r="A11613" s="286"/>
    </row>
    <row r="11614" spans="1:1" s="287" customFormat="1" ht="12" hidden="1" customHeight="1">
      <c r="A11614" s="286"/>
    </row>
    <row r="11615" spans="1:1" s="287" customFormat="1" ht="12" hidden="1" customHeight="1">
      <c r="A11615" s="286"/>
    </row>
    <row r="11616" spans="1:1" s="287" customFormat="1" ht="12" hidden="1" customHeight="1">
      <c r="A11616" s="286"/>
    </row>
    <row r="11617" spans="1:1" s="287" customFormat="1" ht="12" hidden="1" customHeight="1">
      <c r="A11617" s="286"/>
    </row>
    <row r="11618" spans="1:1" s="287" customFormat="1" ht="12" hidden="1" customHeight="1">
      <c r="A11618" s="286"/>
    </row>
    <row r="11619" spans="1:1" s="287" customFormat="1" ht="12" hidden="1" customHeight="1">
      <c r="A11619" s="286"/>
    </row>
    <row r="11620" spans="1:1" s="287" customFormat="1" ht="12" hidden="1" customHeight="1">
      <c r="A11620" s="286"/>
    </row>
    <row r="11621" spans="1:1" s="287" customFormat="1" ht="12" hidden="1" customHeight="1">
      <c r="A11621" s="286"/>
    </row>
    <row r="11622" spans="1:1" s="287" customFormat="1" ht="12" hidden="1" customHeight="1">
      <c r="A11622" s="286"/>
    </row>
    <row r="11623" spans="1:1" s="287" customFormat="1" ht="12" hidden="1" customHeight="1">
      <c r="A11623" s="286"/>
    </row>
    <row r="11624" spans="1:1" s="287" customFormat="1" ht="12" hidden="1" customHeight="1">
      <c r="A11624" s="286"/>
    </row>
    <row r="11625" spans="1:1" s="287" customFormat="1" ht="12" hidden="1" customHeight="1">
      <c r="A11625" s="286"/>
    </row>
    <row r="11626" spans="1:1" s="287" customFormat="1" ht="12" hidden="1" customHeight="1">
      <c r="A11626" s="286"/>
    </row>
    <row r="11627" spans="1:1" s="287" customFormat="1" ht="12" hidden="1" customHeight="1">
      <c r="A11627" s="286"/>
    </row>
    <row r="11628" spans="1:1" s="287" customFormat="1" ht="12" hidden="1" customHeight="1">
      <c r="A11628" s="286"/>
    </row>
    <row r="11629" spans="1:1" s="287" customFormat="1" ht="12" hidden="1" customHeight="1">
      <c r="A11629" s="286"/>
    </row>
    <row r="11630" spans="1:1" s="287" customFormat="1" ht="12" hidden="1" customHeight="1">
      <c r="A11630" s="286"/>
    </row>
    <row r="11631" spans="1:1" s="287" customFormat="1" ht="12" hidden="1" customHeight="1">
      <c r="A11631" s="286"/>
    </row>
    <row r="11632" spans="1:1" s="287" customFormat="1" ht="12" hidden="1" customHeight="1">
      <c r="A11632" s="286"/>
    </row>
    <row r="11633" spans="1:1" s="287" customFormat="1" ht="12" hidden="1" customHeight="1">
      <c r="A11633" s="286"/>
    </row>
    <row r="11634" spans="1:1" s="287" customFormat="1" ht="12" hidden="1" customHeight="1">
      <c r="A11634" s="286"/>
    </row>
    <row r="11635" spans="1:1" s="287" customFormat="1" ht="12" hidden="1" customHeight="1">
      <c r="A11635" s="286"/>
    </row>
    <row r="11636" spans="1:1" s="287" customFormat="1" ht="12" hidden="1" customHeight="1">
      <c r="A11636" s="286"/>
    </row>
    <row r="11637" spans="1:1" s="287" customFormat="1" ht="12" hidden="1" customHeight="1">
      <c r="A11637" s="286"/>
    </row>
    <row r="11638" spans="1:1" s="287" customFormat="1" ht="12" hidden="1" customHeight="1">
      <c r="A11638" s="286"/>
    </row>
    <row r="11639" spans="1:1" s="287" customFormat="1" ht="12" hidden="1" customHeight="1">
      <c r="A11639" s="286"/>
    </row>
    <row r="11640" spans="1:1" s="287" customFormat="1" ht="12" hidden="1" customHeight="1">
      <c r="A11640" s="286"/>
    </row>
    <row r="11641" spans="1:1" s="287" customFormat="1" ht="12" hidden="1" customHeight="1">
      <c r="A11641" s="286"/>
    </row>
    <row r="11642" spans="1:1" s="287" customFormat="1" ht="12" hidden="1" customHeight="1">
      <c r="A11642" s="286"/>
    </row>
    <row r="11643" spans="1:1" s="287" customFormat="1" ht="12" hidden="1" customHeight="1">
      <c r="A11643" s="286"/>
    </row>
    <row r="11644" spans="1:1" s="287" customFormat="1" ht="12" hidden="1" customHeight="1">
      <c r="A11644" s="286"/>
    </row>
    <row r="11645" spans="1:1" s="287" customFormat="1" ht="12" hidden="1" customHeight="1">
      <c r="A11645" s="286"/>
    </row>
    <row r="11646" spans="1:1" s="287" customFormat="1" ht="12" hidden="1" customHeight="1">
      <c r="A11646" s="286"/>
    </row>
    <row r="11647" spans="1:1" s="287" customFormat="1" ht="12" hidden="1" customHeight="1">
      <c r="A11647" s="286"/>
    </row>
    <row r="11648" spans="1:1" s="287" customFormat="1" ht="12" hidden="1" customHeight="1">
      <c r="A11648" s="286"/>
    </row>
    <row r="11649" spans="1:1" s="287" customFormat="1" ht="12" hidden="1" customHeight="1">
      <c r="A11649" s="286"/>
    </row>
    <row r="11650" spans="1:1" s="287" customFormat="1" ht="12" hidden="1" customHeight="1">
      <c r="A11650" s="286"/>
    </row>
    <row r="11651" spans="1:1" s="287" customFormat="1" ht="12" hidden="1" customHeight="1">
      <c r="A11651" s="286"/>
    </row>
    <row r="11652" spans="1:1" s="287" customFormat="1" ht="12" hidden="1" customHeight="1">
      <c r="A11652" s="286"/>
    </row>
    <row r="11653" spans="1:1" s="287" customFormat="1" ht="12" hidden="1" customHeight="1">
      <c r="A11653" s="286"/>
    </row>
    <row r="11654" spans="1:1" s="287" customFormat="1" ht="12" hidden="1" customHeight="1">
      <c r="A11654" s="286"/>
    </row>
    <row r="11655" spans="1:1" s="287" customFormat="1" ht="12" hidden="1" customHeight="1">
      <c r="A11655" s="286"/>
    </row>
    <row r="11656" spans="1:1" s="287" customFormat="1" ht="12" hidden="1" customHeight="1">
      <c r="A11656" s="286"/>
    </row>
    <row r="11657" spans="1:1" s="287" customFormat="1" ht="12" hidden="1" customHeight="1">
      <c r="A11657" s="286"/>
    </row>
    <row r="11658" spans="1:1" s="287" customFormat="1" ht="12" hidden="1" customHeight="1">
      <c r="A11658" s="286"/>
    </row>
    <row r="11659" spans="1:1" s="287" customFormat="1" ht="12" hidden="1" customHeight="1">
      <c r="A11659" s="286"/>
    </row>
    <row r="11660" spans="1:1" s="287" customFormat="1" ht="12" hidden="1" customHeight="1">
      <c r="A11660" s="286"/>
    </row>
    <row r="11661" spans="1:1" s="287" customFormat="1" ht="12" hidden="1" customHeight="1">
      <c r="A11661" s="286"/>
    </row>
    <row r="11662" spans="1:1" s="287" customFormat="1" ht="12" hidden="1" customHeight="1">
      <c r="A11662" s="286"/>
    </row>
    <row r="11663" spans="1:1" s="287" customFormat="1" ht="12" hidden="1" customHeight="1">
      <c r="A11663" s="286"/>
    </row>
    <row r="11664" spans="1:1" s="287" customFormat="1" ht="12" hidden="1" customHeight="1">
      <c r="A11664" s="286"/>
    </row>
    <row r="11665" spans="1:1" s="287" customFormat="1" ht="12" hidden="1" customHeight="1">
      <c r="A11665" s="286"/>
    </row>
    <row r="11666" spans="1:1" s="287" customFormat="1" ht="12" hidden="1" customHeight="1">
      <c r="A11666" s="286"/>
    </row>
    <row r="11667" spans="1:1" s="287" customFormat="1" ht="12" hidden="1" customHeight="1">
      <c r="A11667" s="286"/>
    </row>
    <row r="11668" spans="1:1" s="287" customFormat="1" ht="12" hidden="1" customHeight="1">
      <c r="A11668" s="286"/>
    </row>
    <row r="11669" spans="1:1" s="287" customFormat="1" ht="12" hidden="1" customHeight="1">
      <c r="A11669" s="286"/>
    </row>
    <row r="11670" spans="1:1" s="287" customFormat="1" ht="12" hidden="1" customHeight="1">
      <c r="A11670" s="286"/>
    </row>
    <row r="11671" spans="1:1" s="287" customFormat="1" ht="12" hidden="1" customHeight="1">
      <c r="A11671" s="286"/>
    </row>
    <row r="11672" spans="1:1" s="287" customFormat="1" ht="12" hidden="1" customHeight="1">
      <c r="A11672" s="286"/>
    </row>
    <row r="11673" spans="1:1" s="287" customFormat="1" ht="12" hidden="1" customHeight="1">
      <c r="A11673" s="286"/>
    </row>
    <row r="11674" spans="1:1" s="287" customFormat="1" ht="12" hidden="1" customHeight="1">
      <c r="A11674" s="286"/>
    </row>
    <row r="11675" spans="1:1" s="287" customFormat="1" ht="12" hidden="1" customHeight="1">
      <c r="A11675" s="286"/>
    </row>
    <row r="11676" spans="1:1" s="287" customFormat="1" ht="12" hidden="1" customHeight="1">
      <c r="A11676" s="286"/>
    </row>
    <row r="11677" spans="1:1" s="287" customFormat="1" ht="12" hidden="1" customHeight="1">
      <c r="A11677" s="286"/>
    </row>
    <row r="11678" spans="1:1" s="287" customFormat="1" ht="12" hidden="1" customHeight="1">
      <c r="A11678" s="286"/>
    </row>
    <row r="11679" spans="1:1" s="287" customFormat="1" ht="12" hidden="1" customHeight="1">
      <c r="A11679" s="286"/>
    </row>
    <row r="11680" spans="1:1" s="287" customFormat="1" ht="12" hidden="1" customHeight="1">
      <c r="A11680" s="286"/>
    </row>
    <row r="11681" spans="1:1" s="287" customFormat="1" ht="12" hidden="1" customHeight="1">
      <c r="A11681" s="286"/>
    </row>
    <row r="11682" spans="1:1" s="287" customFormat="1" ht="12" hidden="1" customHeight="1">
      <c r="A11682" s="286"/>
    </row>
    <row r="11683" spans="1:1" s="287" customFormat="1" ht="12" hidden="1" customHeight="1">
      <c r="A11683" s="286"/>
    </row>
    <row r="11684" spans="1:1" s="287" customFormat="1" ht="12" hidden="1" customHeight="1">
      <c r="A11684" s="286"/>
    </row>
    <row r="11685" spans="1:1" s="287" customFormat="1" ht="12" hidden="1" customHeight="1">
      <c r="A11685" s="286"/>
    </row>
    <row r="11686" spans="1:1" s="287" customFormat="1" ht="12" hidden="1" customHeight="1">
      <c r="A11686" s="286"/>
    </row>
    <row r="11687" spans="1:1" s="287" customFormat="1" ht="12" hidden="1" customHeight="1">
      <c r="A11687" s="286"/>
    </row>
    <row r="11688" spans="1:1" s="287" customFormat="1" ht="12" hidden="1" customHeight="1">
      <c r="A11688" s="286"/>
    </row>
    <row r="11689" spans="1:1" s="287" customFormat="1" ht="12" hidden="1" customHeight="1">
      <c r="A11689" s="286"/>
    </row>
    <row r="11690" spans="1:1" s="287" customFormat="1" ht="12" hidden="1" customHeight="1">
      <c r="A11690" s="286"/>
    </row>
    <row r="11691" spans="1:1" s="287" customFormat="1" ht="12" hidden="1" customHeight="1">
      <c r="A11691" s="286"/>
    </row>
    <row r="11692" spans="1:1" s="287" customFormat="1" ht="12" hidden="1" customHeight="1">
      <c r="A11692" s="286"/>
    </row>
    <row r="11693" spans="1:1" s="287" customFormat="1" ht="12" hidden="1" customHeight="1">
      <c r="A11693" s="286"/>
    </row>
    <row r="11694" spans="1:1" s="287" customFormat="1" ht="12" hidden="1" customHeight="1">
      <c r="A11694" s="286"/>
    </row>
    <row r="11695" spans="1:1" s="287" customFormat="1" ht="12" hidden="1" customHeight="1">
      <c r="A11695" s="286"/>
    </row>
    <row r="11696" spans="1:1" s="287" customFormat="1" ht="12" hidden="1" customHeight="1">
      <c r="A11696" s="286"/>
    </row>
    <row r="11697" spans="1:1" s="287" customFormat="1" ht="12" hidden="1" customHeight="1">
      <c r="A11697" s="286"/>
    </row>
    <row r="11698" spans="1:1" s="287" customFormat="1" ht="12" hidden="1" customHeight="1">
      <c r="A11698" s="286"/>
    </row>
    <row r="11699" spans="1:1" s="287" customFormat="1" ht="12" hidden="1" customHeight="1">
      <c r="A11699" s="286"/>
    </row>
    <row r="11700" spans="1:1" s="287" customFormat="1" ht="12" hidden="1" customHeight="1">
      <c r="A11700" s="286"/>
    </row>
    <row r="11701" spans="1:1" s="287" customFormat="1" ht="12" hidden="1" customHeight="1">
      <c r="A11701" s="286"/>
    </row>
    <row r="11702" spans="1:1" s="287" customFormat="1" ht="12" hidden="1" customHeight="1">
      <c r="A11702" s="286"/>
    </row>
    <row r="11703" spans="1:1" s="287" customFormat="1" ht="12" hidden="1" customHeight="1">
      <c r="A11703" s="286"/>
    </row>
    <row r="11704" spans="1:1" s="287" customFormat="1" ht="12" hidden="1" customHeight="1">
      <c r="A11704" s="286"/>
    </row>
    <row r="11705" spans="1:1" s="287" customFormat="1" ht="12" hidden="1" customHeight="1">
      <c r="A11705" s="286"/>
    </row>
    <row r="11706" spans="1:1" s="287" customFormat="1" ht="12" hidden="1" customHeight="1">
      <c r="A11706" s="286"/>
    </row>
    <row r="11707" spans="1:1" s="287" customFormat="1" ht="12" hidden="1" customHeight="1">
      <c r="A11707" s="286"/>
    </row>
    <row r="11708" spans="1:1" s="287" customFormat="1" ht="12" hidden="1" customHeight="1">
      <c r="A11708" s="286"/>
    </row>
    <row r="11709" spans="1:1" s="287" customFormat="1" ht="12" hidden="1" customHeight="1">
      <c r="A11709" s="286"/>
    </row>
    <row r="11710" spans="1:1" s="287" customFormat="1" ht="12" hidden="1" customHeight="1">
      <c r="A11710" s="286"/>
    </row>
    <row r="11711" spans="1:1" s="287" customFormat="1" ht="12" hidden="1" customHeight="1">
      <c r="A11711" s="286"/>
    </row>
    <row r="11712" spans="1:1" s="287" customFormat="1" ht="12" hidden="1" customHeight="1">
      <c r="A11712" s="286"/>
    </row>
    <row r="11713" spans="1:1" s="287" customFormat="1" ht="12" hidden="1" customHeight="1">
      <c r="A11713" s="286"/>
    </row>
    <row r="11714" spans="1:1" s="287" customFormat="1" ht="12" hidden="1" customHeight="1">
      <c r="A11714" s="286"/>
    </row>
    <row r="11715" spans="1:1" s="287" customFormat="1" ht="12" hidden="1" customHeight="1">
      <c r="A11715" s="286"/>
    </row>
    <row r="11716" spans="1:1" s="287" customFormat="1" ht="12" hidden="1" customHeight="1">
      <c r="A11716" s="286"/>
    </row>
    <row r="11717" spans="1:1" s="287" customFormat="1" ht="12" hidden="1" customHeight="1">
      <c r="A11717" s="286"/>
    </row>
    <row r="11718" spans="1:1" s="287" customFormat="1" ht="12" hidden="1" customHeight="1">
      <c r="A11718" s="286"/>
    </row>
    <row r="11719" spans="1:1" s="287" customFormat="1" ht="12" hidden="1" customHeight="1">
      <c r="A11719" s="286"/>
    </row>
    <row r="11720" spans="1:1" s="287" customFormat="1" ht="12" hidden="1" customHeight="1">
      <c r="A11720" s="286"/>
    </row>
    <row r="11721" spans="1:1" s="287" customFormat="1" ht="12" hidden="1" customHeight="1">
      <c r="A11721" s="286"/>
    </row>
    <row r="11722" spans="1:1" s="287" customFormat="1" ht="12" hidden="1" customHeight="1">
      <c r="A11722" s="286"/>
    </row>
    <row r="11723" spans="1:1" s="287" customFormat="1" ht="12" hidden="1" customHeight="1">
      <c r="A11723" s="286"/>
    </row>
    <row r="11724" spans="1:1" s="287" customFormat="1" ht="12" hidden="1" customHeight="1">
      <c r="A11724" s="286"/>
    </row>
    <row r="11725" spans="1:1" s="287" customFormat="1" ht="12" hidden="1" customHeight="1">
      <c r="A11725" s="286"/>
    </row>
    <row r="11726" spans="1:1" s="287" customFormat="1" ht="12" hidden="1" customHeight="1">
      <c r="A11726" s="286"/>
    </row>
    <row r="11727" spans="1:1" s="287" customFormat="1" ht="12" hidden="1" customHeight="1">
      <c r="A11727" s="286"/>
    </row>
    <row r="11728" spans="1:1" s="287" customFormat="1" ht="12" hidden="1" customHeight="1">
      <c r="A11728" s="286"/>
    </row>
    <row r="11729" spans="1:1" s="287" customFormat="1" ht="12" hidden="1" customHeight="1">
      <c r="A11729" s="286"/>
    </row>
    <row r="11730" spans="1:1" s="287" customFormat="1" ht="12" hidden="1" customHeight="1">
      <c r="A11730" s="286"/>
    </row>
    <row r="11731" spans="1:1" s="287" customFormat="1" ht="12" hidden="1" customHeight="1">
      <c r="A11731" s="286"/>
    </row>
    <row r="11732" spans="1:1" s="287" customFormat="1" ht="12" hidden="1" customHeight="1">
      <c r="A11732" s="286"/>
    </row>
    <row r="11733" spans="1:1" s="287" customFormat="1" ht="12" hidden="1" customHeight="1">
      <c r="A11733" s="286"/>
    </row>
    <row r="11734" spans="1:1" s="287" customFormat="1" ht="12" hidden="1" customHeight="1">
      <c r="A11734" s="286"/>
    </row>
    <row r="11735" spans="1:1" s="287" customFormat="1" ht="12" hidden="1" customHeight="1">
      <c r="A11735" s="286"/>
    </row>
    <row r="11736" spans="1:1" s="287" customFormat="1" ht="12" hidden="1" customHeight="1">
      <c r="A11736" s="286"/>
    </row>
    <row r="11737" spans="1:1" s="287" customFormat="1" ht="12" hidden="1" customHeight="1">
      <c r="A11737" s="286"/>
    </row>
    <row r="11738" spans="1:1" s="287" customFormat="1" ht="12" hidden="1" customHeight="1">
      <c r="A11738" s="286"/>
    </row>
    <row r="11739" spans="1:1" s="287" customFormat="1" ht="12" hidden="1" customHeight="1">
      <c r="A11739" s="286"/>
    </row>
    <row r="11740" spans="1:1" s="287" customFormat="1" ht="12" hidden="1" customHeight="1">
      <c r="A11740" s="286"/>
    </row>
    <row r="11741" spans="1:1" s="287" customFormat="1" ht="12" hidden="1" customHeight="1">
      <c r="A11741" s="286"/>
    </row>
    <row r="11742" spans="1:1" s="287" customFormat="1" ht="12" hidden="1" customHeight="1">
      <c r="A11742" s="286"/>
    </row>
    <row r="11743" spans="1:1" s="287" customFormat="1" ht="12" hidden="1" customHeight="1">
      <c r="A11743" s="286"/>
    </row>
    <row r="11744" spans="1:1" s="287" customFormat="1" ht="12" hidden="1" customHeight="1">
      <c r="A11744" s="286"/>
    </row>
    <row r="11745" spans="1:1" s="287" customFormat="1" ht="12" hidden="1" customHeight="1">
      <c r="A11745" s="286"/>
    </row>
    <row r="11746" spans="1:1" s="287" customFormat="1" ht="12" hidden="1" customHeight="1">
      <c r="A11746" s="286"/>
    </row>
    <row r="11747" spans="1:1" s="287" customFormat="1" ht="12" hidden="1" customHeight="1">
      <c r="A11747" s="286"/>
    </row>
    <row r="11748" spans="1:1" s="287" customFormat="1" ht="12" hidden="1" customHeight="1">
      <c r="A11748" s="286"/>
    </row>
    <row r="11749" spans="1:1" s="287" customFormat="1" ht="12" hidden="1" customHeight="1">
      <c r="A11749" s="286"/>
    </row>
    <row r="11750" spans="1:1" s="287" customFormat="1" ht="12" hidden="1" customHeight="1">
      <c r="A11750" s="286"/>
    </row>
    <row r="11751" spans="1:1" s="287" customFormat="1" ht="12" hidden="1" customHeight="1">
      <c r="A11751" s="286"/>
    </row>
    <row r="11752" spans="1:1" s="287" customFormat="1" ht="12" hidden="1" customHeight="1">
      <c r="A11752" s="286"/>
    </row>
    <row r="11753" spans="1:1" s="287" customFormat="1" ht="12" hidden="1" customHeight="1">
      <c r="A11753" s="286"/>
    </row>
    <row r="11754" spans="1:1" s="287" customFormat="1" ht="12" hidden="1" customHeight="1">
      <c r="A11754" s="286"/>
    </row>
    <row r="11755" spans="1:1" s="287" customFormat="1" ht="12" hidden="1" customHeight="1">
      <c r="A11755" s="286"/>
    </row>
    <row r="11756" spans="1:1" s="287" customFormat="1" ht="12" hidden="1" customHeight="1">
      <c r="A11756" s="286"/>
    </row>
    <row r="11757" spans="1:1" s="287" customFormat="1" ht="12" hidden="1" customHeight="1">
      <c r="A11757" s="286"/>
    </row>
    <row r="11758" spans="1:1" s="287" customFormat="1" ht="12" hidden="1" customHeight="1">
      <c r="A11758" s="286"/>
    </row>
    <row r="11759" spans="1:1" s="287" customFormat="1" ht="12" hidden="1" customHeight="1">
      <c r="A11759" s="286"/>
    </row>
    <row r="11760" spans="1:1" s="287" customFormat="1" ht="12" hidden="1" customHeight="1">
      <c r="A11760" s="286"/>
    </row>
    <row r="11761" spans="1:1" s="287" customFormat="1" ht="12" hidden="1" customHeight="1">
      <c r="A11761" s="286"/>
    </row>
    <row r="11762" spans="1:1" s="287" customFormat="1" ht="12" hidden="1" customHeight="1">
      <c r="A11762" s="286"/>
    </row>
    <row r="11763" spans="1:1" s="287" customFormat="1" ht="12" hidden="1" customHeight="1">
      <c r="A11763" s="286"/>
    </row>
    <row r="11764" spans="1:1" s="287" customFormat="1" ht="12" hidden="1" customHeight="1">
      <c r="A11764" s="286"/>
    </row>
    <row r="11765" spans="1:1" s="287" customFormat="1" ht="12" hidden="1" customHeight="1">
      <c r="A11765" s="286"/>
    </row>
    <row r="11766" spans="1:1" s="287" customFormat="1" ht="12" hidden="1" customHeight="1">
      <c r="A11766" s="286"/>
    </row>
    <row r="11767" spans="1:1" s="287" customFormat="1" ht="12" hidden="1" customHeight="1">
      <c r="A11767" s="286"/>
    </row>
    <row r="11768" spans="1:1" s="287" customFormat="1" ht="12" hidden="1" customHeight="1">
      <c r="A11768" s="286"/>
    </row>
    <row r="11769" spans="1:1" s="287" customFormat="1" ht="12" hidden="1" customHeight="1">
      <c r="A11769" s="286"/>
    </row>
    <row r="11770" spans="1:1" s="287" customFormat="1" ht="12" hidden="1" customHeight="1">
      <c r="A11770" s="286"/>
    </row>
    <row r="11771" spans="1:1" s="287" customFormat="1" ht="12" hidden="1" customHeight="1">
      <c r="A11771" s="286"/>
    </row>
    <row r="11772" spans="1:1" s="287" customFormat="1" ht="12" hidden="1" customHeight="1">
      <c r="A11772" s="286"/>
    </row>
    <row r="11773" spans="1:1" s="287" customFormat="1" ht="12" hidden="1" customHeight="1">
      <c r="A11773" s="286"/>
    </row>
    <row r="11774" spans="1:1" s="287" customFormat="1" ht="12" hidden="1" customHeight="1">
      <c r="A11774" s="286"/>
    </row>
    <row r="11775" spans="1:1" s="287" customFormat="1" ht="12" hidden="1" customHeight="1">
      <c r="A11775" s="286"/>
    </row>
    <row r="11776" spans="1:1" s="287" customFormat="1" ht="12" hidden="1" customHeight="1">
      <c r="A11776" s="286"/>
    </row>
    <row r="11777" spans="1:1" s="287" customFormat="1" ht="12" hidden="1" customHeight="1">
      <c r="A11777" s="286"/>
    </row>
    <row r="11778" spans="1:1" s="287" customFormat="1" ht="12" hidden="1" customHeight="1">
      <c r="A11778" s="286"/>
    </row>
    <row r="11779" spans="1:1" s="287" customFormat="1" ht="12" hidden="1" customHeight="1">
      <c r="A11779" s="286"/>
    </row>
    <row r="11780" spans="1:1" s="287" customFormat="1" ht="12" hidden="1" customHeight="1">
      <c r="A11780" s="286"/>
    </row>
    <row r="11781" spans="1:1" s="287" customFormat="1" ht="12" hidden="1" customHeight="1">
      <c r="A11781" s="286"/>
    </row>
    <row r="11782" spans="1:1" s="287" customFormat="1" ht="12" hidden="1" customHeight="1">
      <c r="A11782" s="286"/>
    </row>
    <row r="11783" spans="1:1" s="287" customFormat="1" ht="12" hidden="1" customHeight="1">
      <c r="A11783" s="286"/>
    </row>
    <row r="11784" spans="1:1" s="287" customFormat="1" ht="12" hidden="1" customHeight="1">
      <c r="A11784" s="286"/>
    </row>
    <row r="11785" spans="1:1" s="287" customFormat="1" ht="12" hidden="1" customHeight="1">
      <c r="A11785" s="286"/>
    </row>
    <row r="11786" spans="1:1" s="287" customFormat="1" ht="12" hidden="1" customHeight="1">
      <c r="A11786" s="286"/>
    </row>
    <row r="11787" spans="1:1" s="287" customFormat="1" ht="12" hidden="1" customHeight="1">
      <c r="A11787" s="286"/>
    </row>
    <row r="11788" spans="1:1" s="287" customFormat="1" ht="12" hidden="1" customHeight="1">
      <c r="A11788" s="286"/>
    </row>
    <row r="11789" spans="1:1" s="287" customFormat="1" ht="12" hidden="1" customHeight="1">
      <c r="A11789" s="286"/>
    </row>
    <row r="11790" spans="1:1" s="287" customFormat="1" ht="12" hidden="1" customHeight="1">
      <c r="A11790" s="286"/>
    </row>
    <row r="11791" spans="1:1" s="287" customFormat="1" ht="12" hidden="1" customHeight="1">
      <c r="A11791" s="286"/>
    </row>
    <row r="11792" spans="1:1" s="287" customFormat="1" ht="12" hidden="1" customHeight="1">
      <c r="A11792" s="286"/>
    </row>
    <row r="11793" spans="1:1" s="287" customFormat="1" ht="12" hidden="1" customHeight="1">
      <c r="A11793" s="286"/>
    </row>
    <row r="11794" spans="1:1" s="287" customFormat="1" ht="12" hidden="1" customHeight="1">
      <c r="A11794" s="286"/>
    </row>
    <row r="11795" spans="1:1" s="287" customFormat="1" ht="12" hidden="1" customHeight="1">
      <c r="A11795" s="286"/>
    </row>
    <row r="11796" spans="1:1" s="287" customFormat="1" ht="12" hidden="1" customHeight="1">
      <c r="A11796" s="286"/>
    </row>
    <row r="11797" spans="1:1" s="287" customFormat="1" ht="12" hidden="1" customHeight="1">
      <c r="A11797" s="286"/>
    </row>
    <row r="11798" spans="1:1" s="287" customFormat="1" ht="12" hidden="1" customHeight="1">
      <c r="A11798" s="286"/>
    </row>
    <row r="11799" spans="1:1" s="287" customFormat="1" ht="12" hidden="1" customHeight="1">
      <c r="A11799" s="286"/>
    </row>
    <row r="11800" spans="1:1" s="287" customFormat="1" ht="12" hidden="1" customHeight="1">
      <c r="A11800" s="286"/>
    </row>
    <row r="11801" spans="1:1" s="287" customFormat="1" ht="12" hidden="1" customHeight="1">
      <c r="A11801" s="286"/>
    </row>
    <row r="11802" spans="1:1" s="287" customFormat="1" ht="12" hidden="1" customHeight="1">
      <c r="A11802" s="286"/>
    </row>
    <row r="11803" spans="1:1" s="287" customFormat="1" ht="12" hidden="1" customHeight="1">
      <c r="A11803" s="286"/>
    </row>
    <row r="11804" spans="1:1" s="287" customFormat="1" ht="12" hidden="1" customHeight="1">
      <c r="A11804" s="286"/>
    </row>
    <row r="11805" spans="1:1" s="287" customFormat="1" ht="12" hidden="1" customHeight="1">
      <c r="A11805" s="286"/>
    </row>
    <row r="11806" spans="1:1" s="287" customFormat="1" ht="12" hidden="1" customHeight="1">
      <c r="A11806" s="286"/>
    </row>
    <row r="11807" spans="1:1" s="287" customFormat="1" ht="12" hidden="1" customHeight="1">
      <c r="A11807" s="286"/>
    </row>
    <row r="11808" spans="1:1" s="287" customFormat="1" ht="12" hidden="1" customHeight="1">
      <c r="A11808" s="286"/>
    </row>
    <row r="11809" spans="1:1" s="287" customFormat="1" ht="12" hidden="1" customHeight="1">
      <c r="A11809" s="286"/>
    </row>
    <row r="11810" spans="1:1" s="287" customFormat="1" ht="12" hidden="1" customHeight="1">
      <c r="A11810" s="286"/>
    </row>
    <row r="11811" spans="1:1" s="287" customFormat="1" ht="12" hidden="1" customHeight="1">
      <c r="A11811" s="286"/>
    </row>
    <row r="11812" spans="1:1" s="287" customFormat="1" ht="12" hidden="1" customHeight="1">
      <c r="A11812" s="286"/>
    </row>
    <row r="11813" spans="1:1" s="287" customFormat="1" ht="12" hidden="1" customHeight="1">
      <c r="A11813" s="286"/>
    </row>
    <row r="11814" spans="1:1" s="287" customFormat="1" ht="12" hidden="1" customHeight="1">
      <c r="A11814" s="286"/>
    </row>
    <row r="11815" spans="1:1" s="287" customFormat="1" ht="12" hidden="1" customHeight="1">
      <c r="A11815" s="286"/>
    </row>
    <row r="11816" spans="1:1" s="287" customFormat="1" ht="12" hidden="1" customHeight="1">
      <c r="A11816" s="286"/>
    </row>
    <row r="11817" spans="1:1" s="287" customFormat="1" ht="12" hidden="1" customHeight="1">
      <c r="A11817" s="286"/>
    </row>
    <row r="11818" spans="1:1" s="287" customFormat="1" ht="12" hidden="1" customHeight="1">
      <c r="A11818" s="286"/>
    </row>
    <row r="11819" spans="1:1" s="287" customFormat="1" ht="12" hidden="1" customHeight="1">
      <c r="A11819" s="286"/>
    </row>
    <row r="11820" spans="1:1" s="287" customFormat="1" ht="12" hidden="1" customHeight="1">
      <c r="A11820" s="286"/>
    </row>
    <row r="11821" spans="1:1" s="287" customFormat="1" ht="12" hidden="1" customHeight="1">
      <c r="A11821" s="286"/>
    </row>
    <row r="11822" spans="1:1" s="287" customFormat="1" ht="12" hidden="1" customHeight="1">
      <c r="A11822" s="286"/>
    </row>
    <row r="11823" spans="1:1" s="287" customFormat="1" ht="12" hidden="1" customHeight="1">
      <c r="A11823" s="286"/>
    </row>
    <row r="11824" spans="1:1" s="287" customFormat="1" ht="12" hidden="1" customHeight="1">
      <c r="A11824" s="286"/>
    </row>
    <row r="11825" spans="1:1" s="287" customFormat="1" ht="12" hidden="1" customHeight="1">
      <c r="A11825" s="286"/>
    </row>
    <row r="11826" spans="1:1" s="287" customFormat="1" ht="12" hidden="1" customHeight="1">
      <c r="A11826" s="286"/>
    </row>
    <row r="11827" spans="1:1" s="287" customFormat="1" ht="12" hidden="1" customHeight="1">
      <c r="A11827" s="286"/>
    </row>
    <row r="11828" spans="1:1" s="287" customFormat="1" ht="12" hidden="1" customHeight="1">
      <c r="A11828" s="286"/>
    </row>
    <row r="11829" spans="1:1" s="287" customFormat="1" ht="12" hidden="1" customHeight="1">
      <c r="A11829" s="286"/>
    </row>
    <row r="11830" spans="1:1" s="287" customFormat="1" ht="12" hidden="1" customHeight="1">
      <c r="A11830" s="286"/>
    </row>
    <row r="11831" spans="1:1" s="287" customFormat="1" ht="12" hidden="1" customHeight="1">
      <c r="A11831" s="286"/>
    </row>
    <row r="11832" spans="1:1" s="287" customFormat="1" ht="12" hidden="1" customHeight="1">
      <c r="A11832" s="286"/>
    </row>
    <row r="11833" spans="1:1" s="287" customFormat="1" ht="12" hidden="1" customHeight="1">
      <c r="A11833" s="286"/>
    </row>
    <row r="11834" spans="1:1" s="287" customFormat="1" ht="12" hidden="1" customHeight="1">
      <c r="A11834" s="286"/>
    </row>
    <row r="11835" spans="1:1" s="287" customFormat="1" ht="12" hidden="1" customHeight="1">
      <c r="A11835" s="286"/>
    </row>
    <row r="11836" spans="1:1" s="287" customFormat="1" ht="12" hidden="1" customHeight="1">
      <c r="A11836" s="286"/>
    </row>
    <row r="11837" spans="1:1" s="287" customFormat="1" ht="12" hidden="1" customHeight="1">
      <c r="A11837" s="286"/>
    </row>
    <row r="11838" spans="1:1" s="287" customFormat="1" ht="12" hidden="1" customHeight="1">
      <c r="A11838" s="286"/>
    </row>
    <row r="11839" spans="1:1" s="287" customFormat="1" ht="12" hidden="1" customHeight="1">
      <c r="A11839" s="286"/>
    </row>
    <row r="11840" spans="1:1" s="287" customFormat="1" ht="12" hidden="1" customHeight="1">
      <c r="A11840" s="286"/>
    </row>
    <row r="11841" spans="1:1" s="287" customFormat="1" ht="12" hidden="1" customHeight="1">
      <c r="A11841" s="286"/>
    </row>
    <row r="11842" spans="1:1" s="287" customFormat="1" ht="12" hidden="1" customHeight="1">
      <c r="A11842" s="286"/>
    </row>
    <row r="11843" spans="1:1" s="287" customFormat="1" ht="12" hidden="1" customHeight="1">
      <c r="A11843" s="286"/>
    </row>
    <row r="11844" spans="1:1" s="287" customFormat="1" ht="12" hidden="1" customHeight="1">
      <c r="A11844" s="286"/>
    </row>
    <row r="11845" spans="1:1" s="287" customFormat="1" ht="12" hidden="1" customHeight="1">
      <c r="A11845" s="286"/>
    </row>
    <row r="11846" spans="1:1" s="287" customFormat="1" ht="12" hidden="1" customHeight="1">
      <c r="A11846" s="286"/>
    </row>
    <row r="11847" spans="1:1" s="287" customFormat="1" ht="12" hidden="1" customHeight="1">
      <c r="A11847" s="286"/>
    </row>
    <row r="11848" spans="1:1" s="287" customFormat="1" ht="12" hidden="1" customHeight="1">
      <c r="A11848" s="286"/>
    </row>
    <row r="11849" spans="1:1" s="287" customFormat="1" ht="12" hidden="1" customHeight="1">
      <c r="A11849" s="286"/>
    </row>
    <row r="11850" spans="1:1" s="287" customFormat="1" ht="12" hidden="1" customHeight="1">
      <c r="A11850" s="286"/>
    </row>
    <row r="11851" spans="1:1" s="287" customFormat="1" ht="12" hidden="1" customHeight="1">
      <c r="A11851" s="286"/>
    </row>
    <row r="11852" spans="1:1" s="287" customFormat="1" ht="12" hidden="1" customHeight="1">
      <c r="A11852" s="286"/>
    </row>
    <row r="11853" spans="1:1" s="287" customFormat="1" ht="12" hidden="1" customHeight="1">
      <c r="A11853" s="286"/>
    </row>
    <row r="11854" spans="1:1" s="287" customFormat="1" ht="12" hidden="1" customHeight="1">
      <c r="A11854" s="286"/>
    </row>
    <row r="11855" spans="1:1" s="287" customFormat="1" ht="12" hidden="1" customHeight="1">
      <c r="A11855" s="286"/>
    </row>
    <row r="11856" spans="1:1" s="287" customFormat="1" ht="12" hidden="1" customHeight="1">
      <c r="A11856" s="286"/>
    </row>
    <row r="11857" spans="1:1" s="287" customFormat="1" ht="12" hidden="1" customHeight="1">
      <c r="A11857" s="286"/>
    </row>
    <row r="11858" spans="1:1" s="287" customFormat="1" ht="12" hidden="1" customHeight="1">
      <c r="A11858" s="286"/>
    </row>
    <row r="11859" spans="1:1" s="287" customFormat="1" ht="12" hidden="1" customHeight="1">
      <c r="A11859" s="286"/>
    </row>
    <row r="11860" spans="1:1" s="287" customFormat="1" ht="12" hidden="1" customHeight="1">
      <c r="A11860" s="286"/>
    </row>
    <row r="11861" spans="1:1" s="287" customFormat="1" ht="12" hidden="1" customHeight="1">
      <c r="A11861" s="286"/>
    </row>
    <row r="11862" spans="1:1" s="287" customFormat="1" ht="12" hidden="1" customHeight="1">
      <c r="A11862" s="286"/>
    </row>
    <row r="11863" spans="1:1" s="287" customFormat="1" ht="12" hidden="1" customHeight="1">
      <c r="A11863" s="286"/>
    </row>
    <row r="11864" spans="1:1" s="287" customFormat="1" ht="12" hidden="1" customHeight="1">
      <c r="A11864" s="286"/>
    </row>
    <row r="11865" spans="1:1" s="287" customFormat="1" ht="12" hidden="1" customHeight="1">
      <c r="A11865" s="286"/>
    </row>
    <row r="11866" spans="1:1" s="287" customFormat="1" ht="12" hidden="1" customHeight="1">
      <c r="A11866" s="286"/>
    </row>
    <row r="11867" spans="1:1" s="287" customFormat="1" ht="12" hidden="1" customHeight="1">
      <c r="A11867" s="286"/>
    </row>
    <row r="11868" spans="1:1" s="287" customFormat="1" ht="12" hidden="1" customHeight="1">
      <c r="A11868" s="286"/>
    </row>
    <row r="11869" spans="1:1" s="287" customFormat="1" ht="12" hidden="1" customHeight="1">
      <c r="A11869" s="286"/>
    </row>
    <row r="11870" spans="1:1" s="287" customFormat="1" ht="12" hidden="1" customHeight="1">
      <c r="A11870" s="286"/>
    </row>
    <row r="11871" spans="1:1" s="287" customFormat="1" ht="12" hidden="1" customHeight="1">
      <c r="A11871" s="286"/>
    </row>
    <row r="11872" spans="1:1" s="287" customFormat="1" ht="12" hidden="1" customHeight="1">
      <c r="A11872" s="286"/>
    </row>
    <row r="11873" spans="1:1" s="287" customFormat="1" ht="12" hidden="1" customHeight="1">
      <c r="A11873" s="286"/>
    </row>
    <row r="11874" spans="1:1" s="287" customFormat="1" ht="12" hidden="1" customHeight="1">
      <c r="A11874" s="286"/>
    </row>
    <row r="11875" spans="1:1" s="287" customFormat="1" ht="12" hidden="1" customHeight="1">
      <c r="A11875" s="286"/>
    </row>
    <row r="11876" spans="1:1" s="287" customFormat="1" ht="12" hidden="1" customHeight="1">
      <c r="A11876" s="286"/>
    </row>
    <row r="11877" spans="1:1" s="287" customFormat="1" ht="12" hidden="1" customHeight="1">
      <c r="A11877" s="286"/>
    </row>
    <row r="11878" spans="1:1" s="287" customFormat="1" ht="12" hidden="1" customHeight="1">
      <c r="A11878" s="286"/>
    </row>
    <row r="11879" spans="1:1" s="287" customFormat="1" ht="12" hidden="1" customHeight="1">
      <c r="A11879" s="286"/>
    </row>
    <row r="11880" spans="1:1" s="287" customFormat="1" ht="12" hidden="1" customHeight="1">
      <c r="A11880" s="286"/>
    </row>
    <row r="11881" spans="1:1" s="287" customFormat="1" ht="12" hidden="1" customHeight="1">
      <c r="A11881" s="286"/>
    </row>
    <row r="11882" spans="1:1" s="287" customFormat="1" ht="12" hidden="1" customHeight="1">
      <c r="A11882" s="286"/>
    </row>
    <row r="11883" spans="1:1" s="287" customFormat="1" ht="12" hidden="1" customHeight="1">
      <c r="A11883" s="286"/>
    </row>
    <row r="11884" spans="1:1" s="287" customFormat="1" ht="12" hidden="1" customHeight="1">
      <c r="A11884" s="286"/>
    </row>
    <row r="11885" spans="1:1" s="287" customFormat="1" ht="12" hidden="1" customHeight="1">
      <c r="A11885" s="286"/>
    </row>
    <row r="11886" spans="1:1" s="287" customFormat="1" ht="12" hidden="1" customHeight="1">
      <c r="A11886" s="286"/>
    </row>
    <row r="11887" spans="1:1" s="287" customFormat="1" ht="12" hidden="1" customHeight="1">
      <c r="A11887" s="286"/>
    </row>
    <row r="11888" spans="1:1" s="287" customFormat="1" ht="12" hidden="1" customHeight="1">
      <c r="A11888" s="286"/>
    </row>
    <row r="11889" spans="1:1" s="287" customFormat="1" ht="12" hidden="1" customHeight="1">
      <c r="A11889" s="286"/>
    </row>
    <row r="11890" spans="1:1" s="287" customFormat="1" ht="12" hidden="1" customHeight="1">
      <c r="A11890" s="286"/>
    </row>
    <row r="11891" spans="1:1" s="287" customFormat="1" ht="12" hidden="1" customHeight="1">
      <c r="A11891" s="286"/>
    </row>
    <row r="11892" spans="1:1" s="287" customFormat="1" ht="12" hidden="1" customHeight="1">
      <c r="A11892" s="286"/>
    </row>
    <row r="11893" spans="1:1" s="287" customFormat="1" ht="12" hidden="1" customHeight="1">
      <c r="A11893" s="286"/>
    </row>
    <row r="11894" spans="1:1" s="287" customFormat="1" ht="12" hidden="1" customHeight="1">
      <c r="A11894" s="286"/>
    </row>
    <row r="11895" spans="1:1" s="287" customFormat="1" ht="12" hidden="1" customHeight="1">
      <c r="A11895" s="286"/>
    </row>
    <row r="11896" spans="1:1" s="287" customFormat="1" ht="12" hidden="1" customHeight="1">
      <c r="A11896" s="286"/>
    </row>
    <row r="11897" spans="1:1" s="287" customFormat="1" ht="12" hidden="1" customHeight="1">
      <c r="A11897" s="286"/>
    </row>
    <row r="11898" spans="1:1" s="287" customFormat="1" ht="12" hidden="1" customHeight="1">
      <c r="A11898" s="286"/>
    </row>
    <row r="11899" spans="1:1" s="287" customFormat="1" ht="12" hidden="1" customHeight="1">
      <c r="A11899" s="286"/>
    </row>
    <row r="11900" spans="1:1" s="287" customFormat="1" ht="12" hidden="1" customHeight="1">
      <c r="A11900" s="286"/>
    </row>
    <row r="11901" spans="1:1" s="287" customFormat="1" ht="12" hidden="1" customHeight="1">
      <c r="A11901" s="286"/>
    </row>
    <row r="11902" spans="1:1" s="287" customFormat="1" ht="12" hidden="1" customHeight="1">
      <c r="A11902" s="286"/>
    </row>
    <row r="11903" spans="1:1" s="287" customFormat="1" ht="12" hidden="1" customHeight="1">
      <c r="A11903" s="286"/>
    </row>
    <row r="11904" spans="1:1" s="287" customFormat="1" ht="12" hidden="1" customHeight="1">
      <c r="A11904" s="286"/>
    </row>
    <row r="11905" spans="1:1" s="287" customFormat="1" ht="12" hidden="1" customHeight="1">
      <c r="A11905" s="286"/>
    </row>
    <row r="11906" spans="1:1" s="287" customFormat="1" ht="12" hidden="1" customHeight="1">
      <c r="A11906" s="286"/>
    </row>
    <row r="11907" spans="1:1" s="287" customFormat="1" ht="12" hidden="1" customHeight="1">
      <c r="A11907" s="286"/>
    </row>
    <row r="11908" spans="1:1" s="287" customFormat="1" ht="12" hidden="1" customHeight="1">
      <c r="A11908" s="286"/>
    </row>
    <row r="11909" spans="1:1" s="287" customFormat="1" ht="12" hidden="1" customHeight="1">
      <c r="A11909" s="286"/>
    </row>
    <row r="11910" spans="1:1" s="287" customFormat="1" ht="12" hidden="1" customHeight="1">
      <c r="A11910" s="286"/>
    </row>
    <row r="11911" spans="1:1" s="287" customFormat="1" ht="12" hidden="1" customHeight="1">
      <c r="A11911" s="286"/>
    </row>
    <row r="11912" spans="1:1" s="287" customFormat="1" ht="12" hidden="1" customHeight="1">
      <c r="A11912" s="286"/>
    </row>
    <row r="11913" spans="1:1" s="287" customFormat="1" ht="12" hidden="1" customHeight="1">
      <c r="A11913" s="286"/>
    </row>
    <row r="11914" spans="1:1" s="287" customFormat="1" ht="12" hidden="1" customHeight="1">
      <c r="A11914" s="286"/>
    </row>
    <row r="11915" spans="1:1" s="287" customFormat="1" ht="12" hidden="1" customHeight="1">
      <c r="A11915" s="286"/>
    </row>
    <row r="11916" spans="1:1" s="287" customFormat="1" ht="12" hidden="1" customHeight="1">
      <c r="A11916" s="286"/>
    </row>
    <row r="11917" spans="1:1" s="287" customFormat="1" ht="12" hidden="1" customHeight="1">
      <c r="A11917" s="286"/>
    </row>
    <row r="11918" spans="1:1" s="287" customFormat="1" ht="12" hidden="1" customHeight="1">
      <c r="A11918" s="286"/>
    </row>
    <row r="11919" spans="1:1" s="287" customFormat="1" ht="12" hidden="1" customHeight="1">
      <c r="A11919" s="286"/>
    </row>
    <row r="11920" spans="1:1" s="287" customFormat="1" ht="12" hidden="1" customHeight="1">
      <c r="A11920" s="286"/>
    </row>
    <row r="11921" spans="1:1" s="287" customFormat="1" ht="12" hidden="1" customHeight="1">
      <c r="A11921" s="286"/>
    </row>
    <row r="11922" spans="1:1" s="287" customFormat="1" ht="12" hidden="1" customHeight="1">
      <c r="A11922" s="286"/>
    </row>
    <row r="11923" spans="1:1" s="287" customFormat="1" ht="12" hidden="1" customHeight="1">
      <c r="A11923" s="286"/>
    </row>
    <row r="11924" spans="1:1" s="287" customFormat="1" ht="12" hidden="1" customHeight="1">
      <c r="A11924" s="286"/>
    </row>
    <row r="11925" spans="1:1" s="287" customFormat="1" ht="12" hidden="1" customHeight="1">
      <c r="A11925" s="286"/>
    </row>
    <row r="11926" spans="1:1" s="287" customFormat="1" ht="12" hidden="1" customHeight="1">
      <c r="A11926" s="286"/>
    </row>
    <row r="11927" spans="1:1" s="287" customFormat="1" ht="12" hidden="1" customHeight="1">
      <c r="A11927" s="286"/>
    </row>
    <row r="11928" spans="1:1" s="287" customFormat="1" ht="12" hidden="1" customHeight="1">
      <c r="A11928" s="286"/>
    </row>
    <row r="11929" spans="1:1" s="287" customFormat="1" ht="12" hidden="1" customHeight="1">
      <c r="A11929" s="286"/>
    </row>
    <row r="11930" spans="1:1" s="287" customFormat="1" ht="12" hidden="1" customHeight="1">
      <c r="A11930" s="286"/>
    </row>
    <row r="11931" spans="1:1" s="287" customFormat="1" ht="12" hidden="1" customHeight="1">
      <c r="A11931" s="286"/>
    </row>
    <row r="11932" spans="1:1" s="287" customFormat="1" ht="12" hidden="1" customHeight="1">
      <c r="A11932" s="286"/>
    </row>
    <row r="11933" spans="1:1" s="287" customFormat="1" ht="12" hidden="1" customHeight="1">
      <c r="A11933" s="286"/>
    </row>
    <row r="11934" spans="1:1" s="287" customFormat="1" ht="12" hidden="1" customHeight="1">
      <c r="A11934" s="286"/>
    </row>
    <row r="11935" spans="1:1" s="287" customFormat="1" ht="12" hidden="1" customHeight="1">
      <c r="A11935" s="286"/>
    </row>
    <row r="11936" spans="1:1" s="287" customFormat="1" ht="12" hidden="1" customHeight="1">
      <c r="A11936" s="286"/>
    </row>
    <row r="11937" spans="1:1" s="287" customFormat="1" ht="12" hidden="1" customHeight="1">
      <c r="A11937" s="286"/>
    </row>
    <row r="11938" spans="1:1" s="287" customFormat="1" ht="12" hidden="1" customHeight="1">
      <c r="A11938" s="286"/>
    </row>
    <row r="11939" spans="1:1" s="287" customFormat="1" ht="12" hidden="1" customHeight="1">
      <c r="A11939" s="286"/>
    </row>
    <row r="11940" spans="1:1" s="287" customFormat="1" ht="12" hidden="1" customHeight="1">
      <c r="A11940" s="286"/>
    </row>
    <row r="11941" spans="1:1" s="287" customFormat="1" ht="12" hidden="1" customHeight="1">
      <c r="A11941" s="286"/>
    </row>
    <row r="11942" spans="1:1" s="287" customFormat="1" ht="12" hidden="1" customHeight="1">
      <c r="A11942" s="286"/>
    </row>
    <row r="11943" spans="1:1" s="287" customFormat="1" ht="12" hidden="1" customHeight="1">
      <c r="A11943" s="286"/>
    </row>
    <row r="11944" spans="1:1" s="287" customFormat="1" ht="12" hidden="1" customHeight="1">
      <c r="A11944" s="286"/>
    </row>
    <row r="11945" spans="1:1" s="287" customFormat="1" ht="12" hidden="1" customHeight="1">
      <c r="A11945" s="286"/>
    </row>
    <row r="11946" spans="1:1" s="287" customFormat="1" ht="12" hidden="1" customHeight="1">
      <c r="A11946" s="286"/>
    </row>
    <row r="11947" spans="1:1" s="287" customFormat="1" ht="12" hidden="1" customHeight="1">
      <c r="A11947" s="286"/>
    </row>
    <row r="11948" spans="1:1" s="287" customFormat="1" ht="12" hidden="1" customHeight="1">
      <c r="A11948" s="286"/>
    </row>
    <row r="11949" spans="1:1" s="287" customFormat="1" ht="12" hidden="1" customHeight="1">
      <c r="A11949" s="286"/>
    </row>
    <row r="11950" spans="1:1" s="287" customFormat="1" ht="12" hidden="1" customHeight="1">
      <c r="A11950" s="286"/>
    </row>
    <row r="11951" spans="1:1" s="287" customFormat="1" ht="12" hidden="1" customHeight="1">
      <c r="A11951" s="286"/>
    </row>
    <row r="11952" spans="1:1" s="287" customFormat="1" ht="12" hidden="1" customHeight="1">
      <c r="A11952" s="286"/>
    </row>
    <row r="11953" spans="1:1" s="287" customFormat="1" ht="12" hidden="1" customHeight="1">
      <c r="A11953" s="286"/>
    </row>
    <row r="11954" spans="1:1" s="287" customFormat="1" ht="12" hidden="1" customHeight="1">
      <c r="A11954" s="286"/>
    </row>
    <row r="11955" spans="1:1" s="287" customFormat="1" ht="12" hidden="1" customHeight="1">
      <c r="A11955" s="286"/>
    </row>
    <row r="11956" spans="1:1" s="287" customFormat="1" ht="12" hidden="1" customHeight="1">
      <c r="A11956" s="286"/>
    </row>
    <row r="11957" spans="1:1" s="287" customFormat="1" ht="12" hidden="1" customHeight="1">
      <c r="A11957" s="286"/>
    </row>
    <row r="11958" spans="1:1" s="287" customFormat="1" ht="12" hidden="1" customHeight="1">
      <c r="A11958" s="286"/>
    </row>
    <row r="11959" spans="1:1" s="287" customFormat="1" ht="12" hidden="1" customHeight="1">
      <c r="A11959" s="286"/>
    </row>
    <row r="11960" spans="1:1" s="287" customFormat="1" ht="12" hidden="1" customHeight="1">
      <c r="A11960" s="286"/>
    </row>
    <row r="11961" spans="1:1" s="287" customFormat="1" ht="12" hidden="1" customHeight="1">
      <c r="A11961" s="286"/>
    </row>
    <row r="11962" spans="1:1" s="287" customFormat="1" ht="12" hidden="1" customHeight="1">
      <c r="A11962" s="286"/>
    </row>
    <row r="11963" spans="1:1" s="287" customFormat="1" ht="12" hidden="1" customHeight="1">
      <c r="A11963" s="286"/>
    </row>
    <row r="11964" spans="1:1" s="287" customFormat="1" ht="12" hidden="1" customHeight="1">
      <c r="A11964" s="286"/>
    </row>
    <row r="11965" spans="1:1" s="287" customFormat="1" ht="12" hidden="1" customHeight="1">
      <c r="A11965" s="286"/>
    </row>
    <row r="11966" spans="1:1" s="287" customFormat="1" ht="12" hidden="1" customHeight="1">
      <c r="A11966" s="286"/>
    </row>
    <row r="11967" spans="1:1" s="287" customFormat="1" ht="12" hidden="1" customHeight="1">
      <c r="A11967" s="286"/>
    </row>
    <row r="11968" spans="1:1" s="287" customFormat="1" ht="12" hidden="1" customHeight="1">
      <c r="A11968" s="286"/>
    </row>
    <row r="11969" spans="1:1" s="287" customFormat="1" ht="12" hidden="1" customHeight="1">
      <c r="A11969" s="286"/>
    </row>
    <row r="11970" spans="1:1" s="287" customFormat="1" ht="12" hidden="1" customHeight="1">
      <c r="A11970" s="286"/>
    </row>
    <row r="11971" spans="1:1" s="287" customFormat="1" ht="12" hidden="1" customHeight="1">
      <c r="A11971" s="286"/>
    </row>
    <row r="11972" spans="1:1" s="287" customFormat="1" ht="12" hidden="1" customHeight="1">
      <c r="A11972" s="286"/>
    </row>
    <row r="11973" spans="1:1" s="287" customFormat="1" ht="12" hidden="1" customHeight="1">
      <c r="A11973" s="286"/>
    </row>
    <row r="11974" spans="1:1" s="287" customFormat="1" ht="12" hidden="1" customHeight="1">
      <c r="A11974" s="286"/>
    </row>
    <row r="11975" spans="1:1" s="287" customFormat="1" ht="12" hidden="1" customHeight="1">
      <c r="A11975" s="286"/>
    </row>
    <row r="11976" spans="1:1" s="287" customFormat="1" ht="12" hidden="1" customHeight="1">
      <c r="A11976" s="286"/>
    </row>
    <row r="11977" spans="1:1" s="287" customFormat="1" ht="12" hidden="1" customHeight="1">
      <c r="A11977" s="286"/>
    </row>
    <row r="11978" spans="1:1" s="287" customFormat="1" ht="12" hidden="1" customHeight="1">
      <c r="A11978" s="286"/>
    </row>
    <row r="11979" spans="1:1" s="287" customFormat="1" ht="12" hidden="1" customHeight="1">
      <c r="A11979" s="286"/>
    </row>
    <row r="11980" spans="1:1" s="287" customFormat="1" ht="12" hidden="1" customHeight="1">
      <c r="A11980" s="286"/>
    </row>
    <row r="11981" spans="1:1" s="287" customFormat="1" ht="12" hidden="1" customHeight="1">
      <c r="A11981" s="286"/>
    </row>
    <row r="11982" spans="1:1" s="287" customFormat="1" ht="12" hidden="1" customHeight="1">
      <c r="A11982" s="286"/>
    </row>
    <row r="11983" spans="1:1" s="287" customFormat="1" ht="12" hidden="1" customHeight="1">
      <c r="A11983" s="286"/>
    </row>
    <row r="11984" spans="1:1" s="287" customFormat="1" ht="12" hidden="1" customHeight="1">
      <c r="A11984" s="286"/>
    </row>
    <row r="11985" spans="1:1" s="287" customFormat="1" ht="12" hidden="1" customHeight="1">
      <c r="A11985" s="286"/>
    </row>
    <row r="11986" spans="1:1" s="287" customFormat="1" ht="12" hidden="1" customHeight="1">
      <c r="A11986" s="286"/>
    </row>
    <row r="11987" spans="1:1" s="287" customFormat="1" ht="12" hidden="1" customHeight="1">
      <c r="A11987" s="286"/>
    </row>
    <row r="11988" spans="1:1" s="287" customFormat="1" ht="12" hidden="1" customHeight="1">
      <c r="A11988" s="286"/>
    </row>
    <row r="11989" spans="1:1" s="287" customFormat="1" ht="12" hidden="1" customHeight="1">
      <c r="A11989" s="286"/>
    </row>
    <row r="11990" spans="1:1" s="287" customFormat="1" ht="12" hidden="1" customHeight="1">
      <c r="A11990" s="286"/>
    </row>
    <row r="11991" spans="1:1" s="287" customFormat="1" ht="12" hidden="1" customHeight="1">
      <c r="A11991" s="286"/>
    </row>
    <row r="11992" spans="1:1" s="287" customFormat="1" ht="12" hidden="1" customHeight="1">
      <c r="A11992" s="286"/>
    </row>
    <row r="11993" spans="1:1" s="287" customFormat="1" ht="12" hidden="1" customHeight="1">
      <c r="A11993" s="286"/>
    </row>
    <row r="11994" spans="1:1" s="287" customFormat="1" ht="12" hidden="1" customHeight="1">
      <c r="A11994" s="286"/>
    </row>
    <row r="11995" spans="1:1" s="287" customFormat="1" ht="12" hidden="1" customHeight="1">
      <c r="A11995" s="286"/>
    </row>
    <row r="11996" spans="1:1" s="287" customFormat="1" ht="12" hidden="1" customHeight="1">
      <c r="A11996" s="286"/>
    </row>
    <row r="11997" spans="1:1" s="287" customFormat="1" ht="12" hidden="1" customHeight="1">
      <c r="A11997" s="286"/>
    </row>
    <row r="11998" spans="1:1" s="287" customFormat="1" ht="12" hidden="1" customHeight="1">
      <c r="A11998" s="286"/>
    </row>
    <row r="11999" spans="1:1" s="287" customFormat="1" ht="12" hidden="1" customHeight="1">
      <c r="A11999" s="286"/>
    </row>
    <row r="12000" spans="1:1" s="287" customFormat="1" ht="12" hidden="1" customHeight="1">
      <c r="A12000" s="286"/>
    </row>
    <row r="12001" spans="1:1" s="287" customFormat="1" ht="12" hidden="1" customHeight="1">
      <c r="A12001" s="286"/>
    </row>
    <row r="12002" spans="1:1" s="287" customFormat="1" ht="12" hidden="1" customHeight="1">
      <c r="A12002" s="286"/>
    </row>
    <row r="12003" spans="1:1" s="287" customFormat="1" ht="12" hidden="1" customHeight="1">
      <c r="A12003" s="286"/>
    </row>
    <row r="12004" spans="1:1" s="287" customFormat="1" ht="12" hidden="1" customHeight="1">
      <c r="A12004" s="286"/>
    </row>
    <row r="12005" spans="1:1" s="287" customFormat="1" ht="12" hidden="1" customHeight="1">
      <c r="A12005" s="286"/>
    </row>
    <row r="12006" spans="1:1" s="287" customFormat="1" ht="12" hidden="1" customHeight="1">
      <c r="A12006" s="286"/>
    </row>
    <row r="12007" spans="1:1" s="287" customFormat="1" ht="12" hidden="1" customHeight="1">
      <c r="A12007" s="286"/>
    </row>
    <row r="12008" spans="1:1" s="287" customFormat="1" ht="12" hidden="1" customHeight="1">
      <c r="A12008" s="286"/>
    </row>
    <row r="12009" spans="1:1" s="287" customFormat="1" ht="12" hidden="1" customHeight="1">
      <c r="A12009" s="286"/>
    </row>
    <row r="12010" spans="1:1" s="287" customFormat="1" ht="12" hidden="1" customHeight="1">
      <c r="A12010" s="286"/>
    </row>
    <row r="12011" spans="1:1" s="287" customFormat="1" ht="12" hidden="1" customHeight="1">
      <c r="A12011" s="286"/>
    </row>
    <row r="12012" spans="1:1" s="287" customFormat="1" ht="12" hidden="1" customHeight="1">
      <c r="A12012" s="286"/>
    </row>
    <row r="12013" spans="1:1" s="287" customFormat="1" ht="12" hidden="1" customHeight="1">
      <c r="A12013" s="286"/>
    </row>
    <row r="12014" spans="1:1" s="287" customFormat="1" ht="12" hidden="1" customHeight="1">
      <c r="A12014" s="286"/>
    </row>
    <row r="12015" spans="1:1" s="287" customFormat="1" ht="12" hidden="1" customHeight="1">
      <c r="A12015" s="286"/>
    </row>
    <row r="12016" spans="1:1" s="287" customFormat="1" ht="12" hidden="1" customHeight="1">
      <c r="A12016" s="286"/>
    </row>
    <row r="12017" spans="1:1" s="287" customFormat="1" ht="12" hidden="1" customHeight="1">
      <c r="A12017" s="286"/>
    </row>
    <row r="12018" spans="1:1" s="287" customFormat="1" ht="12" hidden="1" customHeight="1">
      <c r="A12018" s="286"/>
    </row>
    <row r="12019" spans="1:1" s="287" customFormat="1" ht="12" hidden="1" customHeight="1">
      <c r="A12019" s="286"/>
    </row>
    <row r="12020" spans="1:1" s="287" customFormat="1" ht="12" hidden="1" customHeight="1">
      <c r="A12020" s="286"/>
    </row>
    <row r="12021" spans="1:1" s="287" customFormat="1" ht="12" hidden="1" customHeight="1">
      <c r="A12021" s="286"/>
    </row>
    <row r="12022" spans="1:1" s="287" customFormat="1" ht="12" hidden="1" customHeight="1">
      <c r="A12022" s="286"/>
    </row>
    <row r="12023" spans="1:1" s="287" customFormat="1" ht="12" hidden="1" customHeight="1">
      <c r="A12023" s="286"/>
    </row>
    <row r="12024" spans="1:1" s="287" customFormat="1" ht="12" hidden="1" customHeight="1">
      <c r="A12024" s="286"/>
    </row>
    <row r="12025" spans="1:1" s="287" customFormat="1" ht="12" hidden="1" customHeight="1">
      <c r="A12025" s="286"/>
    </row>
    <row r="12026" spans="1:1" s="287" customFormat="1" ht="12" hidden="1" customHeight="1">
      <c r="A12026" s="286"/>
    </row>
    <row r="12027" spans="1:1" s="287" customFormat="1" ht="12" hidden="1" customHeight="1">
      <c r="A12027" s="286"/>
    </row>
    <row r="12028" spans="1:1" s="287" customFormat="1" ht="12" hidden="1" customHeight="1">
      <c r="A12028" s="286"/>
    </row>
    <row r="12029" spans="1:1" s="287" customFormat="1" ht="12" hidden="1" customHeight="1">
      <c r="A12029" s="286"/>
    </row>
    <row r="12030" spans="1:1" s="287" customFormat="1" ht="12" hidden="1" customHeight="1">
      <c r="A12030" s="286"/>
    </row>
    <row r="12031" spans="1:1" s="287" customFormat="1" ht="12" hidden="1" customHeight="1">
      <c r="A12031" s="286"/>
    </row>
    <row r="12032" spans="1:1" s="287" customFormat="1" ht="12" hidden="1" customHeight="1">
      <c r="A12032" s="286"/>
    </row>
    <row r="12033" spans="1:1" s="287" customFormat="1" ht="12" hidden="1" customHeight="1">
      <c r="A12033" s="286"/>
    </row>
    <row r="12034" spans="1:1" s="287" customFormat="1" ht="12" hidden="1" customHeight="1">
      <c r="A12034" s="286"/>
    </row>
    <row r="12035" spans="1:1" s="287" customFormat="1" ht="12" hidden="1" customHeight="1">
      <c r="A12035" s="286"/>
    </row>
    <row r="12036" spans="1:1" s="287" customFormat="1" ht="12" hidden="1" customHeight="1">
      <c r="A12036" s="286"/>
    </row>
    <row r="12037" spans="1:1" s="287" customFormat="1" ht="12" hidden="1" customHeight="1">
      <c r="A12037" s="286"/>
    </row>
    <row r="12038" spans="1:1" s="287" customFormat="1" ht="12" hidden="1" customHeight="1">
      <c r="A12038" s="286"/>
    </row>
    <row r="12039" spans="1:1" s="287" customFormat="1" ht="12" hidden="1" customHeight="1">
      <c r="A12039" s="286"/>
    </row>
    <row r="12040" spans="1:1" s="287" customFormat="1" ht="12" hidden="1" customHeight="1">
      <c r="A12040" s="286"/>
    </row>
    <row r="12041" spans="1:1" s="287" customFormat="1" ht="12" hidden="1" customHeight="1">
      <c r="A12041" s="286"/>
    </row>
    <row r="12042" spans="1:1" s="287" customFormat="1" ht="12" hidden="1" customHeight="1">
      <c r="A12042" s="286"/>
    </row>
    <row r="12043" spans="1:1" s="287" customFormat="1" ht="12" hidden="1" customHeight="1">
      <c r="A12043" s="286"/>
    </row>
    <row r="12044" spans="1:1" s="287" customFormat="1" ht="12" hidden="1" customHeight="1">
      <c r="A12044" s="286"/>
    </row>
    <row r="12045" spans="1:1" s="287" customFormat="1" ht="12" hidden="1" customHeight="1">
      <c r="A12045" s="286"/>
    </row>
    <row r="12046" spans="1:1" s="287" customFormat="1" ht="12" hidden="1" customHeight="1">
      <c r="A12046" s="286"/>
    </row>
    <row r="12047" spans="1:1" s="287" customFormat="1" ht="12" hidden="1" customHeight="1">
      <c r="A12047" s="286"/>
    </row>
    <row r="12048" spans="1:1" s="287" customFormat="1" ht="12" hidden="1" customHeight="1">
      <c r="A12048" s="286"/>
    </row>
    <row r="12049" spans="1:1" s="287" customFormat="1" ht="12" hidden="1" customHeight="1">
      <c r="A12049" s="286"/>
    </row>
    <row r="12050" spans="1:1" s="287" customFormat="1" ht="12" hidden="1" customHeight="1">
      <c r="A12050" s="286"/>
    </row>
    <row r="12051" spans="1:1" s="287" customFormat="1" ht="12" hidden="1" customHeight="1">
      <c r="A12051" s="286"/>
    </row>
    <row r="12052" spans="1:1" s="287" customFormat="1" ht="12" hidden="1" customHeight="1">
      <c r="A12052" s="286"/>
    </row>
    <row r="12053" spans="1:1" s="287" customFormat="1" ht="12" hidden="1" customHeight="1">
      <c r="A12053" s="286"/>
    </row>
    <row r="12054" spans="1:1" s="287" customFormat="1" ht="12" hidden="1" customHeight="1">
      <c r="A12054" s="286"/>
    </row>
    <row r="12055" spans="1:1" s="287" customFormat="1" ht="12" hidden="1" customHeight="1">
      <c r="A12055" s="286"/>
    </row>
    <row r="12056" spans="1:1" s="287" customFormat="1" ht="12" hidden="1" customHeight="1">
      <c r="A12056" s="286"/>
    </row>
    <row r="12057" spans="1:1" s="287" customFormat="1" ht="12" hidden="1" customHeight="1">
      <c r="A12057" s="286"/>
    </row>
    <row r="12058" spans="1:1" s="287" customFormat="1" ht="12" hidden="1" customHeight="1">
      <c r="A12058" s="286"/>
    </row>
    <row r="12059" spans="1:1" s="287" customFormat="1" ht="12" hidden="1" customHeight="1">
      <c r="A12059" s="286"/>
    </row>
    <row r="12060" spans="1:1" s="287" customFormat="1" ht="12" hidden="1" customHeight="1">
      <c r="A12060" s="286"/>
    </row>
    <row r="12061" spans="1:1" s="287" customFormat="1" ht="12" hidden="1" customHeight="1">
      <c r="A12061" s="286"/>
    </row>
    <row r="12062" spans="1:1" s="287" customFormat="1" ht="12" hidden="1" customHeight="1">
      <c r="A12062" s="286"/>
    </row>
    <row r="12063" spans="1:1" s="287" customFormat="1" ht="12" hidden="1" customHeight="1">
      <c r="A12063" s="286"/>
    </row>
    <row r="12064" spans="1:1" s="287" customFormat="1" ht="12" hidden="1" customHeight="1">
      <c r="A12064" s="286"/>
    </row>
    <row r="12065" spans="1:1" s="287" customFormat="1" ht="12" hidden="1" customHeight="1">
      <c r="A12065" s="286"/>
    </row>
    <row r="12066" spans="1:1" s="287" customFormat="1" ht="12" hidden="1" customHeight="1">
      <c r="A12066" s="286"/>
    </row>
    <row r="12067" spans="1:1" s="287" customFormat="1" ht="12" hidden="1" customHeight="1">
      <c r="A12067" s="286"/>
    </row>
    <row r="12068" spans="1:1" s="287" customFormat="1" ht="12" hidden="1" customHeight="1">
      <c r="A12068" s="286"/>
    </row>
    <row r="12069" spans="1:1" s="287" customFormat="1" ht="12" hidden="1" customHeight="1">
      <c r="A12069" s="286"/>
    </row>
    <row r="12070" spans="1:1" s="287" customFormat="1" ht="12" hidden="1" customHeight="1">
      <c r="A12070" s="286"/>
    </row>
    <row r="12071" spans="1:1" s="287" customFormat="1" ht="12" hidden="1" customHeight="1">
      <c r="A12071" s="286"/>
    </row>
    <row r="12072" spans="1:1" s="287" customFormat="1" ht="12" hidden="1" customHeight="1">
      <c r="A12072" s="286"/>
    </row>
    <row r="12073" spans="1:1" s="287" customFormat="1" ht="12" hidden="1" customHeight="1">
      <c r="A12073" s="286"/>
    </row>
    <row r="12074" spans="1:1" s="287" customFormat="1" ht="12" hidden="1" customHeight="1">
      <c r="A12074" s="286"/>
    </row>
    <row r="12075" spans="1:1" s="287" customFormat="1" ht="12" hidden="1" customHeight="1">
      <c r="A12075" s="286"/>
    </row>
    <row r="12076" spans="1:1" s="287" customFormat="1" ht="12" hidden="1" customHeight="1">
      <c r="A12076" s="286"/>
    </row>
    <row r="12077" spans="1:1" s="287" customFormat="1" ht="12" hidden="1" customHeight="1">
      <c r="A12077" s="286"/>
    </row>
    <row r="12078" spans="1:1" s="287" customFormat="1" ht="12" hidden="1" customHeight="1">
      <c r="A12078" s="286"/>
    </row>
    <row r="12079" spans="1:1" s="287" customFormat="1" ht="12" hidden="1" customHeight="1">
      <c r="A12079" s="286"/>
    </row>
    <row r="12080" spans="1:1" s="287" customFormat="1" ht="12" hidden="1" customHeight="1">
      <c r="A12080" s="286"/>
    </row>
    <row r="12081" spans="1:1" s="287" customFormat="1" ht="12" hidden="1" customHeight="1">
      <c r="A12081" s="286"/>
    </row>
    <row r="12082" spans="1:1" s="287" customFormat="1" ht="12" hidden="1" customHeight="1">
      <c r="A12082" s="286"/>
    </row>
    <row r="12083" spans="1:1" s="287" customFormat="1" ht="12" hidden="1" customHeight="1">
      <c r="A12083" s="286"/>
    </row>
    <row r="12084" spans="1:1" s="287" customFormat="1" ht="12" hidden="1" customHeight="1">
      <c r="A12084" s="286"/>
    </row>
    <row r="12085" spans="1:1" s="287" customFormat="1" ht="12" hidden="1" customHeight="1">
      <c r="A12085" s="286"/>
    </row>
    <row r="12086" spans="1:1" s="287" customFormat="1" ht="12" hidden="1" customHeight="1">
      <c r="A12086" s="286"/>
    </row>
    <row r="12087" spans="1:1" s="287" customFormat="1" ht="12" hidden="1" customHeight="1">
      <c r="A12087" s="286"/>
    </row>
    <row r="12088" spans="1:1" s="287" customFormat="1" ht="12" hidden="1" customHeight="1">
      <c r="A12088" s="286"/>
    </row>
    <row r="12089" spans="1:1" s="287" customFormat="1" ht="12" hidden="1" customHeight="1">
      <c r="A12089" s="286"/>
    </row>
    <row r="12090" spans="1:1" s="287" customFormat="1" ht="12" hidden="1" customHeight="1">
      <c r="A12090" s="286"/>
    </row>
    <row r="12091" spans="1:1" s="287" customFormat="1" ht="12" hidden="1" customHeight="1">
      <c r="A12091" s="286"/>
    </row>
    <row r="12092" spans="1:1" s="287" customFormat="1" ht="12" hidden="1" customHeight="1">
      <c r="A12092" s="286"/>
    </row>
    <row r="12093" spans="1:1" s="287" customFormat="1" ht="12" hidden="1" customHeight="1">
      <c r="A12093" s="286"/>
    </row>
    <row r="12094" spans="1:1" s="287" customFormat="1" ht="12" hidden="1" customHeight="1">
      <c r="A12094" s="286"/>
    </row>
    <row r="12095" spans="1:1" s="287" customFormat="1" ht="12" hidden="1" customHeight="1">
      <c r="A12095" s="286"/>
    </row>
    <row r="12096" spans="1:1" s="287" customFormat="1" ht="12" hidden="1" customHeight="1">
      <c r="A12096" s="286"/>
    </row>
    <row r="12097" spans="1:1" s="287" customFormat="1" ht="12" hidden="1" customHeight="1">
      <c r="A12097" s="286"/>
    </row>
    <row r="12098" spans="1:1" s="287" customFormat="1" ht="12" hidden="1" customHeight="1">
      <c r="A12098" s="286"/>
    </row>
    <row r="12099" spans="1:1" s="287" customFormat="1" ht="12" hidden="1" customHeight="1">
      <c r="A12099" s="286"/>
    </row>
    <row r="12100" spans="1:1" s="287" customFormat="1" ht="12" hidden="1" customHeight="1">
      <c r="A12100" s="286"/>
    </row>
    <row r="12101" spans="1:1" s="287" customFormat="1" ht="12" hidden="1" customHeight="1">
      <c r="A12101" s="286"/>
    </row>
    <row r="12102" spans="1:1" s="287" customFormat="1" ht="12" hidden="1" customHeight="1">
      <c r="A12102" s="286"/>
    </row>
    <row r="12103" spans="1:1" s="287" customFormat="1" ht="12" hidden="1" customHeight="1">
      <c r="A12103" s="286"/>
    </row>
    <row r="12104" spans="1:1" s="287" customFormat="1" ht="12" hidden="1" customHeight="1">
      <c r="A12104" s="286"/>
    </row>
    <row r="12105" spans="1:1" s="287" customFormat="1" ht="12" hidden="1" customHeight="1">
      <c r="A12105" s="286"/>
    </row>
    <row r="12106" spans="1:1" s="287" customFormat="1" ht="12" hidden="1" customHeight="1">
      <c r="A12106" s="286"/>
    </row>
    <row r="12107" spans="1:1" s="287" customFormat="1" ht="12" hidden="1" customHeight="1">
      <c r="A12107" s="286"/>
    </row>
    <row r="12108" spans="1:1" s="287" customFormat="1" ht="12" hidden="1" customHeight="1">
      <c r="A12108" s="286"/>
    </row>
    <row r="12109" spans="1:1" s="287" customFormat="1" ht="12" hidden="1" customHeight="1">
      <c r="A12109" s="286"/>
    </row>
    <row r="12110" spans="1:1" s="287" customFormat="1" ht="12" hidden="1" customHeight="1">
      <c r="A12110" s="286"/>
    </row>
    <row r="12111" spans="1:1" s="287" customFormat="1" ht="12" hidden="1" customHeight="1">
      <c r="A12111" s="286"/>
    </row>
    <row r="12112" spans="1:1" s="287" customFormat="1" ht="12" hidden="1" customHeight="1">
      <c r="A12112" s="286"/>
    </row>
    <row r="12113" spans="1:1" s="287" customFormat="1" ht="12" hidden="1" customHeight="1">
      <c r="A12113" s="286"/>
    </row>
    <row r="12114" spans="1:1" s="287" customFormat="1" ht="12" hidden="1" customHeight="1">
      <c r="A12114" s="286"/>
    </row>
    <row r="12115" spans="1:1" s="287" customFormat="1" ht="12" hidden="1" customHeight="1">
      <c r="A12115" s="286"/>
    </row>
    <row r="12116" spans="1:1" s="287" customFormat="1" ht="12" hidden="1" customHeight="1">
      <c r="A12116" s="286"/>
    </row>
    <row r="12117" spans="1:1" s="287" customFormat="1" ht="12" hidden="1" customHeight="1">
      <c r="A12117" s="286"/>
    </row>
    <row r="12118" spans="1:1" s="287" customFormat="1" ht="12" hidden="1" customHeight="1">
      <c r="A12118" s="286"/>
    </row>
    <row r="12119" spans="1:1" s="287" customFormat="1" ht="12" hidden="1" customHeight="1">
      <c r="A12119" s="286"/>
    </row>
    <row r="12120" spans="1:1" s="287" customFormat="1" ht="12" hidden="1" customHeight="1">
      <c r="A12120" s="286"/>
    </row>
    <row r="12121" spans="1:1" s="287" customFormat="1" ht="12" hidden="1" customHeight="1">
      <c r="A12121" s="286"/>
    </row>
    <row r="12122" spans="1:1" s="287" customFormat="1" ht="12" hidden="1" customHeight="1">
      <c r="A12122" s="286"/>
    </row>
    <row r="12123" spans="1:1" s="287" customFormat="1" ht="12" hidden="1" customHeight="1">
      <c r="A12123" s="286"/>
    </row>
    <row r="12124" spans="1:1" s="287" customFormat="1" ht="12" hidden="1" customHeight="1">
      <c r="A12124" s="286"/>
    </row>
    <row r="12125" spans="1:1" s="287" customFormat="1" ht="12" hidden="1" customHeight="1">
      <c r="A12125" s="286"/>
    </row>
    <row r="12126" spans="1:1" s="287" customFormat="1" ht="12" hidden="1" customHeight="1">
      <c r="A12126" s="286"/>
    </row>
    <row r="12127" spans="1:1" s="287" customFormat="1" ht="12" hidden="1" customHeight="1">
      <c r="A12127" s="286"/>
    </row>
    <row r="12128" spans="1:1" s="287" customFormat="1" ht="12" hidden="1" customHeight="1">
      <c r="A12128" s="286"/>
    </row>
    <row r="12129" spans="1:1" s="287" customFormat="1" ht="12" hidden="1" customHeight="1">
      <c r="A12129" s="286"/>
    </row>
    <row r="12130" spans="1:1" s="287" customFormat="1" ht="12" hidden="1" customHeight="1">
      <c r="A12130" s="286"/>
    </row>
    <row r="12131" spans="1:1" s="287" customFormat="1" ht="12" hidden="1" customHeight="1">
      <c r="A12131" s="286"/>
    </row>
    <row r="12132" spans="1:1" s="287" customFormat="1" ht="12" hidden="1" customHeight="1">
      <c r="A12132" s="286"/>
    </row>
    <row r="12133" spans="1:1" s="287" customFormat="1" ht="12" hidden="1" customHeight="1">
      <c r="A12133" s="286"/>
    </row>
    <row r="12134" spans="1:1" s="287" customFormat="1" ht="12" hidden="1" customHeight="1">
      <c r="A12134" s="286"/>
    </row>
    <row r="12135" spans="1:1" s="287" customFormat="1" ht="12" hidden="1" customHeight="1">
      <c r="A12135" s="286"/>
    </row>
    <row r="12136" spans="1:1" s="287" customFormat="1" ht="12" hidden="1" customHeight="1">
      <c r="A12136" s="286"/>
    </row>
    <row r="12137" spans="1:1" s="287" customFormat="1" ht="12" hidden="1" customHeight="1">
      <c r="A12137" s="286"/>
    </row>
    <row r="12138" spans="1:1" s="287" customFormat="1" ht="12" hidden="1" customHeight="1">
      <c r="A12138" s="286"/>
    </row>
    <row r="12139" spans="1:1" s="287" customFormat="1" ht="12" hidden="1" customHeight="1">
      <c r="A12139" s="286"/>
    </row>
    <row r="12140" spans="1:1" s="287" customFormat="1" ht="12" hidden="1" customHeight="1">
      <c r="A12140" s="286"/>
    </row>
    <row r="12141" spans="1:1" s="287" customFormat="1" ht="12" hidden="1" customHeight="1">
      <c r="A12141" s="286"/>
    </row>
    <row r="12142" spans="1:1" s="287" customFormat="1" ht="12" hidden="1" customHeight="1">
      <c r="A12142" s="286"/>
    </row>
    <row r="12143" spans="1:1" s="287" customFormat="1" ht="12" hidden="1" customHeight="1">
      <c r="A12143" s="286"/>
    </row>
    <row r="12144" spans="1:1" s="287" customFormat="1" ht="12" hidden="1" customHeight="1">
      <c r="A12144" s="286"/>
    </row>
    <row r="12145" spans="1:1" s="287" customFormat="1" ht="12" hidden="1" customHeight="1">
      <c r="A12145" s="286"/>
    </row>
    <row r="12146" spans="1:1" s="287" customFormat="1" ht="12" hidden="1" customHeight="1">
      <c r="A12146" s="286"/>
    </row>
    <row r="12147" spans="1:1" s="287" customFormat="1" ht="12" hidden="1" customHeight="1">
      <c r="A12147" s="286"/>
    </row>
    <row r="12148" spans="1:1" s="287" customFormat="1" ht="12" hidden="1" customHeight="1">
      <c r="A12148" s="286"/>
    </row>
    <row r="12149" spans="1:1" s="287" customFormat="1" ht="12" hidden="1" customHeight="1">
      <c r="A12149" s="286"/>
    </row>
    <row r="12150" spans="1:1" s="287" customFormat="1" ht="12" hidden="1" customHeight="1">
      <c r="A12150" s="286"/>
    </row>
    <row r="12151" spans="1:1" s="287" customFormat="1" ht="12" hidden="1" customHeight="1">
      <c r="A12151" s="286"/>
    </row>
    <row r="12152" spans="1:1" s="287" customFormat="1" ht="12" hidden="1" customHeight="1">
      <c r="A12152" s="286"/>
    </row>
    <row r="12153" spans="1:1" s="287" customFormat="1" ht="12" hidden="1" customHeight="1">
      <c r="A12153" s="286"/>
    </row>
    <row r="12154" spans="1:1" s="287" customFormat="1" ht="12" hidden="1" customHeight="1">
      <c r="A12154" s="286"/>
    </row>
    <row r="12155" spans="1:1" s="287" customFormat="1" ht="12" hidden="1" customHeight="1">
      <c r="A12155" s="286"/>
    </row>
    <row r="12156" spans="1:1" s="287" customFormat="1" ht="12" hidden="1" customHeight="1">
      <c r="A12156" s="286"/>
    </row>
    <row r="12157" spans="1:1" s="287" customFormat="1" ht="12" hidden="1" customHeight="1">
      <c r="A12157" s="286"/>
    </row>
    <row r="12158" spans="1:1" s="287" customFormat="1" ht="12" hidden="1" customHeight="1">
      <c r="A12158" s="286"/>
    </row>
    <row r="12159" spans="1:1" s="287" customFormat="1" ht="12" hidden="1" customHeight="1">
      <c r="A12159" s="286"/>
    </row>
    <row r="12160" spans="1:1" s="287" customFormat="1" ht="12" hidden="1" customHeight="1">
      <c r="A12160" s="286"/>
    </row>
    <row r="12161" spans="1:1" s="287" customFormat="1" ht="12" hidden="1" customHeight="1">
      <c r="A12161" s="286"/>
    </row>
    <row r="12162" spans="1:1" s="287" customFormat="1" ht="12" hidden="1" customHeight="1">
      <c r="A12162" s="286"/>
    </row>
    <row r="12163" spans="1:1" s="287" customFormat="1" ht="12" hidden="1" customHeight="1">
      <c r="A12163" s="286"/>
    </row>
    <row r="12164" spans="1:1" s="287" customFormat="1" ht="12" hidden="1" customHeight="1">
      <c r="A12164" s="286"/>
    </row>
    <row r="12165" spans="1:1" s="287" customFormat="1" ht="12" hidden="1" customHeight="1">
      <c r="A12165" s="286"/>
    </row>
    <row r="12166" spans="1:1" s="287" customFormat="1" ht="12" hidden="1" customHeight="1">
      <c r="A12166" s="286"/>
    </row>
    <row r="12167" spans="1:1" s="287" customFormat="1" ht="12" hidden="1" customHeight="1">
      <c r="A12167" s="286"/>
    </row>
    <row r="12168" spans="1:1" s="287" customFormat="1" ht="12" hidden="1" customHeight="1">
      <c r="A12168" s="286"/>
    </row>
    <row r="12169" spans="1:1" s="287" customFormat="1" ht="12" hidden="1" customHeight="1">
      <c r="A12169" s="286"/>
    </row>
    <row r="12170" spans="1:1" s="287" customFormat="1" ht="12" hidden="1" customHeight="1">
      <c r="A12170" s="286"/>
    </row>
    <row r="12171" spans="1:1" s="287" customFormat="1" ht="12" hidden="1" customHeight="1">
      <c r="A12171" s="286"/>
    </row>
    <row r="12172" spans="1:1" s="287" customFormat="1" ht="12" hidden="1" customHeight="1">
      <c r="A12172" s="286"/>
    </row>
    <row r="12173" spans="1:1" s="287" customFormat="1" ht="12" hidden="1" customHeight="1">
      <c r="A12173" s="286"/>
    </row>
    <row r="12174" spans="1:1" s="287" customFormat="1" ht="12" hidden="1" customHeight="1">
      <c r="A12174" s="286"/>
    </row>
    <row r="12175" spans="1:1" s="287" customFormat="1" ht="12" hidden="1" customHeight="1">
      <c r="A12175" s="286"/>
    </row>
    <row r="12176" spans="1:1" s="287" customFormat="1" ht="12" hidden="1" customHeight="1">
      <c r="A12176" s="286"/>
    </row>
    <row r="12177" spans="1:1" s="287" customFormat="1" ht="12" hidden="1" customHeight="1">
      <c r="A12177" s="286"/>
    </row>
    <row r="12178" spans="1:1" s="287" customFormat="1" ht="12" hidden="1" customHeight="1">
      <c r="A12178" s="286"/>
    </row>
    <row r="12179" spans="1:1" s="287" customFormat="1" ht="12" hidden="1" customHeight="1">
      <c r="A12179" s="286"/>
    </row>
    <row r="12180" spans="1:1" s="287" customFormat="1" ht="12" hidden="1" customHeight="1">
      <c r="A12180" s="286"/>
    </row>
    <row r="12181" spans="1:1" s="287" customFormat="1" ht="12" hidden="1" customHeight="1">
      <c r="A12181" s="286"/>
    </row>
    <row r="12182" spans="1:1" s="287" customFormat="1" ht="12" hidden="1" customHeight="1">
      <c r="A12182" s="286"/>
    </row>
    <row r="12183" spans="1:1" s="287" customFormat="1" ht="12" hidden="1" customHeight="1">
      <c r="A12183" s="286"/>
    </row>
    <row r="12184" spans="1:1" s="287" customFormat="1" ht="12" hidden="1" customHeight="1">
      <c r="A12184" s="286"/>
    </row>
    <row r="12185" spans="1:1" s="287" customFormat="1" ht="12" hidden="1" customHeight="1">
      <c r="A12185" s="286"/>
    </row>
    <row r="12186" spans="1:1" s="287" customFormat="1" ht="12" hidden="1" customHeight="1">
      <c r="A12186" s="286"/>
    </row>
    <row r="12187" spans="1:1" s="287" customFormat="1" ht="12" hidden="1" customHeight="1">
      <c r="A12187" s="286"/>
    </row>
    <row r="12188" spans="1:1" s="287" customFormat="1" ht="12" hidden="1" customHeight="1">
      <c r="A12188" s="286"/>
    </row>
    <row r="12189" spans="1:1" s="287" customFormat="1" ht="12" hidden="1" customHeight="1">
      <c r="A12189" s="286"/>
    </row>
    <row r="12190" spans="1:1" s="287" customFormat="1" ht="12" hidden="1" customHeight="1">
      <c r="A12190" s="286"/>
    </row>
    <row r="12191" spans="1:1" s="287" customFormat="1" ht="12" hidden="1" customHeight="1">
      <c r="A12191" s="286"/>
    </row>
    <row r="12192" spans="1:1" s="287" customFormat="1" ht="12" hidden="1" customHeight="1">
      <c r="A12192" s="286"/>
    </row>
    <row r="12193" spans="1:1" s="287" customFormat="1" ht="12" hidden="1" customHeight="1">
      <c r="A12193" s="286"/>
    </row>
    <row r="12194" spans="1:1" s="287" customFormat="1" ht="12" hidden="1" customHeight="1">
      <c r="A12194" s="286"/>
    </row>
    <row r="12195" spans="1:1" s="287" customFormat="1" ht="12" hidden="1" customHeight="1">
      <c r="A12195" s="286"/>
    </row>
    <row r="12196" spans="1:1" s="287" customFormat="1" ht="12" hidden="1" customHeight="1">
      <c r="A12196" s="286"/>
    </row>
    <row r="12197" spans="1:1" s="287" customFormat="1" ht="12" hidden="1" customHeight="1">
      <c r="A12197" s="286"/>
    </row>
    <row r="12198" spans="1:1" s="287" customFormat="1" ht="12" hidden="1" customHeight="1">
      <c r="A12198" s="286"/>
    </row>
    <row r="12199" spans="1:1" s="287" customFormat="1" ht="12" hidden="1" customHeight="1">
      <c r="A12199" s="286"/>
    </row>
    <row r="12200" spans="1:1" s="287" customFormat="1" ht="12" hidden="1" customHeight="1">
      <c r="A12200" s="286"/>
    </row>
    <row r="12201" spans="1:1" s="287" customFormat="1" ht="12" hidden="1" customHeight="1">
      <c r="A12201" s="286"/>
    </row>
    <row r="12202" spans="1:1" s="287" customFormat="1" ht="12" hidden="1" customHeight="1">
      <c r="A12202" s="286"/>
    </row>
    <row r="12203" spans="1:1" s="287" customFormat="1" ht="12" hidden="1" customHeight="1">
      <c r="A12203" s="286"/>
    </row>
    <row r="12204" spans="1:1" s="287" customFormat="1" ht="12" hidden="1" customHeight="1">
      <c r="A12204" s="286"/>
    </row>
    <row r="12205" spans="1:1" s="287" customFormat="1" ht="12" hidden="1" customHeight="1">
      <c r="A12205" s="286"/>
    </row>
    <row r="12206" spans="1:1" s="287" customFormat="1" ht="12" hidden="1" customHeight="1">
      <c r="A12206" s="286"/>
    </row>
    <row r="12207" spans="1:1" s="287" customFormat="1" ht="12" hidden="1" customHeight="1">
      <c r="A12207" s="286"/>
    </row>
    <row r="12208" spans="1:1" s="287" customFormat="1" ht="12" hidden="1" customHeight="1">
      <c r="A12208" s="286"/>
    </row>
    <row r="12209" spans="1:1" s="287" customFormat="1" ht="12" hidden="1" customHeight="1">
      <c r="A12209" s="286"/>
    </row>
    <row r="12210" spans="1:1" s="287" customFormat="1" ht="12" hidden="1" customHeight="1">
      <c r="A12210" s="286"/>
    </row>
    <row r="12211" spans="1:1" s="287" customFormat="1" ht="12" hidden="1" customHeight="1">
      <c r="A12211" s="286"/>
    </row>
    <row r="12212" spans="1:1" s="287" customFormat="1" ht="12" hidden="1" customHeight="1">
      <c r="A12212" s="286"/>
    </row>
    <row r="12213" spans="1:1" s="287" customFormat="1" ht="12" hidden="1" customHeight="1">
      <c r="A12213" s="286"/>
    </row>
    <row r="12214" spans="1:1" s="287" customFormat="1" ht="12" hidden="1" customHeight="1">
      <c r="A12214" s="286"/>
    </row>
    <row r="12215" spans="1:1" s="287" customFormat="1" ht="12" hidden="1" customHeight="1">
      <c r="A12215" s="286"/>
    </row>
    <row r="12216" spans="1:1" s="287" customFormat="1" ht="12" hidden="1" customHeight="1">
      <c r="A12216" s="286"/>
    </row>
    <row r="12217" spans="1:1" s="287" customFormat="1" ht="12" hidden="1" customHeight="1">
      <c r="A12217" s="286"/>
    </row>
    <row r="12218" spans="1:1" s="287" customFormat="1" ht="12" hidden="1" customHeight="1">
      <c r="A12218" s="286"/>
    </row>
    <row r="12219" spans="1:1" s="287" customFormat="1" ht="12" hidden="1" customHeight="1">
      <c r="A12219" s="286"/>
    </row>
    <row r="12220" spans="1:1" s="287" customFormat="1" ht="12" hidden="1" customHeight="1">
      <c r="A12220" s="286"/>
    </row>
    <row r="12221" spans="1:1" s="287" customFormat="1" ht="12" hidden="1" customHeight="1">
      <c r="A12221" s="286"/>
    </row>
    <row r="12222" spans="1:1" s="287" customFormat="1" ht="12" hidden="1" customHeight="1">
      <c r="A12222" s="286"/>
    </row>
    <row r="12223" spans="1:1" s="287" customFormat="1" ht="12" hidden="1" customHeight="1">
      <c r="A12223" s="286"/>
    </row>
    <row r="12224" spans="1:1" s="287" customFormat="1" ht="12" hidden="1" customHeight="1">
      <c r="A12224" s="286"/>
    </row>
    <row r="12225" spans="1:1" s="287" customFormat="1" ht="12" hidden="1" customHeight="1">
      <c r="A12225" s="286"/>
    </row>
    <row r="12226" spans="1:1" s="287" customFormat="1" ht="12" hidden="1" customHeight="1">
      <c r="A12226" s="286"/>
    </row>
    <row r="12227" spans="1:1" s="287" customFormat="1" ht="12" hidden="1" customHeight="1">
      <c r="A12227" s="286"/>
    </row>
    <row r="12228" spans="1:1" s="287" customFormat="1" ht="12" hidden="1" customHeight="1">
      <c r="A12228" s="286"/>
    </row>
    <row r="12229" spans="1:1" s="287" customFormat="1" ht="12" hidden="1" customHeight="1">
      <c r="A12229" s="286"/>
    </row>
    <row r="12230" spans="1:1" s="287" customFormat="1" ht="12" hidden="1" customHeight="1">
      <c r="A12230" s="286"/>
    </row>
    <row r="12231" spans="1:1" s="287" customFormat="1" ht="12" hidden="1" customHeight="1">
      <c r="A12231" s="286"/>
    </row>
    <row r="12232" spans="1:1" s="287" customFormat="1" ht="12" hidden="1" customHeight="1">
      <c r="A12232" s="286"/>
    </row>
    <row r="12233" spans="1:1" s="287" customFormat="1" ht="12" hidden="1" customHeight="1">
      <c r="A12233" s="286"/>
    </row>
    <row r="12234" spans="1:1" s="287" customFormat="1" ht="12" hidden="1" customHeight="1">
      <c r="A12234" s="286"/>
    </row>
    <row r="12235" spans="1:1" s="287" customFormat="1" ht="12" hidden="1" customHeight="1">
      <c r="A12235" s="286"/>
    </row>
    <row r="12236" spans="1:1" s="287" customFormat="1" ht="12" hidden="1" customHeight="1">
      <c r="A12236" s="286"/>
    </row>
    <row r="12237" spans="1:1" s="287" customFormat="1" ht="12" hidden="1" customHeight="1">
      <c r="A12237" s="286"/>
    </row>
    <row r="12238" spans="1:1" s="287" customFormat="1" ht="12" hidden="1" customHeight="1">
      <c r="A12238" s="286"/>
    </row>
    <row r="12239" spans="1:1" s="287" customFormat="1" ht="12" hidden="1" customHeight="1">
      <c r="A12239" s="286"/>
    </row>
    <row r="12240" spans="1:1" s="287" customFormat="1" ht="12" hidden="1" customHeight="1">
      <c r="A12240" s="286"/>
    </row>
    <row r="12241" spans="1:1" s="287" customFormat="1" ht="12" hidden="1" customHeight="1">
      <c r="A12241" s="286"/>
    </row>
    <row r="12242" spans="1:1" s="287" customFormat="1" ht="12" hidden="1" customHeight="1">
      <c r="A12242" s="286"/>
    </row>
    <row r="12243" spans="1:1" s="287" customFormat="1" ht="12" hidden="1" customHeight="1">
      <c r="A12243" s="286"/>
    </row>
    <row r="12244" spans="1:1" s="287" customFormat="1" ht="12" hidden="1" customHeight="1">
      <c r="A12244" s="286"/>
    </row>
    <row r="12245" spans="1:1" s="287" customFormat="1" ht="12" hidden="1" customHeight="1">
      <c r="A12245" s="286"/>
    </row>
    <row r="12246" spans="1:1" s="287" customFormat="1" ht="12" hidden="1" customHeight="1">
      <c r="A12246" s="286"/>
    </row>
    <row r="12247" spans="1:1" s="287" customFormat="1" ht="12" hidden="1" customHeight="1">
      <c r="A12247" s="286"/>
    </row>
    <row r="12248" spans="1:1" s="287" customFormat="1" ht="12" hidden="1" customHeight="1">
      <c r="A12248" s="286"/>
    </row>
    <row r="12249" spans="1:1" s="287" customFormat="1" ht="12" hidden="1" customHeight="1">
      <c r="A12249" s="286"/>
    </row>
    <row r="12250" spans="1:1" s="287" customFormat="1" ht="12" hidden="1" customHeight="1">
      <c r="A12250" s="286"/>
    </row>
    <row r="12251" spans="1:1" s="287" customFormat="1" ht="12" hidden="1" customHeight="1">
      <c r="A12251" s="286"/>
    </row>
    <row r="12252" spans="1:1" s="287" customFormat="1" ht="12" hidden="1" customHeight="1">
      <c r="A12252" s="286"/>
    </row>
    <row r="12253" spans="1:1" s="287" customFormat="1" ht="12" hidden="1" customHeight="1">
      <c r="A12253" s="286"/>
    </row>
    <row r="12254" spans="1:1" s="287" customFormat="1" ht="12" hidden="1" customHeight="1">
      <c r="A12254" s="286"/>
    </row>
    <row r="12255" spans="1:1" s="287" customFormat="1" ht="12" hidden="1" customHeight="1">
      <c r="A12255" s="286"/>
    </row>
    <row r="12256" spans="1:1" s="287" customFormat="1" ht="12" hidden="1" customHeight="1">
      <c r="A12256" s="286"/>
    </row>
    <row r="12257" spans="1:1" s="287" customFormat="1" ht="12" hidden="1" customHeight="1">
      <c r="A12257" s="286"/>
    </row>
    <row r="12258" spans="1:1" s="287" customFormat="1" ht="12" hidden="1" customHeight="1">
      <c r="A12258" s="286"/>
    </row>
    <row r="12259" spans="1:1" s="287" customFormat="1" ht="12" hidden="1" customHeight="1">
      <c r="A12259" s="286"/>
    </row>
    <row r="12260" spans="1:1" s="287" customFormat="1" ht="12" hidden="1" customHeight="1">
      <c r="A12260" s="286"/>
    </row>
    <row r="12261" spans="1:1" s="287" customFormat="1" ht="12" hidden="1" customHeight="1">
      <c r="A12261" s="286"/>
    </row>
    <row r="12262" spans="1:1" s="287" customFormat="1" ht="12" hidden="1" customHeight="1">
      <c r="A12262" s="286"/>
    </row>
    <row r="12263" spans="1:1" s="287" customFormat="1" ht="12" hidden="1" customHeight="1">
      <c r="A12263" s="286"/>
    </row>
    <row r="12264" spans="1:1" s="287" customFormat="1" ht="12" hidden="1" customHeight="1">
      <c r="A12264" s="286"/>
    </row>
    <row r="12265" spans="1:1" s="287" customFormat="1" ht="12" hidden="1" customHeight="1">
      <c r="A12265" s="286"/>
    </row>
    <row r="12266" spans="1:1" s="287" customFormat="1" ht="12" hidden="1" customHeight="1">
      <c r="A12266" s="286"/>
    </row>
    <row r="12267" spans="1:1" s="287" customFormat="1" ht="12" hidden="1" customHeight="1">
      <c r="A12267" s="286"/>
    </row>
    <row r="12268" spans="1:1" s="287" customFormat="1" ht="12" hidden="1" customHeight="1">
      <c r="A12268" s="286"/>
    </row>
    <row r="12269" spans="1:1" s="287" customFormat="1" ht="12" hidden="1" customHeight="1">
      <c r="A12269" s="286"/>
    </row>
    <row r="12270" spans="1:1" s="287" customFormat="1" ht="12" hidden="1" customHeight="1">
      <c r="A12270" s="286"/>
    </row>
    <row r="12271" spans="1:1" s="287" customFormat="1" ht="12" hidden="1" customHeight="1">
      <c r="A12271" s="286"/>
    </row>
    <row r="12272" spans="1:1" s="287" customFormat="1" ht="12" hidden="1" customHeight="1">
      <c r="A12272" s="286"/>
    </row>
    <row r="12273" spans="1:1" s="287" customFormat="1" ht="12" hidden="1" customHeight="1">
      <c r="A12273" s="286"/>
    </row>
    <row r="12274" spans="1:1" s="287" customFormat="1" ht="12" hidden="1" customHeight="1">
      <c r="A12274" s="286"/>
    </row>
    <row r="12275" spans="1:1" s="287" customFormat="1" ht="12" hidden="1" customHeight="1">
      <c r="A12275" s="286"/>
    </row>
    <row r="12276" spans="1:1" s="287" customFormat="1" ht="12" hidden="1" customHeight="1">
      <c r="A12276" s="286"/>
    </row>
    <row r="12277" spans="1:1" s="287" customFormat="1" ht="12" hidden="1" customHeight="1">
      <c r="A12277" s="286"/>
    </row>
    <row r="12278" spans="1:1" s="287" customFormat="1" ht="12" hidden="1" customHeight="1">
      <c r="A12278" s="286"/>
    </row>
    <row r="12279" spans="1:1" s="287" customFormat="1" ht="12" hidden="1" customHeight="1">
      <c r="A12279" s="286"/>
    </row>
    <row r="12280" spans="1:1" s="287" customFormat="1" ht="12" hidden="1" customHeight="1">
      <c r="A12280" s="286"/>
    </row>
    <row r="12281" spans="1:1" s="287" customFormat="1" ht="12" hidden="1" customHeight="1">
      <c r="A12281" s="286"/>
    </row>
    <row r="12282" spans="1:1" s="287" customFormat="1" ht="12" hidden="1" customHeight="1">
      <c r="A12282" s="286"/>
    </row>
    <row r="12283" spans="1:1" s="287" customFormat="1" ht="12" hidden="1" customHeight="1">
      <c r="A12283" s="286"/>
    </row>
    <row r="12284" spans="1:1" s="287" customFormat="1" ht="12" hidden="1" customHeight="1">
      <c r="A12284" s="286"/>
    </row>
    <row r="12285" spans="1:1" s="287" customFormat="1" ht="12" hidden="1" customHeight="1">
      <c r="A12285" s="286"/>
    </row>
    <row r="12286" spans="1:1" s="287" customFormat="1" ht="12" hidden="1" customHeight="1">
      <c r="A12286" s="286"/>
    </row>
    <row r="12287" spans="1:1" s="287" customFormat="1" ht="12" hidden="1" customHeight="1">
      <c r="A12287" s="286"/>
    </row>
    <row r="12288" spans="1:1" s="287" customFormat="1" ht="12" hidden="1" customHeight="1">
      <c r="A12288" s="286"/>
    </row>
    <row r="12289" spans="1:1" s="287" customFormat="1" ht="12" hidden="1" customHeight="1">
      <c r="A12289" s="286"/>
    </row>
    <row r="12290" spans="1:1" s="287" customFormat="1" ht="12" hidden="1" customHeight="1">
      <c r="A12290" s="286"/>
    </row>
    <row r="12291" spans="1:1" s="287" customFormat="1" ht="12" hidden="1" customHeight="1">
      <c r="A12291" s="286"/>
    </row>
    <row r="12292" spans="1:1" s="287" customFormat="1" ht="12" hidden="1" customHeight="1">
      <c r="A12292" s="286"/>
    </row>
    <row r="12293" spans="1:1" s="287" customFormat="1" ht="12" hidden="1" customHeight="1">
      <c r="A12293" s="286"/>
    </row>
    <row r="12294" spans="1:1" s="287" customFormat="1" ht="12" hidden="1" customHeight="1">
      <c r="A12294" s="286"/>
    </row>
    <row r="12295" spans="1:1" s="287" customFormat="1" ht="12" hidden="1" customHeight="1">
      <c r="A12295" s="286"/>
    </row>
    <row r="12296" spans="1:1" s="287" customFormat="1" ht="12" hidden="1" customHeight="1">
      <c r="A12296" s="286"/>
    </row>
    <row r="12297" spans="1:1" s="287" customFormat="1" ht="12" hidden="1" customHeight="1">
      <c r="A12297" s="286"/>
    </row>
    <row r="12298" spans="1:1" s="287" customFormat="1" ht="12" hidden="1" customHeight="1">
      <c r="A12298" s="286"/>
    </row>
    <row r="12299" spans="1:1" s="287" customFormat="1" ht="12" hidden="1" customHeight="1">
      <c r="A12299" s="286"/>
    </row>
    <row r="12300" spans="1:1" s="287" customFormat="1" ht="12" hidden="1" customHeight="1">
      <c r="A12300" s="286"/>
    </row>
    <row r="12301" spans="1:1" s="287" customFormat="1" ht="12" hidden="1" customHeight="1">
      <c r="A12301" s="286"/>
    </row>
    <row r="12302" spans="1:1" s="287" customFormat="1" ht="12" hidden="1" customHeight="1">
      <c r="A12302" s="286"/>
    </row>
    <row r="12303" spans="1:1" s="287" customFormat="1" ht="12" hidden="1" customHeight="1">
      <c r="A12303" s="286"/>
    </row>
    <row r="12304" spans="1:1" s="287" customFormat="1" ht="12" hidden="1" customHeight="1">
      <c r="A12304" s="286"/>
    </row>
    <row r="12305" spans="1:1" s="287" customFormat="1" ht="12" hidden="1" customHeight="1">
      <c r="A12305" s="286"/>
    </row>
    <row r="12306" spans="1:1" s="287" customFormat="1" ht="12" hidden="1" customHeight="1">
      <c r="A12306" s="286"/>
    </row>
    <row r="12307" spans="1:1" s="287" customFormat="1" ht="12" hidden="1" customHeight="1">
      <c r="A12307" s="286"/>
    </row>
    <row r="12308" spans="1:1" s="287" customFormat="1" ht="12" hidden="1" customHeight="1">
      <c r="A12308" s="286"/>
    </row>
    <row r="12309" spans="1:1" s="287" customFormat="1" ht="12" hidden="1" customHeight="1">
      <c r="A12309" s="286"/>
    </row>
    <row r="12310" spans="1:1" s="287" customFormat="1" ht="12" hidden="1" customHeight="1">
      <c r="A12310" s="286"/>
    </row>
    <row r="12311" spans="1:1" s="287" customFormat="1" ht="12" hidden="1" customHeight="1">
      <c r="A12311" s="286"/>
    </row>
    <row r="12312" spans="1:1" s="287" customFormat="1" ht="12" hidden="1" customHeight="1">
      <c r="A12312" s="286"/>
    </row>
    <row r="12313" spans="1:1" s="287" customFormat="1" ht="12" hidden="1" customHeight="1">
      <c r="A12313" s="286"/>
    </row>
    <row r="12314" spans="1:1" s="287" customFormat="1" ht="12" hidden="1" customHeight="1">
      <c r="A12314" s="286"/>
    </row>
    <row r="12315" spans="1:1" s="287" customFormat="1" ht="12" hidden="1" customHeight="1">
      <c r="A12315" s="286"/>
    </row>
    <row r="12316" spans="1:1" s="287" customFormat="1" ht="12" hidden="1" customHeight="1">
      <c r="A12316" s="286"/>
    </row>
    <row r="12317" spans="1:1" s="287" customFormat="1" ht="12" hidden="1" customHeight="1">
      <c r="A12317" s="286"/>
    </row>
    <row r="12318" spans="1:1" s="287" customFormat="1" ht="12" hidden="1" customHeight="1">
      <c r="A12318" s="286"/>
    </row>
    <row r="12319" spans="1:1" s="287" customFormat="1" ht="12" hidden="1" customHeight="1">
      <c r="A12319" s="286"/>
    </row>
    <row r="12320" spans="1:1" s="287" customFormat="1" ht="12" hidden="1" customHeight="1">
      <c r="A12320" s="286"/>
    </row>
    <row r="12321" spans="1:1" s="287" customFormat="1" ht="12" hidden="1" customHeight="1">
      <c r="A12321" s="286"/>
    </row>
    <row r="12322" spans="1:1" s="287" customFormat="1" ht="12" hidden="1" customHeight="1">
      <c r="A12322" s="286"/>
    </row>
    <row r="12323" spans="1:1" s="287" customFormat="1" ht="12" hidden="1" customHeight="1">
      <c r="A12323" s="286"/>
    </row>
    <row r="12324" spans="1:1" s="287" customFormat="1" ht="12" hidden="1" customHeight="1">
      <c r="A12324" s="286"/>
    </row>
    <row r="12325" spans="1:1" s="287" customFormat="1" ht="12" hidden="1" customHeight="1">
      <c r="A12325" s="286"/>
    </row>
    <row r="12326" spans="1:1" s="287" customFormat="1" ht="12" hidden="1" customHeight="1">
      <c r="A12326" s="286"/>
    </row>
    <row r="12327" spans="1:1" s="287" customFormat="1" ht="12" hidden="1" customHeight="1">
      <c r="A12327" s="286"/>
    </row>
    <row r="12328" spans="1:1" s="287" customFormat="1" ht="12" hidden="1" customHeight="1">
      <c r="A12328" s="286"/>
    </row>
    <row r="12329" spans="1:1" s="287" customFormat="1" ht="12" hidden="1" customHeight="1">
      <c r="A12329" s="286"/>
    </row>
    <row r="12330" spans="1:1" s="287" customFormat="1" ht="12" hidden="1" customHeight="1">
      <c r="A12330" s="286"/>
    </row>
    <row r="12331" spans="1:1" s="287" customFormat="1" ht="12" hidden="1" customHeight="1">
      <c r="A12331" s="286"/>
    </row>
    <row r="12332" spans="1:1" s="287" customFormat="1" ht="12" hidden="1" customHeight="1">
      <c r="A12332" s="286"/>
    </row>
    <row r="12333" spans="1:1" s="287" customFormat="1" ht="12" hidden="1" customHeight="1">
      <c r="A12333" s="286"/>
    </row>
    <row r="12334" spans="1:1" s="287" customFormat="1" ht="12" hidden="1" customHeight="1">
      <c r="A12334" s="286"/>
    </row>
    <row r="12335" spans="1:1" s="287" customFormat="1" ht="12" hidden="1" customHeight="1">
      <c r="A12335" s="286"/>
    </row>
    <row r="12336" spans="1:1" s="287" customFormat="1" ht="12" hidden="1" customHeight="1">
      <c r="A12336" s="286"/>
    </row>
    <row r="12337" spans="1:1" s="287" customFormat="1" ht="12" hidden="1" customHeight="1">
      <c r="A12337" s="286"/>
    </row>
    <row r="12338" spans="1:1" s="287" customFormat="1" ht="12" hidden="1" customHeight="1">
      <c r="A12338" s="286"/>
    </row>
    <row r="12339" spans="1:1" s="287" customFormat="1" ht="12" hidden="1" customHeight="1">
      <c r="A12339" s="286"/>
    </row>
    <row r="12340" spans="1:1" s="287" customFormat="1" ht="12" hidden="1" customHeight="1">
      <c r="A12340" s="286"/>
    </row>
    <row r="12341" spans="1:1" s="287" customFormat="1" ht="12" hidden="1" customHeight="1">
      <c r="A12341" s="286"/>
    </row>
    <row r="12342" spans="1:1" s="287" customFormat="1" ht="12" hidden="1" customHeight="1">
      <c r="A12342" s="286"/>
    </row>
    <row r="12343" spans="1:1" s="287" customFormat="1" ht="12" hidden="1" customHeight="1">
      <c r="A12343" s="286"/>
    </row>
    <row r="12344" spans="1:1" s="287" customFormat="1" ht="12" hidden="1" customHeight="1">
      <c r="A12344" s="286"/>
    </row>
    <row r="12345" spans="1:1" s="287" customFormat="1" ht="12" hidden="1" customHeight="1">
      <c r="A12345" s="286"/>
    </row>
    <row r="12346" spans="1:1" s="287" customFormat="1" ht="12" hidden="1" customHeight="1">
      <c r="A12346" s="286"/>
    </row>
    <row r="12347" spans="1:1" s="287" customFormat="1" ht="12" hidden="1" customHeight="1">
      <c r="A12347" s="286"/>
    </row>
    <row r="12348" spans="1:1" s="287" customFormat="1" ht="12" hidden="1" customHeight="1">
      <c r="A12348" s="286"/>
    </row>
    <row r="12349" spans="1:1" s="287" customFormat="1" ht="12" hidden="1" customHeight="1">
      <c r="A12349" s="286"/>
    </row>
    <row r="12350" spans="1:1" s="287" customFormat="1" ht="12" hidden="1" customHeight="1">
      <c r="A12350" s="286"/>
    </row>
    <row r="12351" spans="1:1" s="287" customFormat="1" ht="12" hidden="1" customHeight="1">
      <c r="A12351" s="286"/>
    </row>
    <row r="12352" spans="1:1" s="287" customFormat="1" ht="12" hidden="1" customHeight="1">
      <c r="A12352" s="286"/>
    </row>
    <row r="12353" spans="1:1" s="287" customFormat="1" ht="12" hidden="1" customHeight="1">
      <c r="A12353" s="286"/>
    </row>
    <row r="12354" spans="1:1" s="287" customFormat="1" ht="12" hidden="1" customHeight="1">
      <c r="A12354" s="286"/>
    </row>
    <row r="12355" spans="1:1" s="287" customFormat="1" ht="12" hidden="1" customHeight="1">
      <c r="A12355" s="286"/>
    </row>
    <row r="12356" spans="1:1" s="287" customFormat="1" ht="12" hidden="1" customHeight="1">
      <c r="A12356" s="286"/>
    </row>
    <row r="12357" spans="1:1" s="287" customFormat="1" ht="12" hidden="1" customHeight="1">
      <c r="A12357" s="286"/>
    </row>
    <row r="12358" spans="1:1" s="287" customFormat="1" ht="12" hidden="1" customHeight="1">
      <c r="A12358" s="286"/>
    </row>
    <row r="12359" spans="1:1" s="287" customFormat="1" ht="12" hidden="1" customHeight="1">
      <c r="A12359" s="286"/>
    </row>
    <row r="12360" spans="1:1" s="287" customFormat="1" ht="12" hidden="1" customHeight="1">
      <c r="A12360" s="286"/>
    </row>
    <row r="12361" spans="1:1" s="287" customFormat="1" ht="12" hidden="1" customHeight="1">
      <c r="A12361" s="286"/>
    </row>
    <row r="12362" spans="1:1" s="287" customFormat="1" ht="12" hidden="1" customHeight="1">
      <c r="A12362" s="286"/>
    </row>
    <row r="12363" spans="1:1" s="287" customFormat="1" ht="12" hidden="1" customHeight="1">
      <c r="A12363" s="286"/>
    </row>
    <row r="12364" spans="1:1" s="287" customFormat="1" ht="12" hidden="1" customHeight="1">
      <c r="A12364" s="286"/>
    </row>
    <row r="12365" spans="1:1" s="287" customFormat="1" ht="12" hidden="1" customHeight="1">
      <c r="A12365" s="286"/>
    </row>
    <row r="12366" spans="1:1" s="287" customFormat="1" ht="12" hidden="1" customHeight="1">
      <c r="A12366" s="286"/>
    </row>
    <row r="12367" spans="1:1" s="287" customFormat="1" ht="12" hidden="1" customHeight="1">
      <c r="A12367" s="286"/>
    </row>
    <row r="12368" spans="1:1" s="287" customFormat="1" ht="12" hidden="1" customHeight="1">
      <c r="A12368" s="286"/>
    </row>
    <row r="12369" spans="1:1" s="287" customFormat="1" ht="12" hidden="1" customHeight="1">
      <c r="A12369" s="286"/>
    </row>
    <row r="12370" spans="1:1" s="287" customFormat="1" ht="12" hidden="1" customHeight="1">
      <c r="A12370" s="286"/>
    </row>
    <row r="12371" spans="1:1" s="287" customFormat="1" ht="12" hidden="1" customHeight="1">
      <c r="A12371" s="286"/>
    </row>
    <row r="12372" spans="1:1" s="287" customFormat="1" ht="12" hidden="1" customHeight="1">
      <c r="A12372" s="286"/>
    </row>
    <row r="12373" spans="1:1" s="287" customFormat="1" ht="12" hidden="1" customHeight="1">
      <c r="A12373" s="286"/>
    </row>
    <row r="12374" spans="1:1" s="287" customFormat="1" ht="12" hidden="1" customHeight="1">
      <c r="A12374" s="286"/>
    </row>
    <row r="12375" spans="1:1" s="287" customFormat="1" ht="12" hidden="1" customHeight="1">
      <c r="A12375" s="286"/>
    </row>
    <row r="12376" spans="1:1" s="287" customFormat="1" ht="12" hidden="1" customHeight="1">
      <c r="A12376" s="286"/>
    </row>
    <row r="12377" spans="1:1" s="287" customFormat="1" ht="12" hidden="1" customHeight="1">
      <c r="A12377" s="286"/>
    </row>
    <row r="12378" spans="1:1" s="287" customFormat="1" ht="12" hidden="1" customHeight="1">
      <c r="A12378" s="286"/>
    </row>
    <row r="12379" spans="1:1" s="287" customFormat="1" ht="12" hidden="1" customHeight="1">
      <c r="A12379" s="286"/>
    </row>
    <row r="12380" spans="1:1" s="287" customFormat="1" ht="12" hidden="1" customHeight="1">
      <c r="A12380" s="286"/>
    </row>
    <row r="12381" spans="1:1" s="287" customFormat="1" ht="12" hidden="1" customHeight="1">
      <c r="A12381" s="286"/>
    </row>
    <row r="12382" spans="1:1" s="287" customFormat="1" ht="12" hidden="1" customHeight="1">
      <c r="A12382" s="286"/>
    </row>
    <row r="12383" spans="1:1" s="287" customFormat="1" ht="12" hidden="1" customHeight="1">
      <c r="A12383" s="286"/>
    </row>
    <row r="12384" spans="1:1" s="287" customFormat="1" ht="12" hidden="1" customHeight="1">
      <c r="A12384" s="286"/>
    </row>
    <row r="12385" spans="1:1" s="287" customFormat="1" ht="12" hidden="1" customHeight="1">
      <c r="A12385" s="286"/>
    </row>
    <row r="12386" spans="1:1" s="287" customFormat="1" ht="12" hidden="1" customHeight="1">
      <c r="A12386" s="286"/>
    </row>
    <row r="12387" spans="1:1" s="287" customFormat="1" ht="12" hidden="1" customHeight="1">
      <c r="A12387" s="286"/>
    </row>
    <row r="12388" spans="1:1" s="287" customFormat="1" ht="12" hidden="1" customHeight="1">
      <c r="A12388" s="286"/>
    </row>
    <row r="12389" spans="1:1" s="287" customFormat="1" ht="12" hidden="1" customHeight="1">
      <c r="A12389" s="286"/>
    </row>
    <row r="12390" spans="1:1" s="287" customFormat="1" ht="12" hidden="1" customHeight="1">
      <c r="A12390" s="286"/>
    </row>
    <row r="12391" spans="1:1" s="287" customFormat="1" ht="12" hidden="1" customHeight="1">
      <c r="A12391" s="286"/>
    </row>
    <row r="12392" spans="1:1" s="287" customFormat="1" ht="12" hidden="1" customHeight="1">
      <c r="A12392" s="286"/>
    </row>
    <row r="12393" spans="1:1" s="287" customFormat="1" ht="12" hidden="1" customHeight="1">
      <c r="A12393" s="286"/>
    </row>
    <row r="12394" spans="1:1" s="287" customFormat="1" ht="12" hidden="1" customHeight="1">
      <c r="A12394" s="286"/>
    </row>
    <row r="12395" spans="1:1" s="287" customFormat="1" ht="12" hidden="1" customHeight="1">
      <c r="A12395" s="286"/>
    </row>
    <row r="12396" spans="1:1" s="287" customFormat="1" ht="12" hidden="1" customHeight="1">
      <c r="A12396" s="286"/>
    </row>
    <row r="12397" spans="1:1" s="287" customFormat="1" ht="12" hidden="1" customHeight="1">
      <c r="A12397" s="286"/>
    </row>
    <row r="12398" spans="1:1" s="287" customFormat="1" ht="12" hidden="1" customHeight="1">
      <c r="A12398" s="286"/>
    </row>
    <row r="12399" spans="1:1" s="287" customFormat="1" ht="12" hidden="1" customHeight="1">
      <c r="A12399" s="286"/>
    </row>
    <row r="12400" spans="1:1" s="287" customFormat="1" ht="12" hidden="1" customHeight="1">
      <c r="A12400" s="286"/>
    </row>
    <row r="12401" spans="1:1" s="287" customFormat="1" ht="12" hidden="1" customHeight="1">
      <c r="A12401" s="286"/>
    </row>
    <row r="12402" spans="1:1" s="287" customFormat="1" ht="12" hidden="1" customHeight="1">
      <c r="A12402" s="286"/>
    </row>
    <row r="12403" spans="1:1" s="287" customFormat="1" ht="12" hidden="1" customHeight="1">
      <c r="A12403" s="286"/>
    </row>
    <row r="12404" spans="1:1" s="287" customFormat="1" ht="12" hidden="1" customHeight="1">
      <c r="A12404" s="286"/>
    </row>
    <row r="12405" spans="1:1" s="287" customFormat="1" ht="12" hidden="1" customHeight="1">
      <c r="A12405" s="286"/>
    </row>
    <row r="12406" spans="1:1" s="287" customFormat="1" ht="12" hidden="1" customHeight="1">
      <c r="A12406" s="286"/>
    </row>
    <row r="12407" spans="1:1" s="287" customFormat="1" ht="12" hidden="1" customHeight="1">
      <c r="A12407" s="286"/>
    </row>
    <row r="12408" spans="1:1" s="287" customFormat="1" ht="12" hidden="1" customHeight="1">
      <c r="A12408" s="286"/>
    </row>
    <row r="12409" spans="1:1" s="287" customFormat="1" ht="12" hidden="1" customHeight="1">
      <c r="A12409" s="286"/>
    </row>
    <row r="12410" spans="1:1" s="287" customFormat="1" ht="12" hidden="1" customHeight="1">
      <c r="A12410" s="286"/>
    </row>
    <row r="12411" spans="1:1" s="287" customFormat="1" ht="12" hidden="1" customHeight="1">
      <c r="A12411" s="286"/>
    </row>
    <row r="12412" spans="1:1" s="287" customFormat="1" ht="12" hidden="1" customHeight="1">
      <c r="A12412" s="286"/>
    </row>
    <row r="12413" spans="1:1" s="287" customFormat="1" ht="12" hidden="1" customHeight="1">
      <c r="A12413" s="286"/>
    </row>
    <row r="12414" spans="1:1" s="287" customFormat="1" ht="12" hidden="1" customHeight="1">
      <c r="A12414" s="286"/>
    </row>
    <row r="12415" spans="1:1" s="287" customFormat="1" ht="12" hidden="1" customHeight="1">
      <c r="A12415" s="286"/>
    </row>
    <row r="12416" spans="1:1" s="287" customFormat="1" ht="12" hidden="1" customHeight="1">
      <c r="A12416" s="286"/>
    </row>
    <row r="12417" spans="1:1" s="287" customFormat="1" ht="12" hidden="1" customHeight="1">
      <c r="A12417" s="286"/>
    </row>
    <row r="12418" spans="1:1" s="287" customFormat="1" ht="12" hidden="1" customHeight="1">
      <c r="A12418" s="286"/>
    </row>
    <row r="12419" spans="1:1" s="287" customFormat="1" ht="12" hidden="1" customHeight="1">
      <c r="A12419" s="286"/>
    </row>
    <row r="12420" spans="1:1" s="287" customFormat="1" ht="12" hidden="1" customHeight="1">
      <c r="A12420" s="286"/>
    </row>
    <row r="12421" spans="1:1" s="287" customFormat="1" ht="12" hidden="1" customHeight="1">
      <c r="A12421" s="286"/>
    </row>
    <row r="12422" spans="1:1" s="287" customFormat="1" ht="12" hidden="1" customHeight="1">
      <c r="A12422" s="286"/>
    </row>
    <row r="12423" spans="1:1" s="287" customFormat="1" ht="12" hidden="1" customHeight="1">
      <c r="A12423" s="286"/>
    </row>
    <row r="12424" spans="1:1" s="287" customFormat="1" ht="12" hidden="1" customHeight="1">
      <c r="A12424" s="286"/>
    </row>
    <row r="12425" spans="1:1" s="287" customFormat="1" ht="12" hidden="1" customHeight="1">
      <c r="A12425" s="286"/>
    </row>
    <row r="12426" spans="1:1" s="287" customFormat="1" ht="12" hidden="1" customHeight="1">
      <c r="A12426" s="286"/>
    </row>
    <row r="12427" spans="1:1" s="287" customFormat="1" ht="12" hidden="1" customHeight="1">
      <c r="A12427" s="286"/>
    </row>
    <row r="12428" spans="1:1" s="287" customFormat="1" ht="12" hidden="1" customHeight="1">
      <c r="A12428" s="286"/>
    </row>
    <row r="12429" spans="1:1" s="287" customFormat="1" ht="12" hidden="1" customHeight="1">
      <c r="A12429" s="286"/>
    </row>
    <row r="12430" spans="1:1" s="287" customFormat="1" ht="12" hidden="1" customHeight="1">
      <c r="A12430" s="286"/>
    </row>
    <row r="12431" spans="1:1" s="287" customFormat="1" ht="12" hidden="1" customHeight="1">
      <c r="A12431" s="286"/>
    </row>
    <row r="12432" spans="1:1" s="287" customFormat="1" ht="12" hidden="1" customHeight="1">
      <c r="A12432" s="286"/>
    </row>
    <row r="12433" spans="1:1" s="287" customFormat="1" ht="12" hidden="1" customHeight="1">
      <c r="A12433" s="286"/>
    </row>
    <row r="12434" spans="1:1" s="287" customFormat="1" ht="12" hidden="1" customHeight="1">
      <c r="A12434" s="286"/>
    </row>
    <row r="12435" spans="1:1" s="287" customFormat="1" ht="12" hidden="1" customHeight="1">
      <c r="A12435" s="286"/>
    </row>
    <row r="12436" spans="1:1" s="287" customFormat="1" ht="12" hidden="1" customHeight="1">
      <c r="A12436" s="286"/>
    </row>
    <row r="12437" spans="1:1" s="287" customFormat="1" ht="12" hidden="1" customHeight="1">
      <c r="A12437" s="286"/>
    </row>
    <row r="12438" spans="1:1" s="287" customFormat="1" ht="12" hidden="1" customHeight="1">
      <c r="A12438" s="286"/>
    </row>
    <row r="12439" spans="1:1" s="287" customFormat="1" ht="12" hidden="1" customHeight="1">
      <c r="A12439" s="286"/>
    </row>
    <row r="12440" spans="1:1" s="287" customFormat="1" ht="12" hidden="1" customHeight="1">
      <c r="A12440" s="286"/>
    </row>
    <row r="12441" spans="1:1" s="287" customFormat="1" ht="12" hidden="1" customHeight="1">
      <c r="A12441" s="286"/>
    </row>
    <row r="12442" spans="1:1" s="287" customFormat="1" ht="12" hidden="1" customHeight="1">
      <c r="A12442" s="286"/>
    </row>
    <row r="12443" spans="1:1" s="287" customFormat="1" ht="12" hidden="1" customHeight="1">
      <c r="A12443" s="286"/>
    </row>
    <row r="12444" spans="1:1" s="287" customFormat="1" ht="12" hidden="1" customHeight="1">
      <c r="A12444" s="286"/>
    </row>
    <row r="12445" spans="1:1" s="287" customFormat="1" ht="12" hidden="1" customHeight="1">
      <c r="A12445" s="286"/>
    </row>
    <row r="12446" spans="1:1" s="287" customFormat="1" ht="12" hidden="1" customHeight="1">
      <c r="A12446" s="286"/>
    </row>
    <row r="12447" spans="1:1" s="287" customFormat="1" ht="12" hidden="1" customHeight="1">
      <c r="A12447" s="286"/>
    </row>
    <row r="12448" spans="1:1" s="287" customFormat="1" ht="12" hidden="1" customHeight="1">
      <c r="A12448" s="286"/>
    </row>
    <row r="12449" spans="1:1" s="287" customFormat="1" ht="12" hidden="1" customHeight="1">
      <c r="A12449" s="286"/>
    </row>
    <row r="12450" spans="1:1" s="287" customFormat="1" ht="12" hidden="1" customHeight="1">
      <c r="A12450" s="286"/>
    </row>
    <row r="12451" spans="1:1" s="287" customFormat="1" ht="12" hidden="1" customHeight="1">
      <c r="A12451" s="286"/>
    </row>
    <row r="12452" spans="1:1" s="287" customFormat="1" ht="12" hidden="1" customHeight="1">
      <c r="A12452" s="286"/>
    </row>
    <row r="12453" spans="1:1" s="287" customFormat="1" ht="12" hidden="1" customHeight="1">
      <c r="A12453" s="286"/>
    </row>
    <row r="12454" spans="1:1" s="287" customFormat="1" ht="12" hidden="1" customHeight="1">
      <c r="A12454" s="286"/>
    </row>
    <row r="12455" spans="1:1" s="287" customFormat="1" ht="12" hidden="1" customHeight="1">
      <c r="A12455" s="286"/>
    </row>
    <row r="12456" spans="1:1" s="287" customFormat="1" ht="12" hidden="1" customHeight="1">
      <c r="A12456" s="286"/>
    </row>
    <row r="12457" spans="1:1" s="287" customFormat="1" ht="12" hidden="1" customHeight="1">
      <c r="A12457" s="286"/>
    </row>
    <row r="12458" spans="1:1" s="287" customFormat="1" ht="12" hidden="1" customHeight="1">
      <c r="A12458" s="286"/>
    </row>
    <row r="12459" spans="1:1" s="287" customFormat="1" ht="12" hidden="1" customHeight="1">
      <c r="A12459" s="286"/>
    </row>
    <row r="12460" spans="1:1" s="287" customFormat="1" ht="12" hidden="1" customHeight="1">
      <c r="A12460" s="286"/>
    </row>
    <row r="12461" spans="1:1" s="287" customFormat="1" ht="12" hidden="1" customHeight="1">
      <c r="A12461" s="286"/>
    </row>
    <row r="12462" spans="1:1" s="287" customFormat="1" ht="12" hidden="1" customHeight="1">
      <c r="A12462" s="286"/>
    </row>
    <row r="12463" spans="1:1" s="287" customFormat="1" ht="12" hidden="1" customHeight="1">
      <c r="A12463" s="286"/>
    </row>
    <row r="12464" spans="1:1" s="287" customFormat="1" ht="12" hidden="1" customHeight="1">
      <c r="A12464" s="286"/>
    </row>
    <row r="12465" spans="1:1" s="287" customFormat="1" ht="12" hidden="1" customHeight="1">
      <c r="A12465" s="286"/>
    </row>
    <row r="12466" spans="1:1" s="287" customFormat="1" ht="12" hidden="1" customHeight="1">
      <c r="A12466" s="286"/>
    </row>
    <row r="12467" spans="1:1" s="287" customFormat="1" ht="12" hidden="1" customHeight="1">
      <c r="A12467" s="286"/>
    </row>
    <row r="12468" spans="1:1" s="287" customFormat="1" ht="12" hidden="1" customHeight="1">
      <c r="A12468" s="286"/>
    </row>
    <row r="12469" spans="1:1" s="287" customFormat="1" ht="12" hidden="1" customHeight="1">
      <c r="A12469" s="286"/>
    </row>
    <row r="12470" spans="1:1" s="287" customFormat="1" ht="12" hidden="1" customHeight="1">
      <c r="A12470" s="286"/>
    </row>
    <row r="12471" spans="1:1" s="287" customFormat="1" ht="12" hidden="1" customHeight="1">
      <c r="A12471" s="286"/>
    </row>
    <row r="12472" spans="1:1" s="287" customFormat="1" ht="12" hidden="1" customHeight="1">
      <c r="A12472" s="286"/>
    </row>
    <row r="12473" spans="1:1" s="287" customFormat="1" ht="12" hidden="1" customHeight="1">
      <c r="A12473" s="286"/>
    </row>
    <row r="12474" spans="1:1" s="287" customFormat="1" ht="12" hidden="1" customHeight="1">
      <c r="A12474" s="286"/>
    </row>
    <row r="12475" spans="1:1" s="287" customFormat="1" ht="12" hidden="1" customHeight="1">
      <c r="A12475" s="286"/>
    </row>
    <row r="12476" spans="1:1" s="287" customFormat="1" ht="12" hidden="1" customHeight="1">
      <c r="A12476" s="286"/>
    </row>
    <row r="12477" spans="1:1" s="287" customFormat="1" ht="12" hidden="1" customHeight="1">
      <c r="A12477" s="286"/>
    </row>
    <row r="12478" spans="1:1" s="287" customFormat="1" ht="12" hidden="1" customHeight="1">
      <c r="A12478" s="286"/>
    </row>
    <row r="12479" spans="1:1" s="287" customFormat="1" ht="12" hidden="1" customHeight="1">
      <c r="A12479" s="286"/>
    </row>
    <row r="12480" spans="1:1" s="287" customFormat="1" ht="12" hidden="1" customHeight="1">
      <c r="A12480" s="286"/>
    </row>
    <row r="12481" spans="1:1" s="287" customFormat="1" ht="12" hidden="1" customHeight="1">
      <c r="A12481" s="286"/>
    </row>
    <row r="12482" spans="1:1" s="287" customFormat="1" ht="12" hidden="1" customHeight="1">
      <c r="A12482" s="286"/>
    </row>
    <row r="12483" spans="1:1" s="287" customFormat="1" ht="12" hidden="1" customHeight="1">
      <c r="A12483" s="286"/>
    </row>
    <row r="12484" spans="1:1" s="287" customFormat="1" ht="12" hidden="1" customHeight="1">
      <c r="A12484" s="286"/>
    </row>
    <row r="12485" spans="1:1" s="287" customFormat="1" ht="12" hidden="1" customHeight="1">
      <c r="A12485" s="286"/>
    </row>
    <row r="12486" spans="1:1" s="287" customFormat="1" ht="12" hidden="1" customHeight="1">
      <c r="A12486" s="286"/>
    </row>
    <row r="12487" spans="1:1" s="287" customFormat="1" ht="12" hidden="1" customHeight="1">
      <c r="A12487" s="286"/>
    </row>
    <row r="12488" spans="1:1" s="287" customFormat="1" ht="12" hidden="1" customHeight="1">
      <c r="A12488" s="286"/>
    </row>
    <row r="12489" spans="1:1" s="287" customFormat="1" ht="12" hidden="1" customHeight="1">
      <c r="A12489" s="286"/>
    </row>
    <row r="12490" spans="1:1" s="287" customFormat="1" ht="12" hidden="1" customHeight="1">
      <c r="A12490" s="286"/>
    </row>
    <row r="12491" spans="1:1" s="287" customFormat="1" ht="12" hidden="1" customHeight="1">
      <c r="A12491" s="286"/>
    </row>
    <row r="12492" spans="1:1" s="287" customFormat="1" ht="12" hidden="1" customHeight="1">
      <c r="A12492" s="286"/>
    </row>
    <row r="12493" spans="1:1" s="287" customFormat="1" ht="12" hidden="1" customHeight="1">
      <c r="A12493" s="286"/>
    </row>
    <row r="12494" spans="1:1" s="287" customFormat="1" ht="12" hidden="1" customHeight="1">
      <c r="A12494" s="286"/>
    </row>
    <row r="12495" spans="1:1" s="287" customFormat="1" ht="12" hidden="1" customHeight="1">
      <c r="A12495" s="286"/>
    </row>
    <row r="12496" spans="1:1" s="287" customFormat="1" ht="12" hidden="1" customHeight="1">
      <c r="A12496" s="286"/>
    </row>
    <row r="12497" spans="1:1" s="287" customFormat="1" ht="12" hidden="1" customHeight="1">
      <c r="A12497" s="286"/>
    </row>
    <row r="12498" spans="1:1" s="287" customFormat="1" ht="12" hidden="1" customHeight="1">
      <c r="A12498" s="286"/>
    </row>
    <row r="12499" spans="1:1" s="287" customFormat="1" ht="12" hidden="1" customHeight="1">
      <c r="A12499" s="286"/>
    </row>
    <row r="12500" spans="1:1" s="287" customFormat="1" ht="12" hidden="1" customHeight="1">
      <c r="A12500" s="286"/>
    </row>
    <row r="12501" spans="1:1" s="287" customFormat="1" ht="12" hidden="1" customHeight="1">
      <c r="A12501" s="286"/>
    </row>
    <row r="12502" spans="1:1" s="287" customFormat="1" ht="12" hidden="1" customHeight="1">
      <c r="A12502" s="286"/>
    </row>
    <row r="12503" spans="1:1" s="287" customFormat="1" ht="12" hidden="1" customHeight="1">
      <c r="A12503" s="286"/>
    </row>
    <row r="12504" spans="1:1" s="287" customFormat="1" ht="12" hidden="1" customHeight="1">
      <c r="A12504" s="286"/>
    </row>
    <row r="12505" spans="1:1" s="287" customFormat="1" ht="12" hidden="1" customHeight="1">
      <c r="A12505" s="286"/>
    </row>
    <row r="12506" spans="1:1" s="287" customFormat="1" ht="12" hidden="1" customHeight="1">
      <c r="A12506" s="286"/>
    </row>
    <row r="12507" spans="1:1" s="287" customFormat="1" ht="12" hidden="1" customHeight="1">
      <c r="A12507" s="286"/>
    </row>
    <row r="12508" spans="1:1" s="287" customFormat="1" ht="12" hidden="1" customHeight="1">
      <c r="A12508" s="286"/>
    </row>
    <row r="12509" spans="1:1" s="287" customFormat="1" ht="12" hidden="1" customHeight="1">
      <c r="A12509" s="286"/>
    </row>
    <row r="12510" spans="1:1" s="287" customFormat="1" ht="12" hidden="1" customHeight="1">
      <c r="A12510" s="286"/>
    </row>
    <row r="12511" spans="1:1" s="287" customFormat="1" ht="12" hidden="1" customHeight="1">
      <c r="A12511" s="286"/>
    </row>
    <row r="12512" spans="1:1" s="287" customFormat="1" ht="12" hidden="1" customHeight="1">
      <c r="A12512" s="286"/>
    </row>
    <row r="12513" spans="1:1" s="287" customFormat="1" ht="12" hidden="1" customHeight="1">
      <c r="A12513" s="286"/>
    </row>
    <row r="12514" spans="1:1" s="287" customFormat="1" ht="12" hidden="1" customHeight="1">
      <c r="A12514" s="286"/>
    </row>
    <row r="12515" spans="1:1" s="287" customFormat="1" ht="12" hidden="1" customHeight="1">
      <c r="A12515" s="286"/>
    </row>
    <row r="12516" spans="1:1" s="287" customFormat="1" ht="12" hidden="1" customHeight="1">
      <c r="A12516" s="286"/>
    </row>
    <row r="12517" spans="1:1" s="287" customFormat="1" ht="12" hidden="1" customHeight="1">
      <c r="A12517" s="286"/>
    </row>
    <row r="12518" spans="1:1" s="287" customFormat="1" ht="12" hidden="1" customHeight="1">
      <c r="A12518" s="286"/>
    </row>
    <row r="12519" spans="1:1" s="287" customFormat="1" ht="12" hidden="1" customHeight="1">
      <c r="A12519" s="286"/>
    </row>
    <row r="12520" spans="1:1" s="287" customFormat="1" ht="12" hidden="1" customHeight="1">
      <c r="A12520" s="286"/>
    </row>
    <row r="12521" spans="1:1" s="287" customFormat="1" ht="12" hidden="1" customHeight="1">
      <c r="A12521" s="286"/>
    </row>
    <row r="12522" spans="1:1" s="287" customFormat="1" ht="12" hidden="1" customHeight="1">
      <c r="A12522" s="286"/>
    </row>
    <row r="12523" spans="1:1" s="287" customFormat="1" ht="12" hidden="1" customHeight="1">
      <c r="A12523" s="286"/>
    </row>
    <row r="12524" spans="1:1" s="287" customFormat="1" ht="12" hidden="1" customHeight="1">
      <c r="A12524" s="286"/>
    </row>
    <row r="12525" spans="1:1" s="287" customFormat="1" ht="12" hidden="1" customHeight="1">
      <c r="A12525" s="286"/>
    </row>
    <row r="12526" spans="1:1" s="287" customFormat="1" ht="12" hidden="1" customHeight="1">
      <c r="A12526" s="286"/>
    </row>
    <row r="12527" spans="1:1" s="287" customFormat="1" ht="12" hidden="1" customHeight="1">
      <c r="A12527" s="286"/>
    </row>
    <row r="12528" spans="1:1" s="287" customFormat="1" ht="12" hidden="1" customHeight="1">
      <c r="A12528" s="286"/>
    </row>
    <row r="12529" spans="1:1" s="287" customFormat="1" ht="12" hidden="1" customHeight="1">
      <c r="A12529" s="286"/>
    </row>
    <row r="12530" spans="1:1" s="287" customFormat="1" ht="12" hidden="1" customHeight="1">
      <c r="A12530" s="286"/>
    </row>
    <row r="12531" spans="1:1" s="287" customFormat="1" ht="12" hidden="1" customHeight="1">
      <c r="A12531" s="286"/>
    </row>
    <row r="12532" spans="1:1" s="287" customFormat="1" ht="12" hidden="1" customHeight="1">
      <c r="A12532" s="286"/>
    </row>
    <row r="12533" spans="1:1" s="287" customFormat="1" ht="12" hidden="1" customHeight="1">
      <c r="A12533" s="286"/>
    </row>
    <row r="12534" spans="1:1" s="287" customFormat="1" ht="12" hidden="1" customHeight="1">
      <c r="A12534" s="286"/>
    </row>
    <row r="12535" spans="1:1" s="287" customFormat="1" ht="12" hidden="1" customHeight="1">
      <c r="A12535" s="286"/>
    </row>
    <row r="12536" spans="1:1" s="287" customFormat="1" ht="12" hidden="1" customHeight="1">
      <c r="A12536" s="286"/>
    </row>
    <row r="12537" spans="1:1" s="287" customFormat="1" ht="12" hidden="1" customHeight="1">
      <c r="A12537" s="286"/>
    </row>
    <row r="12538" spans="1:1" s="287" customFormat="1" ht="12" hidden="1" customHeight="1">
      <c r="A12538" s="286"/>
    </row>
    <row r="12539" spans="1:1" s="287" customFormat="1" ht="12" hidden="1" customHeight="1">
      <c r="A12539" s="286"/>
    </row>
    <row r="12540" spans="1:1" s="287" customFormat="1" ht="12" hidden="1" customHeight="1">
      <c r="A12540" s="286"/>
    </row>
    <row r="12541" spans="1:1" s="287" customFormat="1" ht="12" hidden="1" customHeight="1">
      <c r="A12541" s="286"/>
    </row>
    <row r="12542" spans="1:1" s="287" customFormat="1" ht="12" hidden="1" customHeight="1">
      <c r="A12542" s="286"/>
    </row>
    <row r="12543" spans="1:1" s="287" customFormat="1" ht="12" hidden="1" customHeight="1">
      <c r="A12543" s="286"/>
    </row>
    <row r="12544" spans="1:1" s="287" customFormat="1" ht="12" hidden="1" customHeight="1">
      <c r="A12544" s="286"/>
    </row>
    <row r="12545" spans="1:1" s="287" customFormat="1" ht="12" hidden="1" customHeight="1">
      <c r="A12545" s="286"/>
    </row>
    <row r="12546" spans="1:1" s="287" customFormat="1" ht="12" hidden="1" customHeight="1">
      <c r="A12546" s="286"/>
    </row>
    <row r="12547" spans="1:1" s="287" customFormat="1" ht="12" hidden="1" customHeight="1">
      <c r="A12547" s="286"/>
    </row>
    <row r="12548" spans="1:1" s="287" customFormat="1" ht="12" hidden="1" customHeight="1">
      <c r="A12548" s="286"/>
    </row>
    <row r="12549" spans="1:1" s="287" customFormat="1" ht="12" hidden="1" customHeight="1">
      <c r="A12549" s="286"/>
    </row>
    <row r="12550" spans="1:1" s="287" customFormat="1" ht="12" hidden="1" customHeight="1">
      <c r="A12550" s="286"/>
    </row>
    <row r="12551" spans="1:1" s="287" customFormat="1" ht="12" hidden="1" customHeight="1">
      <c r="A12551" s="286"/>
    </row>
    <row r="12552" spans="1:1" s="287" customFormat="1" ht="12" hidden="1" customHeight="1">
      <c r="A12552" s="286"/>
    </row>
    <row r="12553" spans="1:1" s="287" customFormat="1" ht="12" hidden="1" customHeight="1">
      <c r="A12553" s="286"/>
    </row>
    <row r="12554" spans="1:1" s="287" customFormat="1" ht="12" hidden="1" customHeight="1">
      <c r="A12554" s="286"/>
    </row>
    <row r="12555" spans="1:1" s="287" customFormat="1" ht="12" hidden="1" customHeight="1">
      <c r="A12555" s="286"/>
    </row>
    <row r="12556" spans="1:1" s="287" customFormat="1" ht="12" hidden="1" customHeight="1">
      <c r="A12556" s="286"/>
    </row>
    <row r="12557" spans="1:1" s="287" customFormat="1" ht="12" hidden="1" customHeight="1">
      <c r="A12557" s="286"/>
    </row>
    <row r="12558" spans="1:1" s="287" customFormat="1" ht="12" hidden="1" customHeight="1">
      <c r="A12558" s="286"/>
    </row>
    <row r="12559" spans="1:1" s="287" customFormat="1" ht="12" hidden="1" customHeight="1">
      <c r="A12559" s="286"/>
    </row>
    <row r="12560" spans="1:1" s="287" customFormat="1" ht="12" hidden="1" customHeight="1">
      <c r="A12560" s="286"/>
    </row>
    <row r="12561" spans="1:1" s="287" customFormat="1" ht="12" hidden="1" customHeight="1">
      <c r="A12561" s="286"/>
    </row>
    <row r="12562" spans="1:1" s="287" customFormat="1" ht="12" hidden="1" customHeight="1">
      <c r="A12562" s="286"/>
    </row>
    <row r="12563" spans="1:1" s="287" customFormat="1" ht="12" hidden="1" customHeight="1">
      <c r="A12563" s="286"/>
    </row>
    <row r="12564" spans="1:1" s="287" customFormat="1" ht="12" hidden="1" customHeight="1">
      <c r="A12564" s="286"/>
    </row>
    <row r="12565" spans="1:1" s="287" customFormat="1" ht="12" hidden="1" customHeight="1">
      <c r="A12565" s="286"/>
    </row>
    <row r="12566" spans="1:1" s="287" customFormat="1" ht="12" hidden="1" customHeight="1">
      <c r="A12566" s="286"/>
    </row>
    <row r="12567" spans="1:1" s="287" customFormat="1" ht="12" hidden="1" customHeight="1">
      <c r="A12567" s="286"/>
    </row>
    <row r="12568" spans="1:1" s="287" customFormat="1" ht="12" hidden="1" customHeight="1">
      <c r="A12568" s="286"/>
    </row>
    <row r="12569" spans="1:1" s="287" customFormat="1" ht="12" hidden="1" customHeight="1">
      <c r="A12569" s="286"/>
    </row>
    <row r="12570" spans="1:1" s="287" customFormat="1" ht="12" hidden="1" customHeight="1">
      <c r="A12570" s="286"/>
    </row>
    <row r="12571" spans="1:1" s="287" customFormat="1" ht="12" hidden="1" customHeight="1">
      <c r="A12571" s="286"/>
    </row>
    <row r="12572" spans="1:1" s="287" customFormat="1" ht="12" hidden="1" customHeight="1">
      <c r="A12572" s="286"/>
    </row>
    <row r="12573" spans="1:1" s="287" customFormat="1" ht="12" hidden="1" customHeight="1">
      <c r="A12573" s="286"/>
    </row>
    <row r="12574" spans="1:1" s="287" customFormat="1" ht="12" hidden="1" customHeight="1">
      <c r="A12574" s="286"/>
    </row>
    <row r="12575" spans="1:1" s="287" customFormat="1" ht="12" hidden="1" customHeight="1">
      <c r="A12575" s="286"/>
    </row>
    <row r="12576" spans="1:1" s="287" customFormat="1" ht="12" hidden="1" customHeight="1">
      <c r="A12576" s="286"/>
    </row>
    <row r="12577" spans="1:1" s="287" customFormat="1" ht="12" hidden="1" customHeight="1">
      <c r="A12577" s="286"/>
    </row>
    <row r="12578" spans="1:1" s="287" customFormat="1" ht="12" hidden="1" customHeight="1">
      <c r="A12578" s="286"/>
    </row>
    <row r="12579" spans="1:1" s="287" customFormat="1" ht="12" hidden="1" customHeight="1">
      <c r="A12579" s="286"/>
    </row>
    <row r="12580" spans="1:1" s="287" customFormat="1" ht="12" hidden="1" customHeight="1">
      <c r="A12580" s="286"/>
    </row>
    <row r="12581" spans="1:1" s="287" customFormat="1" ht="12" hidden="1" customHeight="1">
      <c r="A12581" s="286"/>
    </row>
    <row r="12582" spans="1:1" s="287" customFormat="1" ht="12" hidden="1" customHeight="1">
      <c r="A12582" s="286"/>
    </row>
    <row r="12583" spans="1:1" s="287" customFormat="1" ht="12" hidden="1" customHeight="1">
      <c r="A12583" s="286"/>
    </row>
    <row r="12584" spans="1:1" s="287" customFormat="1" ht="12" hidden="1" customHeight="1">
      <c r="A12584" s="286"/>
    </row>
    <row r="12585" spans="1:1" s="287" customFormat="1" ht="12" hidden="1" customHeight="1">
      <c r="A12585" s="286"/>
    </row>
    <row r="12586" spans="1:1" s="287" customFormat="1" ht="12" hidden="1" customHeight="1">
      <c r="A12586" s="286"/>
    </row>
    <row r="12587" spans="1:1" s="287" customFormat="1" ht="12" hidden="1" customHeight="1">
      <c r="A12587" s="286"/>
    </row>
    <row r="12588" spans="1:1" s="287" customFormat="1" ht="12" hidden="1" customHeight="1">
      <c r="A12588" s="286"/>
    </row>
    <row r="12589" spans="1:1" s="287" customFormat="1" ht="12" hidden="1" customHeight="1">
      <c r="A12589" s="286"/>
    </row>
    <row r="12590" spans="1:1" s="287" customFormat="1" ht="12" hidden="1" customHeight="1">
      <c r="A12590" s="286"/>
    </row>
    <row r="12591" spans="1:1" s="287" customFormat="1" ht="12" hidden="1" customHeight="1">
      <c r="A12591" s="286"/>
    </row>
    <row r="12592" spans="1:1" s="287" customFormat="1" ht="12" hidden="1" customHeight="1">
      <c r="A12592" s="286"/>
    </row>
    <row r="12593" spans="1:1" s="287" customFormat="1" ht="12" hidden="1" customHeight="1">
      <c r="A12593" s="286"/>
    </row>
    <row r="12594" spans="1:1" s="287" customFormat="1" ht="12" hidden="1" customHeight="1">
      <c r="A12594" s="286"/>
    </row>
    <row r="12595" spans="1:1" s="287" customFormat="1" ht="12" hidden="1" customHeight="1">
      <c r="A12595" s="286"/>
    </row>
    <row r="12596" spans="1:1" s="287" customFormat="1" ht="12" hidden="1" customHeight="1">
      <c r="A12596" s="286"/>
    </row>
    <row r="12597" spans="1:1" s="287" customFormat="1" ht="12" hidden="1" customHeight="1">
      <c r="A12597" s="286"/>
    </row>
    <row r="12598" spans="1:1" s="287" customFormat="1" ht="12" hidden="1" customHeight="1">
      <c r="A12598" s="286"/>
    </row>
    <row r="12599" spans="1:1" s="287" customFormat="1" ht="12" hidden="1" customHeight="1">
      <c r="A12599" s="286"/>
    </row>
    <row r="12600" spans="1:1" s="287" customFormat="1" ht="12" hidden="1" customHeight="1">
      <c r="A12600" s="286"/>
    </row>
    <row r="12601" spans="1:1" s="287" customFormat="1" ht="12" hidden="1" customHeight="1">
      <c r="A12601" s="286"/>
    </row>
    <row r="12602" spans="1:1" s="287" customFormat="1" ht="12" hidden="1" customHeight="1">
      <c r="A12602" s="286"/>
    </row>
    <row r="12603" spans="1:1" s="287" customFormat="1" ht="12" hidden="1" customHeight="1">
      <c r="A12603" s="286"/>
    </row>
    <row r="12604" spans="1:1" s="287" customFormat="1" ht="12" hidden="1" customHeight="1">
      <c r="A12604" s="286"/>
    </row>
    <row r="12605" spans="1:1" s="287" customFormat="1" ht="12" hidden="1" customHeight="1">
      <c r="A12605" s="286"/>
    </row>
    <row r="12606" spans="1:1" s="287" customFormat="1" ht="12" hidden="1" customHeight="1">
      <c r="A12606" s="286"/>
    </row>
    <row r="12607" spans="1:1" s="287" customFormat="1" ht="12" hidden="1" customHeight="1">
      <c r="A12607" s="286"/>
    </row>
    <row r="12608" spans="1:1" s="287" customFormat="1" ht="12" hidden="1" customHeight="1">
      <c r="A12608" s="286"/>
    </row>
    <row r="12609" spans="1:1" s="287" customFormat="1" ht="12" hidden="1" customHeight="1">
      <c r="A12609" s="286"/>
    </row>
    <row r="12610" spans="1:1" s="287" customFormat="1" ht="12" hidden="1" customHeight="1">
      <c r="A12610" s="286"/>
    </row>
    <row r="12611" spans="1:1" s="287" customFormat="1" ht="12" hidden="1" customHeight="1">
      <c r="A12611" s="286"/>
    </row>
    <row r="12612" spans="1:1" s="287" customFormat="1" ht="12" hidden="1" customHeight="1">
      <c r="A12612" s="286"/>
    </row>
    <row r="12613" spans="1:1" s="287" customFormat="1" ht="12" hidden="1" customHeight="1">
      <c r="A12613" s="286"/>
    </row>
    <row r="12614" spans="1:1" s="287" customFormat="1" ht="12" hidden="1" customHeight="1">
      <c r="A12614" s="286"/>
    </row>
    <row r="12615" spans="1:1" s="287" customFormat="1" ht="12" hidden="1" customHeight="1">
      <c r="A12615" s="286"/>
    </row>
    <row r="12616" spans="1:1" s="287" customFormat="1" ht="12" hidden="1" customHeight="1">
      <c r="A12616" s="286"/>
    </row>
    <row r="12617" spans="1:1" s="287" customFormat="1" ht="12" hidden="1" customHeight="1">
      <c r="A12617" s="286"/>
    </row>
    <row r="12618" spans="1:1" s="287" customFormat="1" ht="12" hidden="1" customHeight="1">
      <c r="A12618" s="286"/>
    </row>
    <row r="12619" spans="1:1" s="287" customFormat="1" ht="12" hidden="1" customHeight="1">
      <c r="A12619" s="286"/>
    </row>
    <row r="12620" spans="1:1" s="287" customFormat="1" ht="12" hidden="1" customHeight="1">
      <c r="A12620" s="286"/>
    </row>
    <row r="12621" spans="1:1" s="287" customFormat="1" ht="12" hidden="1" customHeight="1">
      <c r="A12621" s="286"/>
    </row>
    <row r="12622" spans="1:1" s="287" customFormat="1" ht="12" hidden="1" customHeight="1">
      <c r="A12622" s="286"/>
    </row>
    <row r="12623" spans="1:1" s="287" customFormat="1" ht="12" hidden="1" customHeight="1">
      <c r="A12623" s="286"/>
    </row>
    <row r="12624" spans="1:1" s="287" customFormat="1" ht="12" hidden="1" customHeight="1">
      <c r="A12624" s="286"/>
    </row>
    <row r="12625" spans="1:1" s="287" customFormat="1" ht="12" hidden="1" customHeight="1">
      <c r="A12625" s="286"/>
    </row>
    <row r="12626" spans="1:1" s="287" customFormat="1" ht="12" hidden="1" customHeight="1">
      <c r="A12626" s="286"/>
    </row>
    <row r="12627" spans="1:1" s="287" customFormat="1" ht="12" hidden="1" customHeight="1">
      <c r="A12627" s="286"/>
    </row>
    <row r="12628" spans="1:1" s="287" customFormat="1" ht="12" hidden="1" customHeight="1">
      <c r="A12628" s="286"/>
    </row>
    <row r="12629" spans="1:1" s="287" customFormat="1" ht="12" hidden="1" customHeight="1">
      <c r="A12629" s="286"/>
    </row>
    <row r="12630" spans="1:1" s="287" customFormat="1" ht="12" hidden="1" customHeight="1">
      <c r="A12630" s="286"/>
    </row>
    <row r="12631" spans="1:1" s="287" customFormat="1" ht="12" hidden="1" customHeight="1">
      <c r="A12631" s="286"/>
    </row>
    <row r="12632" spans="1:1" s="287" customFormat="1" ht="12" hidden="1" customHeight="1">
      <c r="A12632" s="286"/>
    </row>
    <row r="12633" spans="1:1" s="287" customFormat="1" ht="12" hidden="1" customHeight="1">
      <c r="A12633" s="286"/>
    </row>
    <row r="12634" spans="1:1" s="287" customFormat="1" ht="12" hidden="1" customHeight="1">
      <c r="A12634" s="286"/>
    </row>
    <row r="12635" spans="1:1" s="287" customFormat="1" ht="12" hidden="1" customHeight="1">
      <c r="A12635" s="286"/>
    </row>
    <row r="12636" spans="1:1" s="287" customFormat="1" ht="12" hidden="1" customHeight="1">
      <c r="A12636" s="286"/>
    </row>
    <row r="12637" spans="1:1" s="287" customFormat="1" ht="12" hidden="1" customHeight="1">
      <c r="A12637" s="286"/>
    </row>
    <row r="12638" spans="1:1" s="287" customFormat="1" ht="12" hidden="1" customHeight="1">
      <c r="A12638" s="286"/>
    </row>
    <row r="12639" spans="1:1" s="287" customFormat="1" ht="12" hidden="1" customHeight="1">
      <c r="A12639" s="286"/>
    </row>
    <row r="12640" spans="1:1" s="287" customFormat="1" ht="12" hidden="1" customHeight="1">
      <c r="A12640" s="286"/>
    </row>
    <row r="12641" spans="1:1" s="287" customFormat="1" ht="12" hidden="1" customHeight="1">
      <c r="A12641" s="286"/>
    </row>
    <row r="12642" spans="1:1" s="287" customFormat="1" ht="12" hidden="1" customHeight="1">
      <c r="A12642" s="286"/>
    </row>
    <row r="12643" spans="1:1" s="287" customFormat="1" ht="12" hidden="1" customHeight="1">
      <c r="A12643" s="286"/>
    </row>
    <row r="12644" spans="1:1" s="287" customFormat="1" ht="12" hidden="1" customHeight="1">
      <c r="A12644" s="286"/>
    </row>
    <row r="12645" spans="1:1" s="287" customFormat="1" ht="12" hidden="1" customHeight="1">
      <c r="A12645" s="286"/>
    </row>
    <row r="12646" spans="1:1" s="287" customFormat="1" ht="12" hidden="1" customHeight="1">
      <c r="A12646" s="286"/>
    </row>
    <row r="12647" spans="1:1" s="287" customFormat="1" ht="12" hidden="1" customHeight="1">
      <c r="A12647" s="286"/>
    </row>
    <row r="12648" spans="1:1" s="287" customFormat="1" ht="12" hidden="1" customHeight="1">
      <c r="A12648" s="286"/>
    </row>
    <row r="12649" spans="1:1" s="287" customFormat="1" ht="12" hidden="1" customHeight="1">
      <c r="A12649" s="286"/>
    </row>
    <row r="12650" spans="1:1" s="287" customFormat="1" ht="12" hidden="1" customHeight="1">
      <c r="A12650" s="286"/>
    </row>
    <row r="12651" spans="1:1" s="287" customFormat="1" ht="12" hidden="1" customHeight="1">
      <c r="A12651" s="286"/>
    </row>
    <row r="12652" spans="1:1" s="287" customFormat="1" ht="12" hidden="1" customHeight="1">
      <c r="A12652" s="286"/>
    </row>
    <row r="12653" spans="1:1" s="287" customFormat="1" ht="12" hidden="1" customHeight="1">
      <c r="A12653" s="286"/>
    </row>
    <row r="12654" spans="1:1" s="287" customFormat="1" ht="12" hidden="1" customHeight="1">
      <c r="A12654" s="286"/>
    </row>
    <row r="12655" spans="1:1" s="287" customFormat="1" ht="12" hidden="1" customHeight="1">
      <c r="A12655" s="286"/>
    </row>
    <row r="12656" spans="1:1" s="287" customFormat="1" ht="12" hidden="1" customHeight="1">
      <c r="A12656" s="286"/>
    </row>
    <row r="12657" spans="1:1" s="287" customFormat="1" ht="12" hidden="1" customHeight="1">
      <c r="A12657" s="286"/>
    </row>
    <row r="12658" spans="1:1" s="287" customFormat="1" ht="12" hidden="1" customHeight="1">
      <c r="A12658" s="286"/>
    </row>
    <row r="12659" spans="1:1" s="287" customFormat="1" ht="12" hidden="1" customHeight="1">
      <c r="A12659" s="286"/>
    </row>
    <row r="12660" spans="1:1" s="287" customFormat="1" ht="12" hidden="1" customHeight="1">
      <c r="A12660" s="286"/>
    </row>
    <row r="12661" spans="1:1" s="287" customFormat="1" ht="12" hidden="1" customHeight="1">
      <c r="A12661" s="286"/>
    </row>
    <row r="12662" spans="1:1" s="287" customFormat="1" ht="12" hidden="1" customHeight="1">
      <c r="A12662" s="286"/>
    </row>
    <row r="12663" spans="1:1" s="287" customFormat="1" ht="12" hidden="1" customHeight="1">
      <c r="A12663" s="286"/>
    </row>
    <row r="12664" spans="1:1" s="287" customFormat="1" ht="12" hidden="1" customHeight="1">
      <c r="A12664" s="286"/>
    </row>
    <row r="12665" spans="1:1" s="287" customFormat="1" ht="12" hidden="1" customHeight="1">
      <c r="A12665" s="286"/>
    </row>
    <row r="12666" spans="1:1" s="287" customFormat="1" ht="12" hidden="1" customHeight="1">
      <c r="A12666" s="286"/>
    </row>
    <row r="12667" spans="1:1" s="287" customFormat="1" ht="12" hidden="1" customHeight="1">
      <c r="A12667" s="286"/>
    </row>
    <row r="12668" spans="1:1" s="287" customFormat="1" ht="12" hidden="1" customHeight="1">
      <c r="A12668" s="286"/>
    </row>
    <row r="12669" spans="1:1" s="287" customFormat="1" ht="12" hidden="1" customHeight="1">
      <c r="A12669" s="286"/>
    </row>
    <row r="12670" spans="1:1" s="287" customFormat="1" ht="12" hidden="1" customHeight="1">
      <c r="A12670" s="286"/>
    </row>
    <row r="12671" spans="1:1" s="287" customFormat="1" ht="12" hidden="1" customHeight="1">
      <c r="A12671" s="286"/>
    </row>
    <row r="12672" spans="1:1" s="287" customFormat="1" ht="12" hidden="1" customHeight="1">
      <c r="A12672" s="286"/>
    </row>
    <row r="12673" spans="1:1" s="287" customFormat="1" ht="12" hidden="1" customHeight="1">
      <c r="A12673" s="286"/>
    </row>
    <row r="12674" spans="1:1" s="287" customFormat="1" ht="12" hidden="1" customHeight="1">
      <c r="A12674" s="286"/>
    </row>
    <row r="12675" spans="1:1" s="287" customFormat="1" ht="12" hidden="1" customHeight="1">
      <c r="A12675" s="286"/>
    </row>
    <row r="12676" spans="1:1" s="287" customFormat="1" ht="12" hidden="1" customHeight="1">
      <c r="A12676" s="286"/>
    </row>
    <row r="12677" spans="1:1" s="287" customFormat="1" ht="12" hidden="1" customHeight="1">
      <c r="A12677" s="286"/>
    </row>
    <row r="12678" spans="1:1" s="287" customFormat="1" ht="12" hidden="1" customHeight="1">
      <c r="A12678" s="286"/>
    </row>
    <row r="12679" spans="1:1" s="287" customFormat="1" ht="12" hidden="1" customHeight="1">
      <c r="A12679" s="286"/>
    </row>
    <row r="12680" spans="1:1" s="287" customFormat="1" ht="12" hidden="1" customHeight="1">
      <c r="A12680" s="286"/>
    </row>
    <row r="12681" spans="1:1" s="287" customFormat="1" ht="12" hidden="1" customHeight="1">
      <c r="A12681" s="286"/>
    </row>
    <row r="12682" spans="1:1" s="287" customFormat="1" ht="12" hidden="1" customHeight="1">
      <c r="A12682" s="286"/>
    </row>
    <row r="12683" spans="1:1" s="287" customFormat="1" ht="12" hidden="1" customHeight="1">
      <c r="A12683" s="286"/>
    </row>
    <row r="12684" spans="1:1" s="287" customFormat="1" ht="12" hidden="1" customHeight="1">
      <c r="A12684" s="286"/>
    </row>
    <row r="12685" spans="1:1" s="287" customFormat="1" ht="12" hidden="1" customHeight="1">
      <c r="A12685" s="286"/>
    </row>
    <row r="12686" spans="1:1" s="287" customFormat="1" ht="12" hidden="1" customHeight="1">
      <c r="A12686" s="286"/>
    </row>
    <row r="12687" spans="1:1" s="287" customFormat="1" ht="12" hidden="1" customHeight="1">
      <c r="A12687" s="286"/>
    </row>
    <row r="12688" spans="1:1" s="287" customFormat="1" ht="12" hidden="1" customHeight="1">
      <c r="A12688" s="286"/>
    </row>
    <row r="12689" spans="1:1" s="287" customFormat="1" ht="12" hidden="1" customHeight="1">
      <c r="A12689" s="286"/>
    </row>
    <row r="12690" spans="1:1" s="287" customFormat="1" ht="12" hidden="1" customHeight="1">
      <c r="A12690" s="286"/>
    </row>
    <row r="12691" spans="1:1" s="287" customFormat="1" ht="12" hidden="1" customHeight="1">
      <c r="A12691" s="286"/>
    </row>
    <row r="12692" spans="1:1" s="287" customFormat="1" ht="12" hidden="1" customHeight="1">
      <c r="A12692" s="286"/>
    </row>
    <row r="12693" spans="1:1" s="287" customFormat="1" ht="12" hidden="1" customHeight="1">
      <c r="A12693" s="286"/>
    </row>
    <row r="12694" spans="1:1" s="287" customFormat="1" ht="12" hidden="1" customHeight="1">
      <c r="A12694" s="286"/>
    </row>
    <row r="12695" spans="1:1" s="287" customFormat="1" ht="12" hidden="1" customHeight="1">
      <c r="A12695" s="286"/>
    </row>
    <row r="12696" spans="1:1" s="287" customFormat="1" ht="12" hidden="1" customHeight="1">
      <c r="A12696" s="286"/>
    </row>
    <row r="12697" spans="1:1" s="287" customFormat="1" ht="12" hidden="1" customHeight="1">
      <c r="A12697" s="286"/>
    </row>
    <row r="12698" spans="1:1" s="287" customFormat="1" ht="12" hidden="1" customHeight="1">
      <c r="A12698" s="286"/>
    </row>
    <row r="12699" spans="1:1" s="287" customFormat="1" ht="12" hidden="1" customHeight="1">
      <c r="A12699" s="286"/>
    </row>
    <row r="12700" spans="1:1" s="287" customFormat="1" ht="12" hidden="1" customHeight="1">
      <c r="A12700" s="286"/>
    </row>
    <row r="12701" spans="1:1" s="287" customFormat="1" ht="12" hidden="1" customHeight="1">
      <c r="A12701" s="286"/>
    </row>
    <row r="12702" spans="1:1" s="287" customFormat="1" ht="12" hidden="1" customHeight="1">
      <c r="A12702" s="286"/>
    </row>
    <row r="12703" spans="1:1" s="287" customFormat="1" ht="12" hidden="1" customHeight="1">
      <c r="A12703" s="286"/>
    </row>
    <row r="12704" spans="1:1" s="287" customFormat="1" ht="12" hidden="1" customHeight="1">
      <c r="A12704" s="286"/>
    </row>
    <row r="12705" spans="1:1" s="287" customFormat="1" ht="12" hidden="1" customHeight="1">
      <c r="A12705" s="286"/>
    </row>
    <row r="12706" spans="1:1" s="287" customFormat="1" ht="12" hidden="1" customHeight="1">
      <c r="A12706" s="286"/>
    </row>
    <row r="12707" spans="1:1" s="287" customFormat="1" ht="12" hidden="1" customHeight="1">
      <c r="A12707" s="286"/>
    </row>
    <row r="12708" spans="1:1" s="287" customFormat="1" ht="12" hidden="1" customHeight="1">
      <c r="A12708" s="286"/>
    </row>
    <row r="12709" spans="1:1" s="287" customFormat="1" ht="12" hidden="1" customHeight="1">
      <c r="A12709" s="286"/>
    </row>
    <row r="12710" spans="1:1" s="287" customFormat="1" ht="12" hidden="1" customHeight="1">
      <c r="A12710" s="286"/>
    </row>
    <row r="12711" spans="1:1" s="287" customFormat="1" ht="12" hidden="1" customHeight="1">
      <c r="A12711" s="286"/>
    </row>
    <row r="12712" spans="1:1" s="287" customFormat="1" ht="12" hidden="1" customHeight="1">
      <c r="A12712" s="286"/>
    </row>
    <row r="12713" spans="1:1" s="287" customFormat="1" ht="12" hidden="1" customHeight="1">
      <c r="A12713" s="286"/>
    </row>
    <row r="12714" spans="1:1" s="287" customFormat="1" ht="12" hidden="1" customHeight="1">
      <c r="A12714" s="286"/>
    </row>
    <row r="12715" spans="1:1" s="287" customFormat="1" ht="12" hidden="1" customHeight="1">
      <c r="A12715" s="286"/>
    </row>
    <row r="12716" spans="1:1" s="287" customFormat="1" ht="12" hidden="1" customHeight="1">
      <c r="A12716" s="286"/>
    </row>
    <row r="12717" spans="1:1" s="287" customFormat="1" ht="12" hidden="1" customHeight="1">
      <c r="A12717" s="286"/>
    </row>
    <row r="12718" spans="1:1" s="287" customFormat="1" ht="12" hidden="1" customHeight="1">
      <c r="A12718" s="286"/>
    </row>
    <row r="12719" spans="1:1" s="287" customFormat="1" ht="12" hidden="1" customHeight="1">
      <c r="A12719" s="286"/>
    </row>
    <row r="12720" spans="1:1" s="287" customFormat="1" ht="12" hidden="1" customHeight="1">
      <c r="A12720" s="286"/>
    </row>
    <row r="12721" spans="1:1" s="287" customFormat="1" ht="12" hidden="1" customHeight="1">
      <c r="A12721" s="286"/>
    </row>
    <row r="12722" spans="1:1" s="287" customFormat="1" ht="12" hidden="1" customHeight="1">
      <c r="A12722" s="286"/>
    </row>
    <row r="12723" spans="1:1" s="287" customFormat="1" ht="12" hidden="1" customHeight="1">
      <c r="A12723" s="286"/>
    </row>
    <row r="12724" spans="1:1" s="287" customFormat="1" ht="12" hidden="1" customHeight="1">
      <c r="A12724" s="286"/>
    </row>
    <row r="12725" spans="1:1" s="287" customFormat="1" ht="12" hidden="1" customHeight="1">
      <c r="A12725" s="286"/>
    </row>
    <row r="12726" spans="1:1" s="287" customFormat="1" ht="12" hidden="1" customHeight="1">
      <c r="A12726" s="286"/>
    </row>
    <row r="12727" spans="1:1" s="287" customFormat="1" ht="12" hidden="1" customHeight="1">
      <c r="A12727" s="286"/>
    </row>
    <row r="12728" spans="1:1" s="287" customFormat="1" ht="12" hidden="1" customHeight="1">
      <c r="A12728" s="286"/>
    </row>
    <row r="12729" spans="1:1" s="287" customFormat="1" ht="12" hidden="1" customHeight="1">
      <c r="A12729" s="286"/>
    </row>
    <row r="12730" spans="1:1" s="287" customFormat="1" ht="12" hidden="1" customHeight="1">
      <c r="A12730" s="286"/>
    </row>
    <row r="12731" spans="1:1" s="287" customFormat="1" ht="12" hidden="1" customHeight="1">
      <c r="A12731" s="286"/>
    </row>
    <row r="12732" spans="1:1" s="287" customFormat="1" ht="12" hidden="1" customHeight="1">
      <c r="A12732" s="286"/>
    </row>
    <row r="12733" spans="1:1" s="287" customFormat="1" ht="12" hidden="1" customHeight="1">
      <c r="A12733" s="286"/>
    </row>
    <row r="12734" spans="1:1" s="287" customFormat="1" ht="12" hidden="1" customHeight="1">
      <c r="A12734" s="286"/>
    </row>
    <row r="12735" spans="1:1" s="287" customFormat="1" ht="12" hidden="1" customHeight="1">
      <c r="A12735" s="286"/>
    </row>
    <row r="12736" spans="1:1" s="287" customFormat="1" ht="12" hidden="1" customHeight="1">
      <c r="A12736" s="286"/>
    </row>
    <row r="12737" spans="1:1" s="287" customFormat="1" ht="12" hidden="1" customHeight="1">
      <c r="A12737" s="286"/>
    </row>
    <row r="12738" spans="1:1" s="287" customFormat="1" ht="12" hidden="1" customHeight="1">
      <c r="A12738" s="286"/>
    </row>
    <row r="12739" spans="1:1" s="287" customFormat="1" ht="12" hidden="1" customHeight="1">
      <c r="A12739" s="286"/>
    </row>
    <row r="12740" spans="1:1" s="287" customFormat="1" ht="12" hidden="1" customHeight="1">
      <c r="A12740" s="286"/>
    </row>
    <row r="12741" spans="1:1" s="287" customFormat="1" ht="12" hidden="1" customHeight="1">
      <c r="A12741" s="286"/>
    </row>
    <row r="12742" spans="1:1" s="287" customFormat="1" ht="12" hidden="1" customHeight="1">
      <c r="A12742" s="286"/>
    </row>
    <row r="12743" spans="1:1" s="287" customFormat="1" ht="12" hidden="1" customHeight="1">
      <c r="A12743" s="286"/>
    </row>
    <row r="12744" spans="1:1" s="287" customFormat="1" ht="12" hidden="1" customHeight="1">
      <c r="A12744" s="286"/>
    </row>
    <row r="12745" spans="1:1" s="287" customFormat="1" ht="12" hidden="1" customHeight="1">
      <c r="A12745" s="286"/>
    </row>
    <row r="12746" spans="1:1" s="287" customFormat="1" ht="12" hidden="1" customHeight="1">
      <c r="A12746" s="286"/>
    </row>
    <row r="12747" spans="1:1" s="287" customFormat="1" ht="12" hidden="1" customHeight="1">
      <c r="A12747" s="286"/>
    </row>
    <row r="12748" spans="1:1" s="287" customFormat="1" ht="12" hidden="1" customHeight="1">
      <c r="A12748" s="286"/>
    </row>
    <row r="12749" spans="1:1" s="287" customFormat="1" ht="12" hidden="1" customHeight="1">
      <c r="A12749" s="286"/>
    </row>
    <row r="12750" spans="1:1" s="287" customFormat="1" ht="12" hidden="1" customHeight="1">
      <c r="A12750" s="286"/>
    </row>
    <row r="12751" spans="1:1" s="287" customFormat="1" ht="12" hidden="1" customHeight="1">
      <c r="A12751" s="286"/>
    </row>
    <row r="12752" spans="1:1" s="287" customFormat="1" ht="12" hidden="1" customHeight="1">
      <c r="A12752" s="286"/>
    </row>
    <row r="12753" spans="1:1" s="287" customFormat="1" ht="12" hidden="1" customHeight="1">
      <c r="A12753" s="286"/>
    </row>
    <row r="12754" spans="1:1" s="287" customFormat="1" ht="12" hidden="1" customHeight="1">
      <c r="A12754" s="286"/>
    </row>
    <row r="12755" spans="1:1" s="287" customFormat="1" ht="12" hidden="1" customHeight="1">
      <c r="A12755" s="286"/>
    </row>
    <row r="12756" spans="1:1" s="287" customFormat="1" ht="12" hidden="1" customHeight="1">
      <c r="A12756" s="286"/>
    </row>
    <row r="12757" spans="1:1" s="287" customFormat="1" ht="12" hidden="1" customHeight="1">
      <c r="A12757" s="286"/>
    </row>
    <row r="12758" spans="1:1" s="287" customFormat="1" ht="12" hidden="1" customHeight="1">
      <c r="A12758" s="286"/>
    </row>
    <row r="12759" spans="1:1" s="287" customFormat="1" ht="12" hidden="1" customHeight="1">
      <c r="A12759" s="286"/>
    </row>
    <row r="12760" spans="1:1" s="287" customFormat="1" ht="12" hidden="1" customHeight="1">
      <c r="A12760" s="286"/>
    </row>
    <row r="12761" spans="1:1" s="287" customFormat="1" ht="12" hidden="1" customHeight="1">
      <c r="A12761" s="286"/>
    </row>
    <row r="12762" spans="1:1" s="287" customFormat="1" ht="12" hidden="1" customHeight="1">
      <c r="A12762" s="286"/>
    </row>
    <row r="12763" spans="1:1" s="287" customFormat="1" ht="12" hidden="1" customHeight="1">
      <c r="A12763" s="286"/>
    </row>
    <row r="12764" spans="1:1" s="287" customFormat="1" ht="12" hidden="1" customHeight="1">
      <c r="A12764" s="286"/>
    </row>
    <row r="12765" spans="1:1" s="287" customFormat="1" ht="12" hidden="1" customHeight="1">
      <c r="A12765" s="286"/>
    </row>
    <row r="12766" spans="1:1" s="287" customFormat="1" ht="12" hidden="1" customHeight="1">
      <c r="A12766" s="286"/>
    </row>
    <row r="12767" spans="1:1" s="287" customFormat="1" ht="12" hidden="1" customHeight="1">
      <c r="A12767" s="286"/>
    </row>
    <row r="12768" spans="1:1" s="287" customFormat="1" ht="12" hidden="1" customHeight="1">
      <c r="A12768" s="286"/>
    </row>
    <row r="12769" spans="1:1" s="287" customFormat="1" ht="12" hidden="1" customHeight="1">
      <c r="A12769" s="286"/>
    </row>
    <row r="12770" spans="1:1" s="287" customFormat="1" ht="12" hidden="1" customHeight="1">
      <c r="A12770" s="286"/>
    </row>
    <row r="12771" spans="1:1" s="287" customFormat="1" ht="12" hidden="1" customHeight="1">
      <c r="A12771" s="286"/>
    </row>
    <row r="12772" spans="1:1" s="287" customFormat="1" ht="12" hidden="1" customHeight="1">
      <c r="A12772" s="286"/>
    </row>
    <row r="12773" spans="1:1" s="287" customFormat="1" ht="12" hidden="1" customHeight="1">
      <c r="A12773" s="286"/>
    </row>
    <row r="12774" spans="1:1" s="287" customFormat="1" ht="12" hidden="1" customHeight="1">
      <c r="A12774" s="286"/>
    </row>
    <row r="12775" spans="1:1" s="287" customFormat="1" ht="12" hidden="1" customHeight="1">
      <c r="A12775" s="286"/>
    </row>
    <row r="12776" spans="1:1" s="287" customFormat="1" ht="12" hidden="1" customHeight="1">
      <c r="A12776" s="286"/>
    </row>
    <row r="12777" spans="1:1" s="287" customFormat="1" ht="12" hidden="1" customHeight="1">
      <c r="A12777" s="286"/>
    </row>
    <row r="12778" spans="1:1" s="287" customFormat="1" ht="12" hidden="1" customHeight="1">
      <c r="A12778" s="286"/>
    </row>
    <row r="12779" spans="1:1" s="287" customFormat="1" ht="12" hidden="1" customHeight="1">
      <c r="A12779" s="286"/>
    </row>
    <row r="12780" spans="1:1" s="287" customFormat="1" ht="12" hidden="1" customHeight="1">
      <c r="A12780" s="286"/>
    </row>
    <row r="12781" spans="1:1" s="287" customFormat="1" ht="12" hidden="1" customHeight="1">
      <c r="A12781" s="286"/>
    </row>
    <row r="12782" spans="1:1" s="287" customFormat="1" ht="12" hidden="1" customHeight="1">
      <c r="A12782" s="286"/>
    </row>
    <row r="12783" spans="1:1" s="287" customFormat="1" ht="12" hidden="1" customHeight="1">
      <c r="A12783" s="286"/>
    </row>
    <row r="12784" spans="1:1" s="287" customFormat="1" ht="12" hidden="1" customHeight="1">
      <c r="A12784" s="286"/>
    </row>
    <row r="12785" spans="1:1" s="287" customFormat="1" ht="12" hidden="1" customHeight="1">
      <c r="A12785" s="286"/>
    </row>
    <row r="12786" spans="1:1" s="287" customFormat="1" ht="12" hidden="1" customHeight="1">
      <c r="A12786" s="286"/>
    </row>
    <row r="12787" spans="1:1" s="287" customFormat="1" ht="12" hidden="1" customHeight="1">
      <c r="A12787" s="286"/>
    </row>
    <row r="12788" spans="1:1" s="287" customFormat="1" ht="12" hidden="1" customHeight="1">
      <c r="A12788" s="286"/>
    </row>
    <row r="12789" spans="1:1" s="287" customFormat="1" ht="12" hidden="1" customHeight="1">
      <c r="A12789" s="286"/>
    </row>
    <row r="12790" spans="1:1" s="287" customFormat="1" ht="12" hidden="1" customHeight="1">
      <c r="A12790" s="286"/>
    </row>
    <row r="12791" spans="1:1" s="287" customFormat="1" ht="12" hidden="1" customHeight="1">
      <c r="A12791" s="286"/>
    </row>
    <row r="12792" spans="1:1" s="287" customFormat="1" ht="12" hidden="1" customHeight="1">
      <c r="A12792" s="286"/>
    </row>
    <row r="12793" spans="1:1" s="287" customFormat="1" ht="12" hidden="1" customHeight="1">
      <c r="A12793" s="286"/>
    </row>
    <row r="12794" spans="1:1" s="287" customFormat="1" ht="12" hidden="1" customHeight="1">
      <c r="A12794" s="286"/>
    </row>
    <row r="12795" spans="1:1" s="287" customFormat="1" ht="12" hidden="1" customHeight="1">
      <c r="A12795" s="286"/>
    </row>
    <row r="12796" spans="1:1" s="287" customFormat="1" ht="12" hidden="1" customHeight="1">
      <c r="A12796" s="286"/>
    </row>
    <row r="12797" spans="1:1" s="287" customFormat="1" ht="12" hidden="1" customHeight="1">
      <c r="A12797" s="286"/>
    </row>
    <row r="12798" spans="1:1" s="287" customFormat="1" ht="12" hidden="1" customHeight="1">
      <c r="A12798" s="286"/>
    </row>
    <row r="12799" spans="1:1" s="287" customFormat="1" ht="12" hidden="1" customHeight="1">
      <c r="A12799" s="286"/>
    </row>
    <row r="12800" spans="1:1" s="287" customFormat="1" ht="12" hidden="1" customHeight="1">
      <c r="A12800" s="286"/>
    </row>
    <row r="12801" spans="1:1" s="287" customFormat="1" ht="12" hidden="1" customHeight="1">
      <c r="A12801" s="286"/>
    </row>
    <row r="12802" spans="1:1" s="287" customFormat="1" ht="12" hidden="1" customHeight="1">
      <c r="A12802" s="286"/>
    </row>
    <row r="12803" spans="1:1" s="287" customFormat="1" ht="12" hidden="1" customHeight="1">
      <c r="A12803" s="286"/>
    </row>
    <row r="12804" spans="1:1" s="287" customFormat="1" ht="12" hidden="1" customHeight="1">
      <c r="A12804" s="286"/>
    </row>
    <row r="12805" spans="1:1" s="287" customFormat="1" ht="12" hidden="1" customHeight="1">
      <c r="A12805" s="286"/>
    </row>
    <row r="12806" spans="1:1" s="287" customFormat="1" ht="12" hidden="1" customHeight="1">
      <c r="A12806" s="286"/>
    </row>
    <row r="12807" spans="1:1" s="287" customFormat="1" ht="12" hidden="1" customHeight="1">
      <c r="A12807" s="286"/>
    </row>
    <row r="12808" spans="1:1" s="287" customFormat="1" ht="12" hidden="1" customHeight="1">
      <c r="A12808" s="286"/>
    </row>
    <row r="12809" spans="1:1" s="287" customFormat="1" ht="12" hidden="1" customHeight="1">
      <c r="A12809" s="286"/>
    </row>
    <row r="12810" spans="1:1" s="287" customFormat="1" ht="12" hidden="1" customHeight="1">
      <c r="A12810" s="286"/>
    </row>
    <row r="12811" spans="1:1" s="287" customFormat="1" ht="12" hidden="1" customHeight="1">
      <c r="A12811" s="286"/>
    </row>
    <row r="12812" spans="1:1" s="287" customFormat="1" ht="12" hidden="1" customHeight="1">
      <c r="A12812" s="286"/>
    </row>
    <row r="12813" spans="1:1" s="287" customFormat="1" ht="12" hidden="1" customHeight="1">
      <c r="A12813" s="286"/>
    </row>
    <row r="12814" spans="1:1" s="287" customFormat="1" ht="12" hidden="1" customHeight="1">
      <c r="A12814" s="286"/>
    </row>
    <row r="12815" spans="1:1" s="287" customFormat="1" ht="12" hidden="1" customHeight="1">
      <c r="A12815" s="286"/>
    </row>
    <row r="12816" spans="1:1" s="287" customFormat="1" ht="12" hidden="1" customHeight="1">
      <c r="A12816" s="286"/>
    </row>
    <row r="12817" spans="1:1" s="287" customFormat="1" ht="12" hidden="1" customHeight="1">
      <c r="A12817" s="286"/>
    </row>
    <row r="12818" spans="1:1" s="287" customFormat="1" ht="12" hidden="1" customHeight="1">
      <c r="A12818" s="286"/>
    </row>
    <row r="12819" spans="1:1" s="287" customFormat="1" ht="12" hidden="1" customHeight="1">
      <c r="A12819" s="286"/>
    </row>
    <row r="12820" spans="1:1" s="287" customFormat="1" ht="12" hidden="1" customHeight="1">
      <c r="A12820" s="286"/>
    </row>
    <row r="12821" spans="1:1" s="287" customFormat="1" ht="12" hidden="1" customHeight="1">
      <c r="A12821" s="286"/>
    </row>
    <row r="12822" spans="1:1" s="287" customFormat="1" ht="12" hidden="1" customHeight="1">
      <c r="A12822" s="286"/>
    </row>
    <row r="12823" spans="1:1" s="287" customFormat="1" ht="12" hidden="1" customHeight="1">
      <c r="A12823" s="286"/>
    </row>
    <row r="12824" spans="1:1" s="287" customFormat="1" ht="12" hidden="1" customHeight="1">
      <c r="A12824" s="286"/>
    </row>
    <row r="12825" spans="1:1" s="287" customFormat="1" ht="12" hidden="1" customHeight="1">
      <c r="A12825" s="286"/>
    </row>
    <row r="12826" spans="1:1" s="287" customFormat="1" ht="12" hidden="1" customHeight="1">
      <c r="A12826" s="286"/>
    </row>
    <row r="12827" spans="1:1" s="287" customFormat="1" ht="12" hidden="1" customHeight="1">
      <c r="A12827" s="286"/>
    </row>
    <row r="12828" spans="1:1" s="287" customFormat="1" ht="12" hidden="1" customHeight="1">
      <c r="A12828" s="286"/>
    </row>
    <row r="12829" spans="1:1" s="287" customFormat="1" ht="12" hidden="1" customHeight="1">
      <c r="A12829" s="286"/>
    </row>
    <row r="12830" spans="1:1" s="287" customFormat="1" ht="12" hidden="1" customHeight="1">
      <c r="A12830" s="286"/>
    </row>
    <row r="12831" spans="1:1" s="287" customFormat="1" ht="12" hidden="1" customHeight="1">
      <c r="A12831" s="286"/>
    </row>
    <row r="12832" spans="1:1" s="287" customFormat="1" ht="12" hidden="1" customHeight="1">
      <c r="A12832" s="286"/>
    </row>
    <row r="12833" spans="1:1" s="287" customFormat="1" ht="12" hidden="1" customHeight="1">
      <c r="A12833" s="286"/>
    </row>
    <row r="12834" spans="1:1" s="287" customFormat="1" ht="12" hidden="1" customHeight="1">
      <c r="A12834" s="286"/>
    </row>
    <row r="12835" spans="1:1" s="287" customFormat="1" ht="12" hidden="1" customHeight="1">
      <c r="A12835" s="286"/>
    </row>
    <row r="12836" spans="1:1" s="287" customFormat="1" ht="12" hidden="1" customHeight="1">
      <c r="A12836" s="286"/>
    </row>
    <row r="12837" spans="1:1" s="287" customFormat="1" ht="12" hidden="1" customHeight="1">
      <c r="A12837" s="286"/>
    </row>
    <row r="12838" spans="1:1" s="287" customFormat="1" ht="12" hidden="1" customHeight="1">
      <c r="A12838" s="286"/>
    </row>
    <row r="12839" spans="1:1" s="287" customFormat="1" ht="12" hidden="1" customHeight="1">
      <c r="A12839" s="286"/>
    </row>
    <row r="12840" spans="1:1" s="287" customFormat="1" ht="12" hidden="1" customHeight="1">
      <c r="A12840" s="286"/>
    </row>
    <row r="12841" spans="1:1" s="287" customFormat="1" ht="12" hidden="1" customHeight="1">
      <c r="A12841" s="286"/>
    </row>
    <row r="12842" spans="1:1" s="287" customFormat="1" ht="12" hidden="1" customHeight="1">
      <c r="A12842" s="286"/>
    </row>
    <row r="12843" spans="1:1" s="287" customFormat="1" ht="12" hidden="1" customHeight="1">
      <c r="A12843" s="286"/>
    </row>
    <row r="12844" spans="1:1" s="287" customFormat="1" ht="12" hidden="1" customHeight="1">
      <c r="A12844" s="286"/>
    </row>
    <row r="12845" spans="1:1" s="287" customFormat="1" ht="12" hidden="1" customHeight="1">
      <c r="A12845" s="286"/>
    </row>
    <row r="12846" spans="1:1" s="287" customFormat="1" ht="12" hidden="1" customHeight="1">
      <c r="A12846" s="286"/>
    </row>
    <row r="12847" spans="1:1" s="287" customFormat="1" ht="12" hidden="1" customHeight="1">
      <c r="A12847" s="286"/>
    </row>
    <row r="12848" spans="1:1" s="287" customFormat="1" ht="12" hidden="1" customHeight="1">
      <c r="A12848" s="286"/>
    </row>
    <row r="12849" spans="1:1" s="287" customFormat="1" ht="12" hidden="1" customHeight="1">
      <c r="A12849" s="286"/>
    </row>
    <row r="12850" spans="1:1" s="287" customFormat="1" ht="12" hidden="1" customHeight="1">
      <c r="A12850" s="286"/>
    </row>
    <row r="12851" spans="1:1" s="287" customFormat="1" ht="12" hidden="1" customHeight="1">
      <c r="A12851" s="286"/>
    </row>
    <row r="12852" spans="1:1" s="287" customFormat="1" ht="12" hidden="1" customHeight="1">
      <c r="A12852" s="286"/>
    </row>
    <row r="12853" spans="1:1" s="287" customFormat="1" ht="12" hidden="1" customHeight="1">
      <c r="A12853" s="286"/>
    </row>
    <row r="12854" spans="1:1" s="287" customFormat="1" ht="12" hidden="1" customHeight="1">
      <c r="A12854" s="286"/>
    </row>
    <row r="12855" spans="1:1" s="287" customFormat="1" ht="12" hidden="1" customHeight="1">
      <c r="A12855" s="286"/>
    </row>
    <row r="12856" spans="1:1" s="287" customFormat="1" ht="12" hidden="1" customHeight="1">
      <c r="A12856" s="286"/>
    </row>
    <row r="12857" spans="1:1" s="287" customFormat="1" ht="12" hidden="1" customHeight="1">
      <c r="A12857" s="286"/>
    </row>
    <row r="12858" spans="1:1" s="287" customFormat="1" ht="12" hidden="1" customHeight="1">
      <c r="A12858" s="286"/>
    </row>
    <row r="12859" spans="1:1" s="287" customFormat="1" ht="12" hidden="1" customHeight="1">
      <c r="A12859" s="286"/>
    </row>
    <row r="12860" spans="1:1" s="287" customFormat="1" ht="12" hidden="1" customHeight="1">
      <c r="A12860" s="286"/>
    </row>
    <row r="12861" spans="1:1" s="287" customFormat="1" ht="12" hidden="1" customHeight="1">
      <c r="A12861" s="286"/>
    </row>
    <row r="12862" spans="1:1" s="287" customFormat="1" ht="12" hidden="1" customHeight="1">
      <c r="A12862" s="286"/>
    </row>
    <row r="12863" spans="1:1" s="287" customFormat="1" ht="12" hidden="1" customHeight="1">
      <c r="A12863" s="286"/>
    </row>
    <row r="12864" spans="1:1" s="287" customFormat="1" ht="12" hidden="1" customHeight="1">
      <c r="A12864" s="286"/>
    </row>
    <row r="12865" spans="1:1" s="287" customFormat="1" ht="12" hidden="1" customHeight="1">
      <c r="A12865" s="286"/>
    </row>
    <row r="12866" spans="1:1" s="287" customFormat="1" ht="12" hidden="1" customHeight="1">
      <c r="A12866" s="286"/>
    </row>
    <row r="12867" spans="1:1" s="287" customFormat="1" ht="12" hidden="1" customHeight="1">
      <c r="A12867" s="286"/>
    </row>
    <row r="12868" spans="1:1" s="287" customFormat="1" ht="12" hidden="1" customHeight="1">
      <c r="A12868" s="286"/>
    </row>
    <row r="12869" spans="1:1" s="287" customFormat="1" ht="12" hidden="1" customHeight="1">
      <c r="A12869" s="286"/>
    </row>
    <row r="12870" spans="1:1" s="287" customFormat="1" ht="12" hidden="1" customHeight="1">
      <c r="A12870" s="286"/>
    </row>
    <row r="12871" spans="1:1" s="287" customFormat="1" ht="12" hidden="1" customHeight="1">
      <c r="A12871" s="286"/>
    </row>
    <row r="12872" spans="1:1" s="287" customFormat="1" ht="12" hidden="1" customHeight="1">
      <c r="A12872" s="286"/>
    </row>
    <row r="12873" spans="1:1" s="287" customFormat="1" ht="12" hidden="1" customHeight="1">
      <c r="A12873" s="286"/>
    </row>
    <row r="12874" spans="1:1" s="287" customFormat="1" ht="12" hidden="1" customHeight="1">
      <c r="A12874" s="286"/>
    </row>
    <row r="12875" spans="1:1" s="287" customFormat="1" ht="12" hidden="1" customHeight="1">
      <c r="A12875" s="286"/>
    </row>
    <row r="12876" spans="1:1" s="287" customFormat="1" ht="12" hidden="1" customHeight="1">
      <c r="A12876" s="286"/>
    </row>
    <row r="12877" spans="1:1" s="287" customFormat="1" ht="12" hidden="1" customHeight="1">
      <c r="A12877" s="286"/>
    </row>
    <row r="12878" spans="1:1" s="287" customFormat="1" ht="12" hidden="1" customHeight="1">
      <c r="A12878" s="286"/>
    </row>
    <row r="12879" spans="1:1" s="287" customFormat="1" ht="12" hidden="1" customHeight="1">
      <c r="A12879" s="286"/>
    </row>
    <row r="12880" spans="1:1" s="287" customFormat="1" ht="12" hidden="1" customHeight="1">
      <c r="A12880" s="286"/>
    </row>
    <row r="12881" spans="1:1" s="287" customFormat="1" ht="12" hidden="1" customHeight="1">
      <c r="A12881" s="286"/>
    </row>
    <row r="12882" spans="1:1" s="287" customFormat="1" ht="12" hidden="1" customHeight="1">
      <c r="A12882" s="286"/>
    </row>
    <row r="12883" spans="1:1" s="287" customFormat="1" ht="12" hidden="1" customHeight="1">
      <c r="A12883" s="286"/>
    </row>
    <row r="12884" spans="1:1" s="287" customFormat="1" ht="12" hidden="1" customHeight="1">
      <c r="A12884" s="286"/>
    </row>
    <row r="12885" spans="1:1" s="287" customFormat="1" ht="12" hidden="1" customHeight="1">
      <c r="A12885" s="286"/>
    </row>
    <row r="12886" spans="1:1" s="287" customFormat="1" ht="12" hidden="1" customHeight="1">
      <c r="A12886" s="286"/>
    </row>
    <row r="12887" spans="1:1" s="287" customFormat="1" ht="12" hidden="1" customHeight="1">
      <c r="A12887" s="286"/>
    </row>
    <row r="12888" spans="1:1" s="287" customFormat="1" ht="12" hidden="1" customHeight="1">
      <c r="A12888" s="286"/>
    </row>
    <row r="12889" spans="1:1" s="287" customFormat="1" ht="12" hidden="1" customHeight="1">
      <c r="A12889" s="286"/>
    </row>
    <row r="12890" spans="1:1" s="287" customFormat="1" ht="12" hidden="1" customHeight="1">
      <c r="A12890" s="286"/>
    </row>
    <row r="12891" spans="1:1" s="287" customFormat="1" ht="12" hidden="1" customHeight="1">
      <c r="A12891" s="286"/>
    </row>
    <row r="12892" spans="1:1" s="287" customFormat="1" ht="12" hidden="1" customHeight="1">
      <c r="A12892" s="286"/>
    </row>
    <row r="12893" spans="1:1" s="287" customFormat="1" ht="12" hidden="1" customHeight="1">
      <c r="A12893" s="286"/>
    </row>
    <row r="12894" spans="1:1" s="287" customFormat="1" ht="12" hidden="1" customHeight="1">
      <c r="A12894" s="286"/>
    </row>
    <row r="12895" spans="1:1" s="287" customFormat="1" ht="12" hidden="1" customHeight="1">
      <c r="A12895" s="286"/>
    </row>
    <row r="12896" spans="1:1" s="287" customFormat="1" ht="12" hidden="1" customHeight="1">
      <c r="A12896" s="286"/>
    </row>
    <row r="12897" spans="1:1" s="287" customFormat="1" ht="12" hidden="1" customHeight="1">
      <c r="A12897" s="286"/>
    </row>
    <row r="12898" spans="1:1" s="287" customFormat="1" ht="12" hidden="1" customHeight="1">
      <c r="A12898" s="286"/>
    </row>
    <row r="12899" spans="1:1" s="287" customFormat="1" ht="12" hidden="1" customHeight="1">
      <c r="A12899" s="286"/>
    </row>
    <row r="12900" spans="1:1" s="287" customFormat="1" ht="12" hidden="1" customHeight="1">
      <c r="A12900" s="286"/>
    </row>
    <row r="12901" spans="1:1" s="287" customFormat="1" ht="12" hidden="1" customHeight="1">
      <c r="A12901" s="286"/>
    </row>
    <row r="12902" spans="1:1" s="287" customFormat="1" ht="12" hidden="1" customHeight="1">
      <c r="A12902" s="286"/>
    </row>
    <row r="12903" spans="1:1" s="287" customFormat="1" ht="12" hidden="1" customHeight="1">
      <c r="A12903" s="286"/>
    </row>
    <row r="12904" spans="1:1" s="287" customFormat="1" ht="12" hidden="1" customHeight="1">
      <c r="A12904" s="286"/>
    </row>
    <row r="12905" spans="1:1" s="287" customFormat="1" ht="12" hidden="1" customHeight="1">
      <c r="A12905" s="286"/>
    </row>
    <row r="12906" spans="1:1" s="287" customFormat="1" ht="12" hidden="1" customHeight="1">
      <c r="A12906" s="286"/>
    </row>
    <row r="12907" spans="1:1" s="287" customFormat="1" ht="12" hidden="1" customHeight="1">
      <c r="A12907" s="286"/>
    </row>
    <row r="12908" spans="1:1" s="287" customFormat="1" ht="12" hidden="1" customHeight="1">
      <c r="A12908" s="286"/>
    </row>
    <row r="12909" spans="1:1" s="287" customFormat="1" ht="12" hidden="1" customHeight="1">
      <c r="A12909" s="286"/>
    </row>
    <row r="12910" spans="1:1" s="287" customFormat="1" ht="12" hidden="1" customHeight="1">
      <c r="A12910" s="286"/>
    </row>
    <row r="12911" spans="1:1" s="287" customFormat="1" ht="12" hidden="1" customHeight="1">
      <c r="A12911" s="286"/>
    </row>
    <row r="12912" spans="1:1" s="287" customFormat="1" ht="12" hidden="1" customHeight="1">
      <c r="A12912" s="286"/>
    </row>
    <row r="12913" spans="1:1" s="287" customFormat="1" ht="12" hidden="1" customHeight="1">
      <c r="A12913" s="286"/>
    </row>
    <row r="12914" spans="1:1" s="287" customFormat="1" ht="12" hidden="1" customHeight="1">
      <c r="A12914" s="286"/>
    </row>
    <row r="12915" spans="1:1" s="287" customFormat="1" ht="12" hidden="1" customHeight="1">
      <c r="A12915" s="286"/>
    </row>
    <row r="12916" spans="1:1" s="287" customFormat="1" ht="12" hidden="1" customHeight="1">
      <c r="A12916" s="286"/>
    </row>
    <row r="12917" spans="1:1" s="287" customFormat="1" ht="12" hidden="1" customHeight="1">
      <c r="A12917" s="286"/>
    </row>
    <row r="12918" spans="1:1" s="287" customFormat="1" ht="12" hidden="1" customHeight="1">
      <c r="A12918" s="286"/>
    </row>
    <row r="12919" spans="1:1" s="287" customFormat="1" ht="12" hidden="1" customHeight="1">
      <c r="A12919" s="286"/>
    </row>
    <row r="12920" spans="1:1" s="287" customFormat="1" ht="12" hidden="1" customHeight="1">
      <c r="A12920" s="286"/>
    </row>
    <row r="12921" spans="1:1" s="287" customFormat="1" ht="12" hidden="1" customHeight="1">
      <c r="A12921" s="286"/>
    </row>
    <row r="12922" spans="1:1" s="287" customFormat="1" ht="12" hidden="1" customHeight="1">
      <c r="A12922" s="286"/>
    </row>
    <row r="12923" spans="1:1" s="287" customFormat="1" ht="12" hidden="1" customHeight="1">
      <c r="A12923" s="286"/>
    </row>
    <row r="12924" spans="1:1" s="287" customFormat="1" ht="12" hidden="1" customHeight="1">
      <c r="A12924" s="286"/>
    </row>
    <row r="12925" spans="1:1" s="287" customFormat="1" ht="12" hidden="1" customHeight="1">
      <c r="A12925" s="286"/>
    </row>
    <row r="12926" spans="1:1" s="287" customFormat="1" ht="12" hidden="1" customHeight="1">
      <c r="A12926" s="286"/>
    </row>
    <row r="12927" spans="1:1" s="287" customFormat="1" ht="12" hidden="1" customHeight="1">
      <c r="A12927" s="286"/>
    </row>
    <row r="12928" spans="1:1" s="287" customFormat="1" ht="12" hidden="1" customHeight="1">
      <c r="A12928" s="286"/>
    </row>
    <row r="12929" spans="1:1" s="287" customFormat="1" ht="12" hidden="1" customHeight="1">
      <c r="A12929" s="286"/>
    </row>
    <row r="12930" spans="1:1" s="287" customFormat="1" ht="12" hidden="1" customHeight="1">
      <c r="A12930" s="286"/>
    </row>
    <row r="12931" spans="1:1" s="287" customFormat="1" ht="12" hidden="1" customHeight="1">
      <c r="A12931" s="286"/>
    </row>
    <row r="12932" spans="1:1" s="287" customFormat="1" ht="12" hidden="1" customHeight="1">
      <c r="A12932" s="286"/>
    </row>
    <row r="12933" spans="1:1" s="287" customFormat="1" ht="12" hidden="1" customHeight="1">
      <c r="A12933" s="286"/>
    </row>
    <row r="12934" spans="1:1" s="287" customFormat="1" ht="12" hidden="1" customHeight="1">
      <c r="A12934" s="286"/>
    </row>
    <row r="12935" spans="1:1" s="287" customFormat="1" ht="12" hidden="1" customHeight="1">
      <c r="A12935" s="286"/>
    </row>
    <row r="12936" spans="1:1" s="287" customFormat="1" ht="12" hidden="1" customHeight="1">
      <c r="A12936" s="286"/>
    </row>
    <row r="12937" spans="1:1" s="287" customFormat="1" ht="12" hidden="1" customHeight="1">
      <c r="A12937" s="286"/>
    </row>
    <row r="12938" spans="1:1" s="287" customFormat="1" ht="12" hidden="1" customHeight="1">
      <c r="A12938" s="286"/>
    </row>
    <row r="12939" spans="1:1" s="287" customFormat="1" ht="12" hidden="1" customHeight="1">
      <c r="A12939" s="286"/>
    </row>
    <row r="12940" spans="1:1" s="287" customFormat="1" ht="12" hidden="1" customHeight="1">
      <c r="A12940" s="286"/>
    </row>
    <row r="12941" spans="1:1" s="287" customFormat="1" ht="12" hidden="1" customHeight="1">
      <c r="A12941" s="286"/>
    </row>
    <row r="12942" spans="1:1" s="287" customFormat="1" ht="12" hidden="1" customHeight="1">
      <c r="A12942" s="286"/>
    </row>
    <row r="12943" spans="1:1" s="287" customFormat="1" ht="12" hidden="1" customHeight="1">
      <c r="A12943" s="286"/>
    </row>
    <row r="12944" spans="1:1" s="287" customFormat="1" ht="12" hidden="1" customHeight="1">
      <c r="A12944" s="286"/>
    </row>
    <row r="12945" spans="1:1" s="287" customFormat="1" ht="12" hidden="1" customHeight="1">
      <c r="A12945" s="286"/>
    </row>
    <row r="12946" spans="1:1" s="287" customFormat="1" ht="12" hidden="1" customHeight="1">
      <c r="A12946" s="286"/>
    </row>
    <row r="12947" spans="1:1" s="287" customFormat="1" ht="12" hidden="1" customHeight="1">
      <c r="A12947" s="286"/>
    </row>
    <row r="12948" spans="1:1" s="287" customFormat="1" ht="12" hidden="1" customHeight="1">
      <c r="A12948" s="286"/>
    </row>
    <row r="12949" spans="1:1" s="287" customFormat="1" ht="12" hidden="1" customHeight="1">
      <c r="A12949" s="286"/>
    </row>
    <row r="12950" spans="1:1" s="287" customFormat="1" ht="12" hidden="1" customHeight="1">
      <c r="A12950" s="286"/>
    </row>
    <row r="12951" spans="1:1" s="287" customFormat="1" ht="12" hidden="1" customHeight="1">
      <c r="A12951" s="286"/>
    </row>
    <row r="12952" spans="1:1" s="287" customFormat="1" ht="12" hidden="1" customHeight="1">
      <c r="A12952" s="286"/>
    </row>
    <row r="12953" spans="1:1" s="287" customFormat="1" ht="12" hidden="1" customHeight="1">
      <c r="A12953" s="286"/>
    </row>
    <row r="12954" spans="1:1" s="287" customFormat="1" ht="12" hidden="1" customHeight="1">
      <c r="A12954" s="286"/>
    </row>
    <row r="12955" spans="1:1" s="287" customFormat="1" ht="12" hidden="1" customHeight="1">
      <c r="A12955" s="286"/>
    </row>
    <row r="12956" spans="1:1" s="287" customFormat="1" ht="12" hidden="1" customHeight="1">
      <c r="A12956" s="286"/>
    </row>
    <row r="12957" spans="1:1" s="287" customFormat="1" ht="12" hidden="1" customHeight="1">
      <c r="A12957" s="286"/>
    </row>
    <row r="12958" spans="1:1" s="287" customFormat="1" ht="12" hidden="1" customHeight="1">
      <c r="A12958" s="286"/>
    </row>
    <row r="12959" spans="1:1" s="287" customFormat="1" ht="12" hidden="1" customHeight="1">
      <c r="A12959" s="286"/>
    </row>
    <row r="12960" spans="1:1" s="287" customFormat="1" ht="12" hidden="1" customHeight="1">
      <c r="A12960" s="286"/>
    </row>
    <row r="12961" spans="1:1" s="287" customFormat="1" ht="12" hidden="1" customHeight="1">
      <c r="A12961" s="286"/>
    </row>
    <row r="12962" spans="1:1" s="287" customFormat="1" ht="12" hidden="1" customHeight="1">
      <c r="A12962" s="286"/>
    </row>
    <row r="12963" spans="1:1" s="287" customFormat="1" ht="12" hidden="1" customHeight="1">
      <c r="A12963" s="286"/>
    </row>
    <row r="12964" spans="1:1" s="287" customFormat="1" ht="12" hidden="1" customHeight="1">
      <c r="A12964" s="286"/>
    </row>
    <row r="12965" spans="1:1" s="287" customFormat="1" ht="12" hidden="1" customHeight="1">
      <c r="A12965" s="286"/>
    </row>
    <row r="12966" spans="1:1" s="287" customFormat="1" ht="12" hidden="1" customHeight="1">
      <c r="A12966" s="286"/>
    </row>
    <row r="12967" spans="1:1" s="287" customFormat="1" ht="12" hidden="1" customHeight="1">
      <c r="A12967" s="286"/>
    </row>
    <row r="12968" spans="1:1" s="287" customFormat="1" ht="12" hidden="1" customHeight="1">
      <c r="A12968" s="286"/>
    </row>
    <row r="12969" spans="1:1" s="287" customFormat="1" ht="12" hidden="1" customHeight="1">
      <c r="A12969" s="286"/>
    </row>
    <row r="12970" spans="1:1" s="287" customFormat="1" ht="12" hidden="1" customHeight="1">
      <c r="A12970" s="286"/>
    </row>
    <row r="12971" spans="1:1" s="287" customFormat="1" ht="12" hidden="1" customHeight="1">
      <c r="A12971" s="286"/>
    </row>
    <row r="12972" spans="1:1" s="287" customFormat="1" ht="12" hidden="1" customHeight="1">
      <c r="A12972" s="286"/>
    </row>
    <row r="12973" spans="1:1" s="287" customFormat="1" ht="12" hidden="1" customHeight="1">
      <c r="A12973" s="286"/>
    </row>
    <row r="12974" spans="1:1" s="287" customFormat="1" ht="12" hidden="1" customHeight="1">
      <c r="A12974" s="286"/>
    </row>
    <row r="12975" spans="1:1" s="287" customFormat="1" ht="12" hidden="1" customHeight="1">
      <c r="A12975" s="286"/>
    </row>
    <row r="12976" spans="1:1" s="287" customFormat="1" ht="12" hidden="1" customHeight="1">
      <c r="A12976" s="286"/>
    </row>
    <row r="12977" spans="1:1" s="287" customFormat="1" ht="12" hidden="1" customHeight="1">
      <c r="A12977" s="286"/>
    </row>
    <row r="12978" spans="1:1" s="287" customFormat="1" ht="12" hidden="1" customHeight="1">
      <c r="A12978" s="286"/>
    </row>
    <row r="12979" spans="1:1" s="287" customFormat="1" ht="12" hidden="1" customHeight="1">
      <c r="A12979" s="286"/>
    </row>
    <row r="12980" spans="1:1" s="287" customFormat="1" ht="12" hidden="1" customHeight="1">
      <c r="A12980" s="286"/>
    </row>
    <row r="12981" spans="1:1" s="287" customFormat="1" ht="12" hidden="1" customHeight="1">
      <c r="A12981" s="286"/>
    </row>
    <row r="12982" spans="1:1" s="287" customFormat="1" ht="12" hidden="1" customHeight="1">
      <c r="A12982" s="286"/>
    </row>
    <row r="12983" spans="1:1" s="287" customFormat="1" ht="12" hidden="1" customHeight="1">
      <c r="A12983" s="286"/>
    </row>
    <row r="12984" spans="1:1" s="287" customFormat="1" ht="12" hidden="1" customHeight="1">
      <c r="A12984" s="286"/>
    </row>
    <row r="12985" spans="1:1" s="287" customFormat="1" ht="12" hidden="1" customHeight="1">
      <c r="A12985" s="286"/>
    </row>
    <row r="12986" spans="1:1" s="287" customFormat="1" ht="12" hidden="1" customHeight="1">
      <c r="A12986" s="286"/>
    </row>
    <row r="12987" spans="1:1" s="287" customFormat="1" ht="12" hidden="1" customHeight="1">
      <c r="A12987" s="286"/>
    </row>
    <row r="12988" spans="1:1" s="287" customFormat="1" ht="12" hidden="1" customHeight="1">
      <c r="A12988" s="286"/>
    </row>
    <row r="12989" spans="1:1" s="287" customFormat="1" ht="12" hidden="1" customHeight="1">
      <c r="A12989" s="286"/>
    </row>
    <row r="12990" spans="1:1" s="287" customFormat="1" ht="12" hidden="1" customHeight="1">
      <c r="A12990" s="286"/>
    </row>
    <row r="12991" spans="1:1" s="287" customFormat="1" ht="12" hidden="1" customHeight="1">
      <c r="A12991" s="286"/>
    </row>
    <row r="12992" spans="1:1" s="287" customFormat="1" ht="12" hidden="1" customHeight="1">
      <c r="A12992" s="286"/>
    </row>
    <row r="12993" spans="1:1" s="287" customFormat="1" ht="12" hidden="1" customHeight="1">
      <c r="A12993" s="286"/>
    </row>
    <row r="12994" spans="1:1" s="287" customFormat="1" ht="12" hidden="1" customHeight="1">
      <c r="A12994" s="286"/>
    </row>
    <row r="12995" spans="1:1" s="287" customFormat="1" ht="12" hidden="1" customHeight="1">
      <c r="A12995" s="286"/>
    </row>
    <row r="12996" spans="1:1" s="287" customFormat="1" ht="12" hidden="1" customHeight="1">
      <c r="A12996" s="286"/>
    </row>
    <row r="12997" spans="1:1" s="287" customFormat="1" ht="12" hidden="1" customHeight="1">
      <c r="A12997" s="286"/>
    </row>
    <row r="12998" spans="1:1" s="287" customFormat="1" ht="12" hidden="1" customHeight="1">
      <c r="A12998" s="286"/>
    </row>
    <row r="12999" spans="1:1" s="287" customFormat="1" ht="12" hidden="1" customHeight="1">
      <c r="A12999" s="286"/>
    </row>
    <row r="13000" spans="1:1" s="287" customFormat="1" ht="12" hidden="1" customHeight="1">
      <c r="A13000" s="286"/>
    </row>
    <row r="13001" spans="1:1" s="287" customFormat="1" ht="12" hidden="1" customHeight="1">
      <c r="A13001" s="286"/>
    </row>
    <row r="13002" spans="1:1" s="287" customFormat="1" ht="12" hidden="1" customHeight="1">
      <c r="A13002" s="286"/>
    </row>
    <row r="13003" spans="1:1" s="287" customFormat="1" ht="12" hidden="1" customHeight="1">
      <c r="A13003" s="286"/>
    </row>
    <row r="13004" spans="1:1" s="287" customFormat="1" ht="12" hidden="1" customHeight="1">
      <c r="A13004" s="286"/>
    </row>
    <row r="13005" spans="1:1" s="287" customFormat="1" ht="12" hidden="1" customHeight="1">
      <c r="A13005" s="286"/>
    </row>
    <row r="13006" spans="1:1" s="287" customFormat="1" ht="12" hidden="1" customHeight="1">
      <c r="A13006" s="286"/>
    </row>
    <row r="13007" spans="1:1" s="287" customFormat="1" ht="12" hidden="1" customHeight="1">
      <c r="A13007" s="286"/>
    </row>
    <row r="13008" spans="1:1" s="287" customFormat="1" ht="12" hidden="1" customHeight="1">
      <c r="A13008" s="286"/>
    </row>
    <row r="13009" spans="1:1" s="287" customFormat="1" ht="12" hidden="1" customHeight="1">
      <c r="A13009" s="286"/>
    </row>
    <row r="13010" spans="1:1" s="287" customFormat="1" ht="12" hidden="1" customHeight="1">
      <c r="A13010" s="286"/>
    </row>
    <row r="13011" spans="1:1" s="287" customFormat="1" ht="12" hidden="1" customHeight="1">
      <c r="A13011" s="286"/>
    </row>
    <row r="13012" spans="1:1" s="287" customFormat="1" ht="12" hidden="1" customHeight="1">
      <c r="A13012" s="286"/>
    </row>
    <row r="13013" spans="1:1" s="287" customFormat="1" ht="12" hidden="1" customHeight="1">
      <c r="A13013" s="286"/>
    </row>
    <row r="13014" spans="1:1" s="287" customFormat="1" ht="12" hidden="1" customHeight="1">
      <c r="A13014" s="286"/>
    </row>
    <row r="13015" spans="1:1" s="287" customFormat="1" ht="12" hidden="1" customHeight="1">
      <c r="A13015" s="286"/>
    </row>
    <row r="13016" spans="1:1" s="287" customFormat="1" ht="12" hidden="1" customHeight="1">
      <c r="A13016" s="286"/>
    </row>
    <row r="13017" spans="1:1" s="287" customFormat="1" ht="12" hidden="1" customHeight="1">
      <c r="A13017" s="286"/>
    </row>
    <row r="13018" spans="1:1" s="287" customFormat="1" ht="12" hidden="1" customHeight="1">
      <c r="A13018" s="286"/>
    </row>
    <row r="13019" spans="1:1" s="287" customFormat="1" ht="12" hidden="1" customHeight="1">
      <c r="A13019" s="286"/>
    </row>
    <row r="13020" spans="1:1" s="287" customFormat="1" ht="12" hidden="1" customHeight="1">
      <c r="A13020" s="286"/>
    </row>
    <row r="13021" spans="1:1" s="287" customFormat="1" ht="12" hidden="1" customHeight="1">
      <c r="A13021" s="286"/>
    </row>
    <row r="13022" spans="1:1" s="287" customFormat="1" ht="12" hidden="1" customHeight="1">
      <c r="A13022" s="286"/>
    </row>
    <row r="13023" spans="1:1" s="287" customFormat="1" ht="12" hidden="1" customHeight="1">
      <c r="A13023" s="286"/>
    </row>
    <row r="13024" spans="1:1" s="287" customFormat="1" ht="12" hidden="1" customHeight="1">
      <c r="A13024" s="286"/>
    </row>
    <row r="13025" spans="1:1" s="287" customFormat="1" ht="12" hidden="1" customHeight="1">
      <c r="A13025" s="286"/>
    </row>
    <row r="13026" spans="1:1" s="287" customFormat="1" ht="12" hidden="1" customHeight="1">
      <c r="A13026" s="286"/>
    </row>
    <row r="13027" spans="1:1" s="287" customFormat="1" ht="12" hidden="1" customHeight="1">
      <c r="A13027" s="286"/>
    </row>
    <row r="13028" spans="1:1" s="287" customFormat="1" ht="12" hidden="1" customHeight="1">
      <c r="A13028" s="286"/>
    </row>
    <row r="13029" spans="1:1" s="287" customFormat="1" ht="12" hidden="1" customHeight="1">
      <c r="A13029" s="286"/>
    </row>
    <row r="13030" spans="1:1" s="287" customFormat="1" ht="12" hidden="1" customHeight="1">
      <c r="A13030" s="286"/>
    </row>
    <row r="13031" spans="1:1" s="287" customFormat="1" ht="12" hidden="1" customHeight="1">
      <c r="A13031" s="286"/>
    </row>
    <row r="13032" spans="1:1" s="287" customFormat="1" ht="12" hidden="1" customHeight="1">
      <c r="A13032" s="286"/>
    </row>
    <row r="13033" spans="1:1" s="287" customFormat="1" ht="12" hidden="1" customHeight="1">
      <c r="A13033" s="286"/>
    </row>
    <row r="13034" spans="1:1" s="287" customFormat="1" ht="12" hidden="1" customHeight="1">
      <c r="A13034" s="286"/>
    </row>
    <row r="13035" spans="1:1" s="287" customFormat="1" ht="12" hidden="1" customHeight="1">
      <c r="A13035" s="286"/>
    </row>
    <row r="13036" spans="1:1" s="287" customFormat="1" ht="12" hidden="1" customHeight="1">
      <c r="A13036" s="286"/>
    </row>
    <row r="13037" spans="1:1" s="287" customFormat="1" ht="12" hidden="1" customHeight="1">
      <c r="A13037" s="286"/>
    </row>
    <row r="13038" spans="1:1" s="287" customFormat="1" ht="12" hidden="1" customHeight="1">
      <c r="A13038" s="286"/>
    </row>
    <row r="13039" spans="1:1" s="287" customFormat="1" ht="12" hidden="1" customHeight="1">
      <c r="A13039" s="286"/>
    </row>
    <row r="13040" spans="1:1" s="287" customFormat="1" ht="12" hidden="1" customHeight="1">
      <c r="A13040" s="286"/>
    </row>
    <row r="13041" spans="1:1" s="287" customFormat="1" ht="12" hidden="1" customHeight="1">
      <c r="A13041" s="286"/>
    </row>
    <row r="13042" spans="1:1" s="287" customFormat="1" ht="12" hidden="1" customHeight="1">
      <c r="A13042" s="286"/>
    </row>
    <row r="13043" spans="1:1" s="287" customFormat="1" ht="12" hidden="1" customHeight="1">
      <c r="A13043" s="286"/>
    </row>
    <row r="13044" spans="1:1" s="287" customFormat="1" ht="12" hidden="1" customHeight="1">
      <c r="A13044" s="286"/>
    </row>
    <row r="13045" spans="1:1" s="287" customFormat="1" ht="12" hidden="1" customHeight="1">
      <c r="A13045" s="286"/>
    </row>
    <row r="13046" spans="1:1" s="287" customFormat="1" ht="12" hidden="1" customHeight="1">
      <c r="A13046" s="286"/>
    </row>
    <row r="13047" spans="1:1" s="287" customFormat="1" ht="12" hidden="1" customHeight="1">
      <c r="A13047" s="286"/>
    </row>
    <row r="13048" spans="1:1" s="287" customFormat="1" ht="12" hidden="1" customHeight="1">
      <c r="A13048" s="286"/>
    </row>
    <row r="13049" spans="1:1" s="287" customFormat="1" ht="12" hidden="1" customHeight="1">
      <c r="A13049" s="286"/>
    </row>
    <row r="13050" spans="1:1" s="287" customFormat="1" ht="12" hidden="1" customHeight="1">
      <c r="A13050" s="286"/>
    </row>
    <row r="13051" spans="1:1" s="287" customFormat="1" ht="12" hidden="1" customHeight="1">
      <c r="A13051" s="286"/>
    </row>
    <row r="13052" spans="1:1" s="287" customFormat="1" ht="12" hidden="1" customHeight="1">
      <c r="A13052" s="286"/>
    </row>
    <row r="13053" spans="1:1" s="287" customFormat="1" ht="12" hidden="1" customHeight="1">
      <c r="A13053" s="286"/>
    </row>
    <row r="13054" spans="1:1" s="287" customFormat="1" ht="12" hidden="1" customHeight="1">
      <c r="A13054" s="286"/>
    </row>
    <row r="13055" spans="1:1" s="287" customFormat="1" ht="12" hidden="1" customHeight="1">
      <c r="A13055" s="286"/>
    </row>
    <row r="13056" spans="1:1" s="287" customFormat="1" ht="12" hidden="1" customHeight="1">
      <c r="A13056" s="286"/>
    </row>
    <row r="13057" spans="1:1" s="287" customFormat="1" ht="12" hidden="1" customHeight="1">
      <c r="A13057" s="286"/>
    </row>
    <row r="13058" spans="1:1" s="287" customFormat="1" ht="12" hidden="1" customHeight="1">
      <c r="A13058" s="286"/>
    </row>
    <row r="13059" spans="1:1" s="287" customFormat="1" ht="12" hidden="1" customHeight="1">
      <c r="A13059" s="286"/>
    </row>
    <row r="13060" spans="1:1" s="287" customFormat="1" ht="12" hidden="1" customHeight="1">
      <c r="A13060" s="286"/>
    </row>
    <row r="13061" spans="1:1" s="287" customFormat="1" ht="12" hidden="1" customHeight="1">
      <c r="A13061" s="286"/>
    </row>
    <row r="13062" spans="1:1" s="287" customFormat="1" ht="12" hidden="1" customHeight="1">
      <c r="A13062" s="286"/>
    </row>
    <row r="13063" spans="1:1" s="287" customFormat="1" ht="12" hidden="1" customHeight="1">
      <c r="A13063" s="286"/>
    </row>
    <row r="13064" spans="1:1" s="287" customFormat="1" ht="12" hidden="1" customHeight="1">
      <c r="A13064" s="286"/>
    </row>
    <row r="13065" spans="1:1" s="287" customFormat="1" ht="12" hidden="1" customHeight="1">
      <c r="A13065" s="286"/>
    </row>
    <row r="13066" spans="1:1" s="287" customFormat="1" ht="12" hidden="1" customHeight="1">
      <c r="A13066" s="286"/>
    </row>
    <row r="13067" spans="1:1" s="287" customFormat="1" ht="12" hidden="1" customHeight="1">
      <c r="A13067" s="286"/>
    </row>
    <row r="13068" spans="1:1" s="287" customFormat="1" ht="12" hidden="1" customHeight="1">
      <c r="A13068" s="286"/>
    </row>
    <row r="13069" spans="1:1" s="287" customFormat="1" ht="12" hidden="1" customHeight="1">
      <c r="A13069" s="286"/>
    </row>
    <row r="13070" spans="1:1" s="287" customFormat="1" ht="12" hidden="1" customHeight="1">
      <c r="A13070" s="286"/>
    </row>
    <row r="13071" spans="1:1" s="287" customFormat="1" ht="12" hidden="1" customHeight="1">
      <c r="A13071" s="286"/>
    </row>
    <row r="13072" spans="1:1" s="287" customFormat="1" ht="12" hidden="1" customHeight="1">
      <c r="A13072" s="286"/>
    </row>
    <row r="13073" spans="1:1" s="287" customFormat="1" ht="12" hidden="1" customHeight="1">
      <c r="A13073" s="286"/>
    </row>
    <row r="13074" spans="1:1" s="287" customFormat="1" ht="12" hidden="1" customHeight="1">
      <c r="A13074" s="286"/>
    </row>
    <row r="13075" spans="1:1" s="287" customFormat="1" ht="12" hidden="1" customHeight="1">
      <c r="A13075" s="286"/>
    </row>
    <row r="13076" spans="1:1" s="287" customFormat="1" ht="12" hidden="1" customHeight="1">
      <c r="A13076" s="286"/>
    </row>
    <row r="13077" spans="1:1" s="287" customFormat="1" ht="12" hidden="1" customHeight="1">
      <c r="A13077" s="286"/>
    </row>
    <row r="13078" spans="1:1" s="287" customFormat="1" ht="12" hidden="1" customHeight="1">
      <c r="A13078" s="286"/>
    </row>
    <row r="13079" spans="1:1" s="287" customFormat="1" ht="12" hidden="1" customHeight="1">
      <c r="A13079" s="286"/>
    </row>
    <row r="13080" spans="1:1" s="287" customFormat="1" ht="12" hidden="1" customHeight="1">
      <c r="A13080" s="286"/>
    </row>
    <row r="13081" spans="1:1" s="287" customFormat="1" ht="12" hidden="1" customHeight="1">
      <c r="A13081" s="286"/>
    </row>
    <row r="13082" spans="1:1" s="287" customFormat="1" ht="12" hidden="1" customHeight="1">
      <c r="A13082" s="286"/>
    </row>
    <row r="13083" spans="1:1" s="287" customFormat="1" ht="12" hidden="1" customHeight="1">
      <c r="A13083" s="286"/>
    </row>
    <row r="13084" spans="1:1" s="287" customFormat="1" ht="12" hidden="1" customHeight="1">
      <c r="A13084" s="286"/>
    </row>
    <row r="13085" spans="1:1" s="287" customFormat="1" ht="12" hidden="1" customHeight="1">
      <c r="A13085" s="286"/>
    </row>
    <row r="13086" spans="1:1" s="287" customFormat="1" ht="12" hidden="1" customHeight="1">
      <c r="A13086" s="286"/>
    </row>
    <row r="13087" spans="1:1" s="287" customFormat="1" ht="12" hidden="1" customHeight="1">
      <c r="A13087" s="286"/>
    </row>
    <row r="13088" spans="1:1" s="287" customFormat="1" ht="12" hidden="1" customHeight="1">
      <c r="A13088" s="286"/>
    </row>
    <row r="13089" spans="1:1" s="287" customFormat="1" ht="12" hidden="1" customHeight="1">
      <c r="A13089" s="286"/>
    </row>
    <row r="13090" spans="1:1" s="287" customFormat="1" ht="12" hidden="1" customHeight="1">
      <c r="A13090" s="286"/>
    </row>
    <row r="13091" spans="1:1" s="287" customFormat="1" ht="12" hidden="1" customHeight="1">
      <c r="A13091" s="286"/>
    </row>
    <row r="13092" spans="1:1" s="287" customFormat="1" ht="12" hidden="1" customHeight="1">
      <c r="A13092" s="286"/>
    </row>
    <row r="13093" spans="1:1" s="287" customFormat="1" ht="12" hidden="1" customHeight="1">
      <c r="A13093" s="286"/>
    </row>
    <row r="13094" spans="1:1" s="287" customFormat="1" ht="12" hidden="1" customHeight="1">
      <c r="A13094" s="286"/>
    </row>
    <row r="13095" spans="1:1" s="287" customFormat="1" ht="12" hidden="1" customHeight="1">
      <c r="A13095" s="286"/>
    </row>
    <row r="13096" spans="1:1" s="287" customFormat="1" ht="12" hidden="1" customHeight="1">
      <c r="A13096" s="286"/>
    </row>
    <row r="13097" spans="1:1" s="287" customFormat="1" ht="12" hidden="1" customHeight="1">
      <c r="A13097" s="286"/>
    </row>
    <row r="13098" spans="1:1" s="287" customFormat="1" ht="12" hidden="1" customHeight="1">
      <c r="A13098" s="286"/>
    </row>
    <row r="13099" spans="1:1" s="287" customFormat="1" ht="12" hidden="1" customHeight="1">
      <c r="A13099" s="286"/>
    </row>
    <row r="13100" spans="1:1" s="287" customFormat="1" ht="12" hidden="1" customHeight="1">
      <c r="A13100" s="286"/>
    </row>
    <row r="13101" spans="1:1" s="287" customFormat="1" ht="12" hidden="1" customHeight="1">
      <c r="A13101" s="286"/>
    </row>
    <row r="13102" spans="1:1" s="287" customFormat="1" ht="12" hidden="1" customHeight="1">
      <c r="A13102" s="286"/>
    </row>
    <row r="13103" spans="1:1" s="287" customFormat="1" ht="12" hidden="1" customHeight="1">
      <c r="A13103" s="286"/>
    </row>
    <row r="13104" spans="1:1" s="287" customFormat="1" ht="12" hidden="1" customHeight="1">
      <c r="A13104" s="286"/>
    </row>
    <row r="13105" spans="1:1" s="287" customFormat="1" ht="12" hidden="1" customHeight="1">
      <c r="A13105" s="286"/>
    </row>
    <row r="13106" spans="1:1" s="287" customFormat="1" ht="12" hidden="1" customHeight="1">
      <c r="A13106" s="286"/>
    </row>
    <row r="13107" spans="1:1" s="287" customFormat="1" ht="12" hidden="1" customHeight="1">
      <c r="A13107" s="286"/>
    </row>
    <row r="13108" spans="1:1" s="287" customFormat="1" ht="12" hidden="1" customHeight="1">
      <c r="A13108" s="286"/>
    </row>
    <row r="13109" spans="1:1" s="287" customFormat="1" ht="12" hidden="1" customHeight="1">
      <c r="A13109" s="286"/>
    </row>
    <row r="13110" spans="1:1" s="287" customFormat="1" ht="12" hidden="1" customHeight="1">
      <c r="A13110" s="286"/>
    </row>
    <row r="13111" spans="1:1" s="287" customFormat="1" ht="12" hidden="1" customHeight="1">
      <c r="A13111" s="286"/>
    </row>
    <row r="13112" spans="1:1" s="287" customFormat="1" ht="12" hidden="1" customHeight="1">
      <c r="A13112" s="286"/>
    </row>
    <row r="13113" spans="1:1" s="287" customFormat="1" ht="12" hidden="1" customHeight="1">
      <c r="A13113" s="286"/>
    </row>
    <row r="13114" spans="1:1" s="287" customFormat="1" ht="12" hidden="1" customHeight="1">
      <c r="A13114" s="286"/>
    </row>
    <row r="13115" spans="1:1" s="287" customFormat="1" ht="12" hidden="1" customHeight="1">
      <c r="A13115" s="286"/>
    </row>
    <row r="13116" spans="1:1" s="287" customFormat="1" ht="12" hidden="1" customHeight="1">
      <c r="A13116" s="286"/>
    </row>
    <row r="13117" spans="1:1" s="287" customFormat="1" ht="12" hidden="1" customHeight="1">
      <c r="A13117" s="286"/>
    </row>
    <row r="13118" spans="1:1" s="287" customFormat="1" ht="12" hidden="1" customHeight="1">
      <c r="A13118" s="286"/>
    </row>
    <row r="13119" spans="1:1" s="287" customFormat="1" ht="12" hidden="1" customHeight="1">
      <c r="A13119" s="286"/>
    </row>
    <row r="13120" spans="1:1" s="287" customFormat="1" ht="12" hidden="1" customHeight="1">
      <c r="A13120" s="286"/>
    </row>
    <row r="13121" spans="1:1" s="287" customFormat="1" ht="12" hidden="1" customHeight="1">
      <c r="A13121" s="286"/>
    </row>
    <row r="13122" spans="1:1" s="287" customFormat="1" ht="12" hidden="1" customHeight="1">
      <c r="A13122" s="286"/>
    </row>
    <row r="13123" spans="1:1" s="287" customFormat="1" ht="12" hidden="1" customHeight="1">
      <c r="A13123" s="286"/>
    </row>
    <row r="13124" spans="1:1" s="287" customFormat="1" ht="12" hidden="1" customHeight="1">
      <c r="A13124" s="286"/>
    </row>
    <row r="13125" spans="1:1" s="287" customFormat="1" ht="12" hidden="1" customHeight="1">
      <c r="A13125" s="286"/>
    </row>
    <row r="13126" spans="1:1" s="287" customFormat="1" ht="12" hidden="1" customHeight="1">
      <c r="A13126" s="286"/>
    </row>
    <row r="13127" spans="1:1" s="287" customFormat="1" ht="12" hidden="1" customHeight="1">
      <c r="A13127" s="286"/>
    </row>
    <row r="13128" spans="1:1" s="287" customFormat="1" ht="12" hidden="1" customHeight="1">
      <c r="A13128" s="286"/>
    </row>
    <row r="13129" spans="1:1" s="287" customFormat="1" ht="12" hidden="1" customHeight="1">
      <c r="A13129" s="286"/>
    </row>
    <row r="13130" spans="1:1" s="287" customFormat="1" ht="12" hidden="1" customHeight="1">
      <c r="A13130" s="286"/>
    </row>
    <row r="13131" spans="1:1" s="287" customFormat="1" ht="12" hidden="1" customHeight="1">
      <c r="A13131" s="286"/>
    </row>
    <row r="13132" spans="1:1" s="287" customFormat="1" ht="12" hidden="1" customHeight="1">
      <c r="A13132" s="286"/>
    </row>
    <row r="13133" spans="1:1" s="287" customFormat="1" ht="12" hidden="1" customHeight="1">
      <c r="A13133" s="286"/>
    </row>
    <row r="13134" spans="1:1" s="287" customFormat="1" ht="12" hidden="1" customHeight="1">
      <c r="A13134" s="286"/>
    </row>
    <row r="13135" spans="1:1" s="287" customFormat="1" ht="12" hidden="1" customHeight="1">
      <c r="A13135" s="286"/>
    </row>
    <row r="13136" spans="1:1" s="287" customFormat="1" ht="12" hidden="1" customHeight="1">
      <c r="A13136" s="286"/>
    </row>
    <row r="13137" spans="1:1" s="287" customFormat="1" ht="12" hidden="1" customHeight="1">
      <c r="A13137" s="286"/>
    </row>
    <row r="13138" spans="1:1" s="287" customFormat="1" ht="12" hidden="1" customHeight="1">
      <c r="A13138" s="286"/>
    </row>
    <row r="13139" spans="1:1" s="287" customFormat="1" ht="12" hidden="1" customHeight="1">
      <c r="A13139" s="286"/>
    </row>
    <row r="13140" spans="1:1" s="287" customFormat="1" ht="12" hidden="1" customHeight="1">
      <c r="A13140" s="286"/>
    </row>
    <row r="13141" spans="1:1" s="287" customFormat="1" ht="12" hidden="1" customHeight="1">
      <c r="A13141" s="286"/>
    </row>
    <row r="13142" spans="1:1" s="287" customFormat="1" ht="12" hidden="1" customHeight="1">
      <c r="A13142" s="286"/>
    </row>
    <row r="13143" spans="1:1" s="287" customFormat="1" ht="12" hidden="1" customHeight="1">
      <c r="A13143" s="286"/>
    </row>
    <row r="13144" spans="1:1" s="287" customFormat="1" ht="12" hidden="1" customHeight="1">
      <c r="A13144" s="286"/>
    </row>
    <row r="13145" spans="1:1" s="287" customFormat="1" ht="12" hidden="1" customHeight="1">
      <c r="A13145" s="286"/>
    </row>
    <row r="13146" spans="1:1" s="287" customFormat="1" ht="12" hidden="1" customHeight="1">
      <c r="A13146" s="286"/>
    </row>
    <row r="13147" spans="1:1" s="287" customFormat="1" ht="12" hidden="1" customHeight="1">
      <c r="A13147" s="286"/>
    </row>
    <row r="13148" spans="1:1" s="287" customFormat="1" ht="12" hidden="1" customHeight="1">
      <c r="A13148" s="286"/>
    </row>
    <row r="13149" spans="1:1" s="287" customFormat="1" ht="12" hidden="1" customHeight="1">
      <c r="A13149" s="286"/>
    </row>
    <row r="13150" spans="1:1" s="287" customFormat="1" ht="12" hidden="1" customHeight="1">
      <c r="A13150" s="286"/>
    </row>
    <row r="13151" spans="1:1" s="287" customFormat="1" ht="12" hidden="1" customHeight="1">
      <c r="A13151" s="286"/>
    </row>
    <row r="13152" spans="1:1" s="287" customFormat="1" ht="12" hidden="1" customHeight="1">
      <c r="A13152" s="286"/>
    </row>
    <row r="13153" spans="1:1" s="287" customFormat="1" ht="12" hidden="1" customHeight="1">
      <c r="A13153" s="286"/>
    </row>
    <row r="13154" spans="1:1" s="287" customFormat="1" ht="12" hidden="1" customHeight="1">
      <c r="A13154" s="286"/>
    </row>
    <row r="13155" spans="1:1" s="287" customFormat="1" ht="12" hidden="1" customHeight="1">
      <c r="A13155" s="286"/>
    </row>
    <row r="13156" spans="1:1" s="287" customFormat="1" ht="12" hidden="1" customHeight="1">
      <c r="A13156" s="286"/>
    </row>
    <row r="13157" spans="1:1" s="287" customFormat="1" ht="12" hidden="1" customHeight="1">
      <c r="A13157" s="286"/>
    </row>
    <row r="13158" spans="1:1" s="287" customFormat="1" ht="12" hidden="1" customHeight="1">
      <c r="A13158" s="286"/>
    </row>
    <row r="13159" spans="1:1" s="287" customFormat="1" ht="12" hidden="1" customHeight="1">
      <c r="A13159" s="286"/>
    </row>
    <row r="13160" spans="1:1" s="287" customFormat="1" ht="12" hidden="1" customHeight="1">
      <c r="A13160" s="286"/>
    </row>
    <row r="13161" spans="1:1" s="287" customFormat="1" ht="12" hidden="1" customHeight="1">
      <c r="A13161" s="286"/>
    </row>
    <row r="13162" spans="1:1" s="287" customFormat="1" ht="12" hidden="1" customHeight="1">
      <c r="A13162" s="286"/>
    </row>
    <row r="13163" spans="1:1" s="287" customFormat="1" ht="12" hidden="1" customHeight="1">
      <c r="A13163" s="286"/>
    </row>
    <row r="13164" spans="1:1" s="287" customFormat="1" ht="12" hidden="1" customHeight="1">
      <c r="A13164" s="286"/>
    </row>
    <row r="13165" spans="1:1" s="287" customFormat="1" ht="12" hidden="1" customHeight="1">
      <c r="A13165" s="286"/>
    </row>
    <row r="13166" spans="1:1" s="287" customFormat="1" ht="12" hidden="1" customHeight="1">
      <c r="A13166" s="286"/>
    </row>
    <row r="13167" spans="1:1" s="287" customFormat="1" ht="12" hidden="1" customHeight="1">
      <c r="A13167" s="286"/>
    </row>
    <row r="13168" spans="1:1" s="287" customFormat="1" ht="12" hidden="1" customHeight="1">
      <c r="A13168" s="286"/>
    </row>
    <row r="13169" spans="1:1" s="287" customFormat="1" ht="12" hidden="1" customHeight="1">
      <c r="A13169" s="286"/>
    </row>
    <row r="13170" spans="1:1" s="287" customFormat="1" ht="12" hidden="1" customHeight="1">
      <c r="A13170" s="286"/>
    </row>
    <row r="13171" spans="1:1" s="287" customFormat="1" ht="12" hidden="1" customHeight="1">
      <c r="A13171" s="286"/>
    </row>
    <row r="13172" spans="1:1" s="287" customFormat="1" ht="12" hidden="1" customHeight="1">
      <c r="A13172" s="286"/>
    </row>
    <row r="13173" spans="1:1" s="287" customFormat="1" ht="12" hidden="1" customHeight="1">
      <c r="A13173" s="286"/>
    </row>
    <row r="13174" spans="1:1" s="287" customFormat="1" ht="12" hidden="1" customHeight="1">
      <c r="A13174" s="286"/>
    </row>
    <row r="13175" spans="1:1" s="287" customFormat="1" ht="12" hidden="1" customHeight="1">
      <c r="A13175" s="286"/>
    </row>
    <row r="13176" spans="1:1" s="287" customFormat="1" ht="12" hidden="1" customHeight="1">
      <c r="A13176" s="286"/>
    </row>
    <row r="13177" spans="1:1" s="287" customFormat="1" ht="12" hidden="1" customHeight="1">
      <c r="A13177" s="286"/>
    </row>
    <row r="13178" spans="1:1" s="287" customFormat="1" ht="12" hidden="1" customHeight="1">
      <c r="A13178" s="286"/>
    </row>
    <row r="13179" spans="1:1" s="287" customFormat="1" ht="12" hidden="1" customHeight="1">
      <c r="A13179" s="286"/>
    </row>
    <row r="13180" spans="1:1" s="287" customFormat="1" ht="12" hidden="1" customHeight="1">
      <c r="A13180" s="286"/>
    </row>
    <row r="13181" spans="1:1" s="287" customFormat="1" ht="12" hidden="1" customHeight="1">
      <c r="A13181" s="286"/>
    </row>
    <row r="13182" spans="1:1" s="287" customFormat="1" ht="12" hidden="1" customHeight="1">
      <c r="A13182" s="286"/>
    </row>
    <row r="13183" spans="1:1" s="287" customFormat="1" ht="12" hidden="1" customHeight="1">
      <c r="A13183" s="286"/>
    </row>
    <row r="13184" spans="1:1" s="287" customFormat="1" ht="12" hidden="1" customHeight="1">
      <c r="A13184" s="286"/>
    </row>
    <row r="13185" spans="1:1" s="287" customFormat="1" ht="12" hidden="1" customHeight="1">
      <c r="A13185" s="286"/>
    </row>
    <row r="13186" spans="1:1" s="287" customFormat="1" ht="12" hidden="1" customHeight="1">
      <c r="A13186" s="286"/>
    </row>
    <row r="13187" spans="1:1" s="287" customFormat="1" ht="12" hidden="1" customHeight="1">
      <c r="A13187" s="286"/>
    </row>
    <row r="13188" spans="1:1" s="287" customFormat="1" ht="12" hidden="1" customHeight="1">
      <c r="A13188" s="286"/>
    </row>
    <row r="13189" spans="1:1" s="287" customFormat="1" ht="12" hidden="1" customHeight="1">
      <c r="A13189" s="286"/>
    </row>
    <row r="13190" spans="1:1" s="287" customFormat="1" ht="12" hidden="1" customHeight="1">
      <c r="A13190" s="286"/>
    </row>
    <row r="13191" spans="1:1" s="287" customFormat="1" ht="12" hidden="1" customHeight="1">
      <c r="A13191" s="286"/>
    </row>
    <row r="13192" spans="1:1" s="287" customFormat="1" ht="12" hidden="1" customHeight="1">
      <c r="A13192" s="286"/>
    </row>
    <row r="13193" spans="1:1" s="287" customFormat="1" ht="12" hidden="1" customHeight="1">
      <c r="A13193" s="286"/>
    </row>
    <row r="13194" spans="1:1" s="287" customFormat="1" ht="12" hidden="1" customHeight="1">
      <c r="A13194" s="286"/>
    </row>
    <row r="13195" spans="1:1" s="287" customFormat="1" ht="12" hidden="1" customHeight="1">
      <c r="A13195" s="286"/>
    </row>
    <row r="13196" spans="1:1" s="287" customFormat="1" ht="12" hidden="1" customHeight="1">
      <c r="A13196" s="286"/>
    </row>
    <row r="13197" spans="1:1" s="287" customFormat="1" ht="12" hidden="1" customHeight="1">
      <c r="A13197" s="286"/>
    </row>
    <row r="13198" spans="1:1" s="287" customFormat="1" ht="12" hidden="1" customHeight="1">
      <c r="A13198" s="286"/>
    </row>
    <row r="13199" spans="1:1" s="287" customFormat="1" ht="12" hidden="1" customHeight="1">
      <c r="A13199" s="286"/>
    </row>
    <row r="13200" spans="1:1" s="287" customFormat="1" ht="12" hidden="1" customHeight="1">
      <c r="A13200" s="286"/>
    </row>
    <row r="13201" spans="1:1" s="287" customFormat="1" ht="12" hidden="1" customHeight="1">
      <c r="A13201" s="286"/>
    </row>
    <row r="13202" spans="1:1" s="287" customFormat="1" ht="12" hidden="1" customHeight="1">
      <c r="A13202" s="286"/>
    </row>
    <row r="13203" spans="1:1" s="287" customFormat="1" ht="12" hidden="1" customHeight="1">
      <c r="A13203" s="286"/>
    </row>
    <row r="13204" spans="1:1" s="287" customFormat="1" ht="12" hidden="1" customHeight="1">
      <c r="A13204" s="286"/>
    </row>
    <row r="13205" spans="1:1" s="287" customFormat="1" ht="12" hidden="1" customHeight="1">
      <c r="A13205" s="286"/>
    </row>
    <row r="13206" spans="1:1" s="287" customFormat="1" ht="12" hidden="1" customHeight="1">
      <c r="A13206" s="286"/>
    </row>
    <row r="13207" spans="1:1" s="287" customFormat="1" ht="12" hidden="1" customHeight="1">
      <c r="A13207" s="286"/>
    </row>
    <row r="13208" spans="1:1" s="287" customFormat="1" ht="12" hidden="1" customHeight="1">
      <c r="A13208" s="286"/>
    </row>
    <row r="13209" spans="1:1" s="287" customFormat="1" ht="12" hidden="1" customHeight="1">
      <c r="A13209" s="286"/>
    </row>
    <row r="13210" spans="1:1" s="287" customFormat="1" ht="12" hidden="1" customHeight="1">
      <c r="A13210" s="286"/>
    </row>
    <row r="13211" spans="1:1" s="287" customFormat="1" ht="12" hidden="1" customHeight="1">
      <c r="A13211" s="286"/>
    </row>
    <row r="13212" spans="1:1" s="287" customFormat="1" ht="12" hidden="1" customHeight="1">
      <c r="A13212" s="286"/>
    </row>
    <row r="13213" spans="1:1" s="287" customFormat="1" ht="12" hidden="1" customHeight="1">
      <c r="A13213" s="286"/>
    </row>
    <row r="13214" spans="1:1" s="287" customFormat="1" ht="12" hidden="1" customHeight="1">
      <c r="A13214" s="286"/>
    </row>
    <row r="13215" spans="1:1" s="287" customFormat="1" ht="12" hidden="1" customHeight="1">
      <c r="A13215" s="286"/>
    </row>
    <row r="13216" spans="1:1" s="287" customFormat="1" ht="12" hidden="1" customHeight="1">
      <c r="A13216" s="286"/>
    </row>
    <row r="13217" spans="1:1" s="287" customFormat="1" ht="12" hidden="1" customHeight="1">
      <c r="A13217" s="286"/>
    </row>
    <row r="13218" spans="1:1" s="287" customFormat="1" ht="12" hidden="1" customHeight="1">
      <c r="A13218" s="286"/>
    </row>
    <row r="13219" spans="1:1" s="287" customFormat="1" ht="12" hidden="1" customHeight="1">
      <c r="A13219" s="286"/>
    </row>
    <row r="13220" spans="1:1" s="287" customFormat="1" ht="12" hidden="1" customHeight="1">
      <c r="A13220" s="286"/>
    </row>
    <row r="13221" spans="1:1" s="287" customFormat="1" ht="12" hidden="1" customHeight="1">
      <c r="A13221" s="286"/>
    </row>
    <row r="13222" spans="1:1" s="287" customFormat="1" ht="12" hidden="1" customHeight="1">
      <c r="A13222" s="286"/>
    </row>
    <row r="13223" spans="1:1" s="287" customFormat="1" ht="12" hidden="1" customHeight="1">
      <c r="A13223" s="286"/>
    </row>
    <row r="13224" spans="1:1" s="287" customFormat="1" ht="12" hidden="1" customHeight="1">
      <c r="A13224" s="286"/>
    </row>
    <row r="13225" spans="1:1" s="287" customFormat="1" ht="12" hidden="1" customHeight="1">
      <c r="A13225" s="286"/>
    </row>
    <row r="13226" spans="1:1" s="287" customFormat="1" ht="12" hidden="1" customHeight="1">
      <c r="A13226" s="286"/>
    </row>
    <row r="13227" spans="1:1" s="287" customFormat="1" ht="12" hidden="1" customHeight="1">
      <c r="A13227" s="286"/>
    </row>
    <row r="13228" spans="1:1" s="287" customFormat="1" ht="12" hidden="1" customHeight="1">
      <c r="A13228" s="286"/>
    </row>
    <row r="13229" spans="1:1" s="287" customFormat="1" ht="12" hidden="1" customHeight="1">
      <c r="A13229" s="286"/>
    </row>
    <row r="13230" spans="1:1" s="287" customFormat="1" ht="12" hidden="1" customHeight="1">
      <c r="A13230" s="286"/>
    </row>
    <row r="13231" spans="1:1" s="287" customFormat="1" ht="12" hidden="1" customHeight="1">
      <c r="A13231" s="286"/>
    </row>
    <row r="13232" spans="1:1" s="287" customFormat="1" ht="12" hidden="1" customHeight="1">
      <c r="A13232" s="286"/>
    </row>
    <row r="13233" spans="1:1" s="287" customFormat="1" ht="12" hidden="1" customHeight="1">
      <c r="A13233" s="286"/>
    </row>
    <row r="13234" spans="1:1" s="287" customFormat="1" ht="12" hidden="1" customHeight="1">
      <c r="A13234" s="286"/>
    </row>
    <row r="13235" spans="1:1" s="287" customFormat="1" ht="12" hidden="1" customHeight="1">
      <c r="A13235" s="286"/>
    </row>
    <row r="13236" spans="1:1" s="287" customFormat="1" ht="12" hidden="1" customHeight="1">
      <c r="A13236" s="286"/>
    </row>
    <row r="13237" spans="1:1" s="287" customFormat="1" ht="12" hidden="1" customHeight="1">
      <c r="A13237" s="286"/>
    </row>
    <row r="13238" spans="1:1" s="287" customFormat="1" ht="12" hidden="1" customHeight="1">
      <c r="A13238" s="286"/>
    </row>
    <row r="13239" spans="1:1" s="287" customFormat="1" ht="12" hidden="1" customHeight="1">
      <c r="A13239" s="286"/>
    </row>
    <row r="13240" spans="1:1" s="287" customFormat="1" ht="12" hidden="1" customHeight="1">
      <c r="A13240" s="286"/>
    </row>
    <row r="13241" spans="1:1" s="287" customFormat="1" ht="12" hidden="1" customHeight="1">
      <c r="A13241" s="286"/>
    </row>
    <row r="13242" spans="1:1" s="287" customFormat="1" ht="12" hidden="1" customHeight="1">
      <c r="A13242" s="286"/>
    </row>
    <row r="13243" spans="1:1" s="287" customFormat="1" ht="12" hidden="1" customHeight="1">
      <c r="A13243" s="286"/>
    </row>
    <row r="13244" spans="1:1" s="287" customFormat="1" ht="12" hidden="1" customHeight="1">
      <c r="A13244" s="286"/>
    </row>
    <row r="13245" spans="1:1" s="287" customFormat="1" ht="12" hidden="1" customHeight="1">
      <c r="A13245" s="286"/>
    </row>
    <row r="13246" spans="1:1" s="287" customFormat="1" ht="12" hidden="1" customHeight="1">
      <c r="A13246" s="286"/>
    </row>
    <row r="13247" spans="1:1" s="287" customFormat="1" ht="12" hidden="1" customHeight="1">
      <c r="A13247" s="286"/>
    </row>
    <row r="13248" spans="1:1" s="287" customFormat="1" ht="12" hidden="1" customHeight="1">
      <c r="A13248" s="286"/>
    </row>
    <row r="13249" spans="1:1" s="287" customFormat="1" ht="12" hidden="1" customHeight="1">
      <c r="A13249" s="286"/>
    </row>
    <row r="13250" spans="1:1" s="287" customFormat="1" ht="12" hidden="1" customHeight="1">
      <c r="A13250" s="286"/>
    </row>
    <row r="13251" spans="1:1" s="287" customFormat="1" ht="12" hidden="1" customHeight="1">
      <c r="A13251" s="286"/>
    </row>
    <row r="13252" spans="1:1" s="287" customFormat="1" ht="12" hidden="1" customHeight="1">
      <c r="A13252" s="286"/>
    </row>
    <row r="13253" spans="1:1" s="287" customFormat="1" ht="12" hidden="1" customHeight="1">
      <c r="A13253" s="286"/>
    </row>
    <row r="13254" spans="1:1" s="287" customFormat="1" ht="12" hidden="1" customHeight="1">
      <c r="A13254" s="286"/>
    </row>
    <row r="13255" spans="1:1" s="287" customFormat="1" ht="12" hidden="1" customHeight="1">
      <c r="A13255" s="286"/>
    </row>
    <row r="13256" spans="1:1" s="287" customFormat="1" ht="12" hidden="1" customHeight="1">
      <c r="A13256" s="286"/>
    </row>
    <row r="13257" spans="1:1" s="287" customFormat="1" ht="12" hidden="1" customHeight="1">
      <c r="A13257" s="286"/>
    </row>
    <row r="13258" spans="1:1" s="287" customFormat="1" ht="12" hidden="1" customHeight="1">
      <c r="A13258" s="286"/>
    </row>
    <row r="13259" spans="1:1" s="287" customFormat="1" ht="12" hidden="1" customHeight="1">
      <c r="A13259" s="286"/>
    </row>
    <row r="13260" spans="1:1" s="287" customFormat="1" ht="12" hidden="1" customHeight="1">
      <c r="A13260" s="286"/>
    </row>
    <row r="13261" spans="1:1" s="287" customFormat="1" ht="12" hidden="1" customHeight="1">
      <c r="A13261" s="286"/>
    </row>
    <row r="13262" spans="1:1" s="287" customFormat="1" ht="12" hidden="1" customHeight="1">
      <c r="A13262" s="286"/>
    </row>
    <row r="13263" spans="1:1" s="287" customFormat="1" ht="12" hidden="1" customHeight="1">
      <c r="A13263" s="286"/>
    </row>
    <row r="13264" spans="1:1" s="287" customFormat="1" ht="12" hidden="1" customHeight="1">
      <c r="A13264" s="286"/>
    </row>
    <row r="13265" spans="1:1" s="287" customFormat="1" ht="12" hidden="1" customHeight="1">
      <c r="A13265" s="286"/>
    </row>
    <row r="13266" spans="1:1" s="287" customFormat="1" ht="12" hidden="1" customHeight="1">
      <c r="A13266" s="286"/>
    </row>
    <row r="13267" spans="1:1" s="287" customFormat="1" ht="12" hidden="1" customHeight="1">
      <c r="A13267" s="286"/>
    </row>
    <row r="13268" spans="1:1" s="287" customFormat="1" ht="12" hidden="1" customHeight="1">
      <c r="A13268" s="286"/>
    </row>
    <row r="13269" spans="1:1" s="287" customFormat="1" ht="12" hidden="1" customHeight="1">
      <c r="A13269" s="286"/>
    </row>
    <row r="13270" spans="1:1" s="287" customFormat="1" ht="12" hidden="1" customHeight="1">
      <c r="A13270" s="286"/>
    </row>
    <row r="13271" spans="1:1" s="287" customFormat="1" ht="12" hidden="1" customHeight="1">
      <c r="A13271" s="286"/>
    </row>
    <row r="13272" spans="1:1" s="287" customFormat="1" ht="12" hidden="1" customHeight="1">
      <c r="A13272" s="286"/>
    </row>
    <row r="13273" spans="1:1" s="287" customFormat="1" ht="12" hidden="1" customHeight="1">
      <c r="A13273" s="286"/>
    </row>
    <row r="13274" spans="1:1" s="287" customFormat="1" ht="12" hidden="1" customHeight="1">
      <c r="A13274" s="286"/>
    </row>
    <row r="13275" spans="1:1" s="287" customFormat="1" ht="12" hidden="1" customHeight="1">
      <c r="A13275" s="286"/>
    </row>
    <row r="13276" spans="1:1" s="287" customFormat="1" ht="12" hidden="1" customHeight="1">
      <c r="A13276" s="286"/>
    </row>
    <row r="13277" spans="1:1" s="287" customFormat="1" ht="12" hidden="1" customHeight="1">
      <c r="A13277" s="286"/>
    </row>
    <row r="13278" spans="1:1" s="287" customFormat="1" ht="12" hidden="1" customHeight="1">
      <c r="A13278" s="286"/>
    </row>
    <row r="13279" spans="1:1" s="287" customFormat="1" ht="12" hidden="1" customHeight="1">
      <c r="A13279" s="286"/>
    </row>
    <row r="13280" spans="1:1" s="287" customFormat="1" ht="12" hidden="1" customHeight="1">
      <c r="A13280" s="286"/>
    </row>
    <row r="13281" spans="1:1" s="287" customFormat="1" ht="12" hidden="1" customHeight="1">
      <c r="A13281" s="286"/>
    </row>
    <row r="13282" spans="1:1" s="287" customFormat="1" ht="12" hidden="1" customHeight="1">
      <c r="A13282" s="286"/>
    </row>
    <row r="13283" spans="1:1" s="287" customFormat="1" ht="12" hidden="1" customHeight="1">
      <c r="A13283" s="286"/>
    </row>
    <row r="13284" spans="1:1" s="287" customFormat="1" ht="12" hidden="1" customHeight="1">
      <c r="A13284" s="286"/>
    </row>
    <row r="13285" spans="1:1" s="287" customFormat="1" ht="12" hidden="1" customHeight="1">
      <c r="A13285" s="286"/>
    </row>
    <row r="13286" spans="1:1" s="287" customFormat="1" ht="12" hidden="1" customHeight="1">
      <c r="A13286" s="286"/>
    </row>
    <row r="13287" spans="1:1" s="287" customFormat="1" ht="12" hidden="1" customHeight="1">
      <c r="A13287" s="286"/>
    </row>
    <row r="13288" spans="1:1" s="287" customFormat="1" ht="12" hidden="1" customHeight="1">
      <c r="A13288" s="286"/>
    </row>
    <row r="13289" spans="1:1" s="287" customFormat="1" ht="12" hidden="1" customHeight="1">
      <c r="A13289" s="286"/>
    </row>
    <row r="13290" spans="1:1" s="287" customFormat="1" ht="12" hidden="1" customHeight="1">
      <c r="A13290" s="286"/>
    </row>
    <row r="13291" spans="1:1" s="287" customFormat="1" ht="12" hidden="1" customHeight="1">
      <c r="A13291" s="286"/>
    </row>
    <row r="13292" spans="1:1" s="287" customFormat="1" ht="12" hidden="1" customHeight="1">
      <c r="A13292" s="286"/>
    </row>
    <row r="13293" spans="1:1" s="287" customFormat="1" ht="12" hidden="1" customHeight="1">
      <c r="A13293" s="286"/>
    </row>
    <row r="13294" spans="1:1" s="287" customFormat="1" ht="12" hidden="1" customHeight="1">
      <c r="A13294" s="286"/>
    </row>
    <row r="13295" spans="1:1" s="287" customFormat="1" ht="12" hidden="1" customHeight="1">
      <c r="A13295" s="286"/>
    </row>
    <row r="13296" spans="1:1" s="287" customFormat="1" ht="12" hidden="1" customHeight="1">
      <c r="A13296" s="286"/>
    </row>
    <row r="13297" spans="1:1" s="287" customFormat="1" ht="12" hidden="1" customHeight="1">
      <c r="A13297" s="286"/>
    </row>
    <row r="13298" spans="1:1" s="287" customFormat="1" ht="12" hidden="1" customHeight="1">
      <c r="A13298" s="286"/>
    </row>
    <row r="13299" spans="1:1" s="287" customFormat="1" ht="12" hidden="1" customHeight="1">
      <c r="A13299" s="286"/>
    </row>
    <row r="13300" spans="1:1" s="287" customFormat="1" ht="12" hidden="1" customHeight="1">
      <c r="A13300" s="286"/>
    </row>
    <row r="13301" spans="1:1" s="287" customFormat="1" ht="12" hidden="1" customHeight="1">
      <c r="A13301" s="286"/>
    </row>
    <row r="13302" spans="1:1" s="287" customFormat="1" ht="12" hidden="1" customHeight="1">
      <c r="A13302" s="286"/>
    </row>
    <row r="13303" spans="1:1" s="287" customFormat="1" ht="12" hidden="1" customHeight="1">
      <c r="A13303" s="286"/>
    </row>
    <row r="13304" spans="1:1" s="287" customFormat="1" ht="12" hidden="1" customHeight="1">
      <c r="A13304" s="286"/>
    </row>
    <row r="13305" spans="1:1" s="287" customFormat="1" ht="12" hidden="1" customHeight="1">
      <c r="A13305" s="286"/>
    </row>
    <row r="13306" spans="1:1" s="287" customFormat="1" ht="12" hidden="1" customHeight="1">
      <c r="A13306" s="286"/>
    </row>
    <row r="13307" spans="1:1" s="287" customFormat="1" ht="12" hidden="1" customHeight="1">
      <c r="A13307" s="286"/>
    </row>
    <row r="13308" spans="1:1" s="287" customFormat="1" ht="12" hidden="1" customHeight="1">
      <c r="A13308" s="286"/>
    </row>
    <row r="13309" spans="1:1" s="287" customFormat="1" ht="12" hidden="1" customHeight="1">
      <c r="A13309" s="286"/>
    </row>
    <row r="13310" spans="1:1" s="287" customFormat="1" ht="12" hidden="1" customHeight="1">
      <c r="A13310" s="286"/>
    </row>
    <row r="13311" spans="1:1" s="287" customFormat="1" ht="12" hidden="1" customHeight="1">
      <c r="A13311" s="286"/>
    </row>
    <row r="13312" spans="1:1" s="287" customFormat="1" ht="12" hidden="1" customHeight="1">
      <c r="A13312" s="286"/>
    </row>
    <row r="13313" spans="1:1" s="287" customFormat="1" ht="12" hidden="1" customHeight="1">
      <c r="A13313" s="286"/>
    </row>
    <row r="13314" spans="1:1" s="287" customFormat="1" ht="12" hidden="1" customHeight="1">
      <c r="A13314" s="286"/>
    </row>
    <row r="13315" spans="1:1" s="287" customFormat="1" ht="12" hidden="1" customHeight="1">
      <c r="A13315" s="286"/>
    </row>
    <row r="13316" spans="1:1" s="287" customFormat="1" ht="12" hidden="1" customHeight="1">
      <c r="A13316" s="286"/>
    </row>
    <row r="13317" spans="1:1" s="287" customFormat="1" ht="12" hidden="1" customHeight="1">
      <c r="A13317" s="286"/>
    </row>
    <row r="13318" spans="1:1" s="287" customFormat="1" ht="12" hidden="1" customHeight="1">
      <c r="A13318" s="286"/>
    </row>
    <row r="13319" spans="1:1" s="287" customFormat="1" ht="12" hidden="1" customHeight="1">
      <c r="A13319" s="286"/>
    </row>
    <row r="13320" spans="1:1" s="287" customFormat="1" ht="12" hidden="1" customHeight="1">
      <c r="A13320" s="286"/>
    </row>
    <row r="13321" spans="1:1" s="287" customFormat="1" ht="12" hidden="1" customHeight="1">
      <c r="A13321" s="286"/>
    </row>
    <row r="13322" spans="1:1" s="287" customFormat="1" ht="12" hidden="1" customHeight="1">
      <c r="A13322" s="286"/>
    </row>
    <row r="13323" spans="1:1" s="287" customFormat="1" ht="12" hidden="1" customHeight="1">
      <c r="A13323" s="286"/>
    </row>
    <row r="13324" spans="1:1" s="287" customFormat="1" ht="12" hidden="1" customHeight="1">
      <c r="A13324" s="286"/>
    </row>
    <row r="13325" spans="1:1" s="287" customFormat="1" ht="12" hidden="1" customHeight="1">
      <c r="A13325" s="286"/>
    </row>
    <row r="13326" spans="1:1" s="287" customFormat="1" ht="12" hidden="1" customHeight="1">
      <c r="A13326" s="286"/>
    </row>
    <row r="13327" spans="1:1" s="287" customFormat="1" ht="12" hidden="1" customHeight="1">
      <c r="A13327" s="286"/>
    </row>
    <row r="13328" spans="1:1" s="287" customFormat="1" ht="12" hidden="1" customHeight="1">
      <c r="A13328" s="286"/>
    </row>
    <row r="13329" spans="1:1" s="287" customFormat="1" ht="12" hidden="1" customHeight="1">
      <c r="A13329" s="286"/>
    </row>
    <row r="13330" spans="1:1" s="287" customFormat="1" ht="12" hidden="1" customHeight="1">
      <c r="A13330" s="286"/>
    </row>
    <row r="13331" spans="1:1" s="287" customFormat="1" ht="12" hidden="1" customHeight="1">
      <c r="A13331" s="286"/>
    </row>
    <row r="13332" spans="1:1" s="287" customFormat="1" ht="12" hidden="1" customHeight="1">
      <c r="A13332" s="286"/>
    </row>
    <row r="13333" spans="1:1" s="287" customFormat="1" ht="12" hidden="1" customHeight="1">
      <c r="A13333" s="286"/>
    </row>
    <row r="13334" spans="1:1" s="287" customFormat="1" ht="12" hidden="1" customHeight="1">
      <c r="A13334" s="286"/>
    </row>
    <row r="13335" spans="1:1" s="287" customFormat="1" ht="12" hidden="1" customHeight="1">
      <c r="A13335" s="286"/>
    </row>
    <row r="13336" spans="1:1" s="287" customFormat="1" ht="12" hidden="1" customHeight="1">
      <c r="A13336" s="286"/>
    </row>
    <row r="13337" spans="1:1" s="287" customFormat="1" ht="12" hidden="1" customHeight="1">
      <c r="A13337" s="286"/>
    </row>
    <row r="13338" spans="1:1" s="287" customFormat="1" ht="12" hidden="1" customHeight="1">
      <c r="A13338" s="286"/>
    </row>
    <row r="13339" spans="1:1" s="287" customFormat="1" ht="12" hidden="1" customHeight="1">
      <c r="A13339" s="286"/>
    </row>
    <row r="13340" spans="1:1" s="287" customFormat="1" ht="12" hidden="1" customHeight="1">
      <c r="A13340" s="286"/>
    </row>
    <row r="13341" spans="1:1" s="287" customFormat="1" ht="12" hidden="1" customHeight="1">
      <c r="A13341" s="286"/>
    </row>
    <row r="13342" spans="1:1" s="287" customFormat="1" ht="12" hidden="1" customHeight="1">
      <c r="A13342" s="286"/>
    </row>
    <row r="13343" spans="1:1" s="287" customFormat="1" ht="12" hidden="1" customHeight="1">
      <c r="A13343" s="286"/>
    </row>
    <row r="13344" spans="1:1" s="287" customFormat="1" ht="12" hidden="1" customHeight="1">
      <c r="A13344" s="286"/>
    </row>
    <row r="13345" spans="1:1" s="287" customFormat="1" ht="12" hidden="1" customHeight="1">
      <c r="A13345" s="286"/>
    </row>
    <row r="13346" spans="1:1" s="287" customFormat="1" ht="12" hidden="1" customHeight="1">
      <c r="A13346" s="286"/>
    </row>
    <row r="13347" spans="1:1" s="287" customFormat="1" ht="12" hidden="1" customHeight="1">
      <c r="A13347" s="286"/>
    </row>
    <row r="13348" spans="1:1" s="287" customFormat="1" ht="12" hidden="1" customHeight="1">
      <c r="A13348" s="286"/>
    </row>
    <row r="13349" spans="1:1" s="287" customFormat="1" ht="12" hidden="1" customHeight="1">
      <c r="A13349" s="286"/>
    </row>
    <row r="13350" spans="1:1" s="287" customFormat="1" ht="12" hidden="1" customHeight="1">
      <c r="A13350" s="286"/>
    </row>
    <row r="13351" spans="1:1" s="287" customFormat="1" ht="12" hidden="1" customHeight="1">
      <c r="A13351" s="286"/>
    </row>
    <row r="13352" spans="1:1" s="287" customFormat="1" ht="12" hidden="1" customHeight="1">
      <c r="A13352" s="286"/>
    </row>
    <row r="13353" spans="1:1" s="287" customFormat="1" ht="12" hidden="1" customHeight="1">
      <c r="A13353" s="286"/>
    </row>
    <row r="13354" spans="1:1" s="287" customFormat="1" ht="12" hidden="1" customHeight="1">
      <c r="A13354" s="286"/>
    </row>
    <row r="13355" spans="1:1" s="287" customFormat="1" ht="12" hidden="1" customHeight="1">
      <c r="A13355" s="286"/>
    </row>
    <row r="13356" spans="1:1" s="287" customFormat="1" ht="12" hidden="1" customHeight="1">
      <c r="A13356" s="286"/>
    </row>
    <row r="13357" spans="1:1" s="287" customFormat="1" ht="12" hidden="1" customHeight="1">
      <c r="A13357" s="286"/>
    </row>
    <row r="13358" spans="1:1" s="287" customFormat="1" ht="12" hidden="1" customHeight="1">
      <c r="A13358" s="286"/>
    </row>
    <row r="13359" spans="1:1" s="287" customFormat="1" ht="12" hidden="1" customHeight="1">
      <c r="A13359" s="286"/>
    </row>
    <row r="13360" spans="1:1" s="287" customFormat="1" ht="12" hidden="1" customHeight="1">
      <c r="A13360" s="286"/>
    </row>
    <row r="13361" spans="1:1" s="287" customFormat="1" ht="12" hidden="1" customHeight="1">
      <c r="A13361" s="286"/>
    </row>
    <row r="13362" spans="1:1" s="287" customFormat="1" ht="12" hidden="1" customHeight="1">
      <c r="A13362" s="286"/>
    </row>
    <row r="13363" spans="1:1" s="287" customFormat="1" ht="12" hidden="1" customHeight="1">
      <c r="A13363" s="286"/>
    </row>
    <row r="13364" spans="1:1" s="287" customFormat="1" ht="12" hidden="1" customHeight="1">
      <c r="A13364" s="286"/>
    </row>
    <row r="13365" spans="1:1" s="287" customFormat="1" ht="12" hidden="1" customHeight="1">
      <c r="A13365" s="286"/>
    </row>
    <row r="13366" spans="1:1" s="287" customFormat="1" ht="12" hidden="1" customHeight="1">
      <c r="A13366" s="286"/>
    </row>
    <row r="13367" spans="1:1" s="287" customFormat="1" ht="12" hidden="1" customHeight="1">
      <c r="A13367" s="286"/>
    </row>
    <row r="13368" spans="1:1" s="287" customFormat="1" ht="12" hidden="1" customHeight="1">
      <c r="A13368" s="286"/>
    </row>
    <row r="13369" spans="1:1" s="287" customFormat="1" ht="12" hidden="1" customHeight="1">
      <c r="A13369" s="286"/>
    </row>
    <row r="13370" spans="1:1" s="287" customFormat="1" ht="12" hidden="1" customHeight="1">
      <c r="A13370" s="286"/>
    </row>
    <row r="13371" spans="1:1" s="287" customFormat="1" ht="12" hidden="1" customHeight="1">
      <c r="A13371" s="286"/>
    </row>
    <row r="13372" spans="1:1" s="287" customFormat="1" ht="12" hidden="1" customHeight="1">
      <c r="A13372" s="286"/>
    </row>
    <row r="13373" spans="1:1" s="287" customFormat="1" ht="12" hidden="1" customHeight="1">
      <c r="A13373" s="286"/>
    </row>
    <row r="13374" spans="1:1" s="287" customFormat="1" ht="12" hidden="1" customHeight="1">
      <c r="A13374" s="286"/>
    </row>
    <row r="13375" spans="1:1" s="287" customFormat="1" ht="12" hidden="1" customHeight="1">
      <c r="A13375" s="286"/>
    </row>
    <row r="13376" spans="1:1" s="287" customFormat="1" ht="12" hidden="1" customHeight="1">
      <c r="A13376" s="286"/>
    </row>
    <row r="13377" spans="1:1" s="287" customFormat="1" ht="12" hidden="1" customHeight="1">
      <c r="A13377" s="286"/>
    </row>
    <row r="13378" spans="1:1" s="287" customFormat="1" ht="12" hidden="1" customHeight="1">
      <c r="A13378" s="286"/>
    </row>
    <row r="13379" spans="1:1" s="287" customFormat="1" ht="12" hidden="1" customHeight="1">
      <c r="A13379" s="286"/>
    </row>
    <row r="13380" spans="1:1" s="287" customFormat="1" ht="12" hidden="1" customHeight="1">
      <c r="A13380" s="286"/>
    </row>
    <row r="13381" spans="1:1" s="287" customFormat="1" ht="12" hidden="1" customHeight="1">
      <c r="A13381" s="286"/>
    </row>
    <row r="13382" spans="1:1" s="287" customFormat="1" ht="12" hidden="1" customHeight="1">
      <c r="A13382" s="286"/>
    </row>
    <row r="13383" spans="1:1" s="287" customFormat="1" ht="12" hidden="1" customHeight="1">
      <c r="A13383" s="286"/>
    </row>
    <row r="13384" spans="1:1" s="287" customFormat="1" ht="12" hidden="1" customHeight="1">
      <c r="A13384" s="286"/>
    </row>
    <row r="13385" spans="1:1" s="287" customFormat="1" ht="12" hidden="1" customHeight="1">
      <c r="A13385" s="286"/>
    </row>
    <row r="13386" spans="1:1" s="287" customFormat="1" ht="12" hidden="1" customHeight="1">
      <c r="A13386" s="286"/>
    </row>
    <row r="13387" spans="1:1" s="287" customFormat="1" ht="12" hidden="1" customHeight="1">
      <c r="A13387" s="286"/>
    </row>
    <row r="13388" spans="1:1" s="287" customFormat="1" ht="12" hidden="1" customHeight="1">
      <c r="A13388" s="286"/>
    </row>
    <row r="13389" spans="1:1" s="287" customFormat="1" ht="12" hidden="1" customHeight="1">
      <c r="A13389" s="286"/>
    </row>
    <row r="13390" spans="1:1" s="287" customFormat="1" ht="12" hidden="1" customHeight="1">
      <c r="A13390" s="286"/>
    </row>
    <row r="13391" spans="1:1" s="287" customFormat="1" ht="12" hidden="1" customHeight="1">
      <c r="A13391" s="286"/>
    </row>
    <row r="13392" spans="1:1" s="287" customFormat="1" ht="12" hidden="1" customHeight="1">
      <c r="A13392" s="286"/>
    </row>
    <row r="13393" spans="1:1" s="287" customFormat="1" ht="12" hidden="1" customHeight="1">
      <c r="A13393" s="286"/>
    </row>
    <row r="13394" spans="1:1" s="287" customFormat="1" ht="12" hidden="1" customHeight="1">
      <c r="A13394" s="286"/>
    </row>
    <row r="13395" spans="1:1" s="287" customFormat="1" ht="12" hidden="1" customHeight="1">
      <c r="A13395" s="286"/>
    </row>
    <row r="13396" spans="1:1" s="287" customFormat="1" ht="12" hidden="1" customHeight="1">
      <c r="A13396" s="286"/>
    </row>
    <row r="13397" spans="1:1" s="287" customFormat="1" ht="12" hidden="1" customHeight="1">
      <c r="A13397" s="286"/>
    </row>
    <row r="13398" spans="1:1" s="287" customFormat="1" ht="12" hidden="1" customHeight="1">
      <c r="A13398" s="286"/>
    </row>
    <row r="13399" spans="1:1" s="287" customFormat="1" ht="12" hidden="1" customHeight="1">
      <c r="A13399" s="286"/>
    </row>
    <row r="13400" spans="1:1" s="287" customFormat="1" ht="12" hidden="1" customHeight="1">
      <c r="A13400" s="286"/>
    </row>
    <row r="13401" spans="1:1" s="287" customFormat="1" ht="12" hidden="1" customHeight="1">
      <c r="A13401" s="286"/>
    </row>
    <row r="13402" spans="1:1" s="287" customFormat="1" ht="12" hidden="1" customHeight="1">
      <c r="A13402" s="286"/>
    </row>
    <row r="13403" spans="1:1" s="287" customFormat="1" ht="12" hidden="1" customHeight="1">
      <c r="A13403" s="286"/>
    </row>
    <row r="13404" spans="1:1" s="287" customFormat="1" ht="12" hidden="1" customHeight="1">
      <c r="A13404" s="286"/>
    </row>
    <row r="13405" spans="1:1" s="287" customFormat="1" ht="12" hidden="1" customHeight="1">
      <c r="A13405" s="286"/>
    </row>
    <row r="13406" spans="1:1" s="287" customFormat="1" ht="12" hidden="1" customHeight="1">
      <c r="A13406" s="286"/>
    </row>
    <row r="13407" spans="1:1" s="287" customFormat="1" ht="12" hidden="1" customHeight="1">
      <c r="A13407" s="286"/>
    </row>
    <row r="13408" spans="1:1" s="287" customFormat="1" ht="12" hidden="1" customHeight="1">
      <c r="A13408" s="286"/>
    </row>
    <row r="13409" spans="1:1" s="287" customFormat="1" ht="12" hidden="1" customHeight="1">
      <c r="A13409" s="286"/>
    </row>
    <row r="13410" spans="1:1" s="287" customFormat="1" ht="12" hidden="1" customHeight="1">
      <c r="A13410" s="286"/>
    </row>
    <row r="13411" spans="1:1" s="287" customFormat="1" ht="12" hidden="1" customHeight="1">
      <c r="A13411" s="286"/>
    </row>
    <row r="13412" spans="1:1" s="287" customFormat="1" ht="12" hidden="1" customHeight="1">
      <c r="A13412" s="286"/>
    </row>
    <row r="13413" spans="1:1" s="287" customFormat="1" ht="12" hidden="1" customHeight="1">
      <c r="A13413" s="286"/>
    </row>
    <row r="13414" spans="1:1" s="287" customFormat="1" ht="12" hidden="1" customHeight="1">
      <c r="A13414" s="286"/>
    </row>
    <row r="13415" spans="1:1" s="287" customFormat="1" ht="12" hidden="1" customHeight="1">
      <c r="A13415" s="286"/>
    </row>
    <row r="13416" spans="1:1" s="287" customFormat="1" ht="12" hidden="1" customHeight="1">
      <c r="A13416" s="286"/>
    </row>
    <row r="13417" spans="1:1" s="287" customFormat="1" ht="12" hidden="1" customHeight="1">
      <c r="A13417" s="286"/>
    </row>
    <row r="13418" spans="1:1" s="287" customFormat="1" ht="12" hidden="1" customHeight="1">
      <c r="A13418" s="286"/>
    </row>
    <row r="13419" spans="1:1" s="287" customFormat="1" ht="12" hidden="1" customHeight="1">
      <c r="A13419" s="286"/>
    </row>
    <row r="13420" spans="1:1" s="287" customFormat="1" ht="12" hidden="1" customHeight="1">
      <c r="A13420" s="286"/>
    </row>
    <row r="13421" spans="1:1" s="287" customFormat="1" ht="12" hidden="1" customHeight="1">
      <c r="A13421" s="286"/>
    </row>
    <row r="13422" spans="1:1" s="287" customFormat="1" ht="12" hidden="1" customHeight="1">
      <c r="A13422" s="286"/>
    </row>
    <row r="13423" spans="1:1" s="287" customFormat="1" ht="12" hidden="1" customHeight="1">
      <c r="A13423" s="286"/>
    </row>
    <row r="13424" spans="1:1" s="287" customFormat="1" ht="12" hidden="1" customHeight="1">
      <c r="A13424" s="286"/>
    </row>
    <row r="13425" spans="1:1" s="287" customFormat="1" ht="12" hidden="1" customHeight="1">
      <c r="A13425" s="286"/>
    </row>
    <row r="13426" spans="1:1" s="287" customFormat="1" ht="12" hidden="1" customHeight="1">
      <c r="A13426" s="286"/>
    </row>
    <row r="13427" spans="1:1" s="287" customFormat="1" ht="12" hidden="1" customHeight="1">
      <c r="A13427" s="286"/>
    </row>
    <row r="13428" spans="1:1" s="287" customFormat="1" ht="12" hidden="1" customHeight="1">
      <c r="A13428" s="286"/>
    </row>
    <row r="13429" spans="1:1" s="287" customFormat="1" ht="12" hidden="1" customHeight="1">
      <c r="A13429" s="286"/>
    </row>
    <row r="13430" spans="1:1" s="287" customFormat="1" ht="12" hidden="1" customHeight="1">
      <c r="A13430" s="286"/>
    </row>
    <row r="13431" spans="1:1" s="287" customFormat="1" ht="12" hidden="1" customHeight="1">
      <c r="A13431" s="286"/>
    </row>
    <row r="13432" spans="1:1" s="287" customFormat="1" ht="12" hidden="1" customHeight="1">
      <c r="A13432" s="286"/>
    </row>
    <row r="13433" spans="1:1" s="287" customFormat="1" ht="12" hidden="1" customHeight="1">
      <c r="A13433" s="286"/>
    </row>
    <row r="13434" spans="1:1" s="287" customFormat="1" ht="12" hidden="1" customHeight="1">
      <c r="A13434" s="286"/>
    </row>
    <row r="13435" spans="1:1" s="287" customFormat="1" ht="12" hidden="1" customHeight="1">
      <c r="A13435" s="286"/>
    </row>
    <row r="13436" spans="1:1" s="287" customFormat="1" ht="12" hidden="1" customHeight="1">
      <c r="A13436" s="286"/>
    </row>
    <row r="13437" spans="1:1" s="287" customFormat="1" ht="12" hidden="1" customHeight="1">
      <c r="A13437" s="286"/>
    </row>
    <row r="13438" spans="1:1" s="287" customFormat="1" ht="12" hidden="1" customHeight="1">
      <c r="A13438" s="286"/>
    </row>
    <row r="13439" spans="1:1" s="287" customFormat="1" ht="12" hidden="1" customHeight="1">
      <c r="A13439" s="286"/>
    </row>
    <row r="13440" spans="1:1" s="287" customFormat="1" ht="12" hidden="1" customHeight="1">
      <c r="A13440" s="286"/>
    </row>
    <row r="13441" spans="1:1" s="287" customFormat="1" ht="12" hidden="1" customHeight="1">
      <c r="A13441" s="286"/>
    </row>
    <row r="13442" spans="1:1" s="287" customFormat="1" ht="12" hidden="1" customHeight="1">
      <c r="A13442" s="286"/>
    </row>
    <row r="13443" spans="1:1" s="287" customFormat="1" ht="12" hidden="1" customHeight="1">
      <c r="A13443" s="286"/>
    </row>
    <row r="13444" spans="1:1" s="287" customFormat="1" ht="12" hidden="1" customHeight="1">
      <c r="A13444" s="286"/>
    </row>
    <row r="13445" spans="1:1" s="287" customFormat="1" ht="12" hidden="1" customHeight="1">
      <c r="A13445" s="286"/>
    </row>
    <row r="13446" spans="1:1" s="287" customFormat="1" ht="12" hidden="1" customHeight="1">
      <c r="A13446" s="286"/>
    </row>
    <row r="13447" spans="1:1" s="287" customFormat="1" ht="12" hidden="1" customHeight="1">
      <c r="A13447" s="286"/>
    </row>
    <row r="13448" spans="1:1" s="287" customFormat="1" ht="12" hidden="1" customHeight="1">
      <c r="A13448" s="286"/>
    </row>
    <row r="13449" spans="1:1" s="287" customFormat="1" ht="12" hidden="1" customHeight="1">
      <c r="A13449" s="286"/>
    </row>
    <row r="13450" spans="1:1" s="287" customFormat="1" ht="12" hidden="1" customHeight="1">
      <c r="A13450" s="286"/>
    </row>
    <row r="13451" spans="1:1" s="287" customFormat="1" ht="12" hidden="1" customHeight="1">
      <c r="A13451" s="286"/>
    </row>
    <row r="13452" spans="1:1" s="287" customFormat="1" ht="12" hidden="1" customHeight="1">
      <c r="A13452" s="286"/>
    </row>
    <row r="13453" spans="1:1" s="287" customFormat="1" ht="12" hidden="1" customHeight="1">
      <c r="A13453" s="286"/>
    </row>
    <row r="13454" spans="1:1" s="287" customFormat="1" ht="12" hidden="1" customHeight="1">
      <c r="A13454" s="286"/>
    </row>
    <row r="13455" spans="1:1" s="287" customFormat="1" ht="12" hidden="1" customHeight="1">
      <c r="A13455" s="286"/>
    </row>
    <row r="13456" spans="1:1" s="287" customFormat="1" ht="12" hidden="1" customHeight="1">
      <c r="A13456" s="286"/>
    </row>
    <row r="13457" spans="1:1" s="287" customFormat="1" ht="12" hidden="1" customHeight="1">
      <c r="A13457" s="286"/>
    </row>
    <row r="13458" spans="1:1" s="287" customFormat="1" ht="12" hidden="1" customHeight="1">
      <c r="A13458" s="286"/>
    </row>
    <row r="13459" spans="1:1" s="287" customFormat="1" ht="12" hidden="1" customHeight="1">
      <c r="A13459" s="286"/>
    </row>
    <row r="13460" spans="1:1" s="287" customFormat="1" ht="12" hidden="1" customHeight="1">
      <c r="A13460" s="286"/>
    </row>
    <row r="13461" spans="1:1" s="287" customFormat="1" ht="12" hidden="1" customHeight="1">
      <c r="A13461" s="286"/>
    </row>
    <row r="13462" spans="1:1" s="287" customFormat="1" ht="12" hidden="1" customHeight="1">
      <c r="A13462" s="286"/>
    </row>
    <row r="13463" spans="1:1" s="287" customFormat="1" ht="12" hidden="1" customHeight="1">
      <c r="A13463" s="286"/>
    </row>
    <row r="13464" spans="1:1" s="287" customFormat="1" ht="12" hidden="1" customHeight="1">
      <c r="A13464" s="286"/>
    </row>
    <row r="13465" spans="1:1" s="287" customFormat="1" ht="12" hidden="1" customHeight="1">
      <c r="A13465" s="286"/>
    </row>
    <row r="13466" spans="1:1" s="287" customFormat="1" ht="12" hidden="1" customHeight="1">
      <c r="A13466" s="286"/>
    </row>
    <row r="13467" spans="1:1" s="287" customFormat="1" ht="12" hidden="1" customHeight="1">
      <c r="A13467" s="286"/>
    </row>
    <row r="13468" spans="1:1" s="287" customFormat="1" ht="12" hidden="1" customHeight="1">
      <c r="A13468" s="286"/>
    </row>
    <row r="13469" spans="1:1" s="287" customFormat="1" ht="12" hidden="1" customHeight="1">
      <c r="A13469" s="286"/>
    </row>
    <row r="13470" spans="1:1" s="287" customFormat="1" ht="12" hidden="1" customHeight="1">
      <c r="A13470" s="286"/>
    </row>
    <row r="13471" spans="1:1" s="287" customFormat="1" ht="12" hidden="1" customHeight="1">
      <c r="A13471" s="286"/>
    </row>
    <row r="13472" spans="1:1" s="287" customFormat="1" ht="12" hidden="1" customHeight="1">
      <c r="A13472" s="286"/>
    </row>
    <row r="13473" spans="1:1" s="287" customFormat="1" ht="12" hidden="1" customHeight="1">
      <c r="A13473" s="286"/>
    </row>
    <row r="13474" spans="1:1" s="287" customFormat="1" ht="12" hidden="1" customHeight="1">
      <c r="A13474" s="286"/>
    </row>
    <row r="13475" spans="1:1" s="287" customFormat="1" ht="12" hidden="1" customHeight="1">
      <c r="A13475" s="286"/>
    </row>
    <row r="13476" spans="1:1" s="287" customFormat="1" ht="12" hidden="1" customHeight="1">
      <c r="A13476" s="286"/>
    </row>
    <row r="13477" spans="1:1" s="287" customFormat="1" ht="12" hidden="1" customHeight="1">
      <c r="A13477" s="286"/>
    </row>
    <row r="13478" spans="1:1" s="287" customFormat="1" ht="12" hidden="1" customHeight="1">
      <c r="A13478" s="286"/>
    </row>
    <row r="13479" spans="1:1" s="287" customFormat="1" ht="12" hidden="1" customHeight="1">
      <c r="A13479" s="286"/>
    </row>
    <row r="13480" spans="1:1" s="287" customFormat="1" ht="12" hidden="1" customHeight="1">
      <c r="A13480" s="286"/>
    </row>
    <row r="13481" spans="1:1" s="287" customFormat="1" ht="12" hidden="1" customHeight="1">
      <c r="A13481" s="286"/>
    </row>
    <row r="13482" spans="1:1" s="287" customFormat="1" ht="12" hidden="1" customHeight="1">
      <c r="A13482" s="286"/>
    </row>
    <row r="13483" spans="1:1" s="287" customFormat="1" ht="12" hidden="1" customHeight="1">
      <c r="A13483" s="286"/>
    </row>
    <row r="13484" spans="1:1" s="287" customFormat="1" ht="12" hidden="1" customHeight="1">
      <c r="A13484" s="286"/>
    </row>
    <row r="13485" spans="1:1" s="287" customFormat="1" ht="12" hidden="1" customHeight="1">
      <c r="A13485" s="286"/>
    </row>
    <row r="13486" spans="1:1" s="287" customFormat="1" ht="12" hidden="1" customHeight="1">
      <c r="A13486" s="286"/>
    </row>
    <row r="13487" spans="1:1" s="287" customFormat="1" ht="12" hidden="1" customHeight="1">
      <c r="A13487" s="286"/>
    </row>
    <row r="13488" spans="1:1" s="287" customFormat="1" ht="12" hidden="1" customHeight="1">
      <c r="A13488" s="286"/>
    </row>
    <row r="13489" spans="1:1" s="287" customFormat="1" ht="12" hidden="1" customHeight="1">
      <c r="A13489" s="286"/>
    </row>
    <row r="13490" spans="1:1" s="287" customFormat="1" ht="12" hidden="1" customHeight="1">
      <c r="A13490" s="286"/>
    </row>
    <row r="13491" spans="1:1" s="287" customFormat="1" ht="12" hidden="1" customHeight="1">
      <c r="A13491" s="286"/>
    </row>
    <row r="13492" spans="1:1" s="287" customFormat="1" ht="12" hidden="1" customHeight="1">
      <c r="A13492" s="286"/>
    </row>
    <row r="13493" spans="1:1" s="287" customFormat="1" ht="12" hidden="1" customHeight="1">
      <c r="A13493" s="286"/>
    </row>
    <row r="13494" spans="1:1" s="287" customFormat="1" ht="12" hidden="1" customHeight="1">
      <c r="A13494" s="286"/>
    </row>
    <row r="13495" spans="1:1" s="287" customFormat="1" ht="12" hidden="1" customHeight="1">
      <c r="A13495" s="286"/>
    </row>
    <row r="13496" spans="1:1" s="287" customFormat="1" ht="12" hidden="1" customHeight="1">
      <c r="A13496" s="286"/>
    </row>
    <row r="13497" spans="1:1" s="287" customFormat="1" ht="12" hidden="1" customHeight="1">
      <c r="A13497" s="286"/>
    </row>
    <row r="13498" spans="1:1" s="287" customFormat="1" ht="12" hidden="1" customHeight="1">
      <c r="A13498" s="286"/>
    </row>
    <row r="13499" spans="1:1" s="287" customFormat="1" ht="12" hidden="1" customHeight="1">
      <c r="A13499" s="286"/>
    </row>
    <row r="13500" spans="1:1" s="287" customFormat="1" ht="12" hidden="1" customHeight="1">
      <c r="A13500" s="286"/>
    </row>
    <row r="13501" spans="1:1" s="287" customFormat="1" ht="12" hidden="1" customHeight="1">
      <c r="A13501" s="286"/>
    </row>
    <row r="13502" spans="1:1" s="287" customFormat="1" ht="12" hidden="1" customHeight="1">
      <c r="A13502" s="286"/>
    </row>
    <row r="13503" spans="1:1" s="287" customFormat="1" ht="12" hidden="1" customHeight="1">
      <c r="A13503" s="286"/>
    </row>
    <row r="13504" spans="1:1" s="287" customFormat="1" ht="12" hidden="1" customHeight="1">
      <c r="A13504" s="286"/>
    </row>
    <row r="13505" spans="1:1" s="287" customFormat="1" ht="12" hidden="1" customHeight="1">
      <c r="A13505" s="286"/>
    </row>
    <row r="13506" spans="1:1" s="287" customFormat="1" ht="12" hidden="1" customHeight="1">
      <c r="A13506" s="286"/>
    </row>
    <row r="13507" spans="1:1" s="287" customFormat="1" ht="12" hidden="1" customHeight="1">
      <c r="A13507" s="286"/>
    </row>
    <row r="13508" spans="1:1" s="287" customFormat="1" ht="12" hidden="1" customHeight="1">
      <c r="A13508" s="286"/>
    </row>
    <row r="13509" spans="1:1" s="287" customFormat="1" ht="12" hidden="1" customHeight="1">
      <c r="A13509" s="286"/>
    </row>
    <row r="13510" spans="1:1" s="287" customFormat="1" ht="12" hidden="1" customHeight="1">
      <c r="A13510" s="286"/>
    </row>
    <row r="13511" spans="1:1" s="287" customFormat="1" ht="12" hidden="1" customHeight="1">
      <c r="A13511" s="286"/>
    </row>
    <row r="13512" spans="1:1" s="287" customFormat="1" ht="12" hidden="1" customHeight="1">
      <c r="A13512" s="286"/>
    </row>
    <row r="13513" spans="1:1" s="287" customFormat="1" ht="12" hidden="1" customHeight="1">
      <c r="A13513" s="286"/>
    </row>
    <row r="13514" spans="1:1" s="287" customFormat="1" ht="12" hidden="1" customHeight="1">
      <c r="A13514" s="286"/>
    </row>
    <row r="13515" spans="1:1" s="287" customFormat="1" ht="12" hidden="1" customHeight="1">
      <c r="A13515" s="286"/>
    </row>
    <row r="13516" spans="1:1" s="287" customFormat="1" ht="12" hidden="1" customHeight="1">
      <c r="A13516" s="286"/>
    </row>
    <row r="13517" spans="1:1" s="287" customFormat="1" ht="12" hidden="1" customHeight="1">
      <c r="A13517" s="286"/>
    </row>
    <row r="13518" spans="1:1" s="287" customFormat="1" ht="12" hidden="1" customHeight="1">
      <c r="A13518" s="286"/>
    </row>
    <row r="13519" spans="1:1" s="287" customFormat="1" ht="12" hidden="1" customHeight="1">
      <c r="A13519" s="286"/>
    </row>
    <row r="13520" spans="1:1" s="287" customFormat="1" ht="12" hidden="1" customHeight="1">
      <c r="A13520" s="286"/>
    </row>
    <row r="13521" spans="1:1" s="287" customFormat="1" ht="12" hidden="1" customHeight="1">
      <c r="A13521" s="286"/>
    </row>
    <row r="13522" spans="1:1" s="287" customFormat="1" ht="12" hidden="1" customHeight="1">
      <c r="A13522" s="286"/>
    </row>
    <row r="13523" spans="1:1" s="287" customFormat="1" ht="12" hidden="1" customHeight="1">
      <c r="A13523" s="286"/>
    </row>
    <row r="13524" spans="1:1" s="287" customFormat="1" ht="12" hidden="1" customHeight="1">
      <c r="A13524" s="286"/>
    </row>
    <row r="13525" spans="1:1" s="287" customFormat="1" ht="12" hidden="1" customHeight="1">
      <c r="A13525" s="286"/>
    </row>
    <row r="13526" spans="1:1" s="287" customFormat="1" ht="12" hidden="1" customHeight="1">
      <c r="A13526" s="286"/>
    </row>
    <row r="13527" spans="1:1" s="287" customFormat="1" ht="12" hidden="1" customHeight="1">
      <c r="A13527" s="286"/>
    </row>
    <row r="13528" spans="1:1" s="287" customFormat="1" ht="12" hidden="1" customHeight="1">
      <c r="A13528" s="286"/>
    </row>
    <row r="13529" spans="1:1" s="287" customFormat="1" ht="12" hidden="1" customHeight="1">
      <c r="A13529" s="286"/>
    </row>
    <row r="13530" spans="1:1" s="287" customFormat="1" ht="12" hidden="1" customHeight="1">
      <c r="A13530" s="286"/>
    </row>
    <row r="13531" spans="1:1" s="287" customFormat="1" ht="12" hidden="1" customHeight="1">
      <c r="A13531" s="286"/>
    </row>
    <row r="13532" spans="1:1" s="287" customFormat="1" ht="12" hidden="1" customHeight="1">
      <c r="A13532" s="286"/>
    </row>
    <row r="13533" spans="1:1" s="287" customFormat="1" ht="12" hidden="1" customHeight="1">
      <c r="A13533" s="286"/>
    </row>
    <row r="13534" spans="1:1" s="287" customFormat="1" ht="12" hidden="1" customHeight="1">
      <c r="A13534" s="286"/>
    </row>
    <row r="13535" spans="1:1" s="287" customFormat="1" ht="12" hidden="1" customHeight="1">
      <c r="A13535" s="286"/>
    </row>
    <row r="13536" spans="1:1" s="287" customFormat="1" ht="12" hidden="1" customHeight="1">
      <c r="A13536" s="286"/>
    </row>
    <row r="13537" spans="1:1" s="287" customFormat="1" ht="12" hidden="1" customHeight="1">
      <c r="A13537" s="286"/>
    </row>
    <row r="13538" spans="1:1" s="287" customFormat="1" ht="12" hidden="1" customHeight="1">
      <c r="A13538" s="286"/>
    </row>
    <row r="13539" spans="1:1" s="287" customFormat="1" ht="12" hidden="1" customHeight="1">
      <c r="A13539" s="286"/>
    </row>
    <row r="13540" spans="1:1" s="287" customFormat="1" ht="12" hidden="1" customHeight="1">
      <c r="A13540" s="286"/>
    </row>
    <row r="13541" spans="1:1" s="287" customFormat="1" ht="12" hidden="1" customHeight="1">
      <c r="A13541" s="286"/>
    </row>
    <row r="13542" spans="1:1" s="287" customFormat="1" ht="12" hidden="1" customHeight="1">
      <c r="A13542" s="286"/>
    </row>
    <row r="13543" spans="1:1" s="287" customFormat="1" ht="12" hidden="1" customHeight="1">
      <c r="A13543" s="286"/>
    </row>
    <row r="13544" spans="1:1" s="287" customFormat="1" ht="12" hidden="1" customHeight="1">
      <c r="A13544" s="286"/>
    </row>
    <row r="13545" spans="1:1" s="287" customFormat="1" ht="12" hidden="1" customHeight="1">
      <c r="A13545" s="286"/>
    </row>
    <row r="13546" spans="1:1" s="287" customFormat="1" ht="12" hidden="1" customHeight="1">
      <c r="A13546" s="286"/>
    </row>
    <row r="13547" spans="1:1" s="287" customFormat="1" ht="12" hidden="1" customHeight="1">
      <c r="A13547" s="286"/>
    </row>
    <row r="13548" spans="1:1" s="287" customFormat="1" ht="12" hidden="1" customHeight="1">
      <c r="A13548" s="286"/>
    </row>
    <row r="13549" spans="1:1" s="287" customFormat="1" ht="12" hidden="1" customHeight="1">
      <c r="A13549" s="286"/>
    </row>
    <row r="13550" spans="1:1" s="287" customFormat="1" ht="12" hidden="1" customHeight="1">
      <c r="A13550" s="286"/>
    </row>
    <row r="13551" spans="1:1" s="287" customFormat="1" ht="12" hidden="1" customHeight="1">
      <c r="A13551" s="286"/>
    </row>
    <row r="13552" spans="1:1" s="287" customFormat="1" ht="12" hidden="1" customHeight="1">
      <c r="A13552" s="286"/>
    </row>
    <row r="13553" spans="1:1" s="287" customFormat="1" ht="12" hidden="1" customHeight="1">
      <c r="A13553" s="286"/>
    </row>
    <row r="13554" spans="1:1" s="287" customFormat="1" ht="12" hidden="1" customHeight="1">
      <c r="A13554" s="286"/>
    </row>
    <row r="13555" spans="1:1" s="287" customFormat="1" ht="12" hidden="1" customHeight="1">
      <c r="A13555" s="286"/>
    </row>
    <row r="13556" spans="1:1" s="287" customFormat="1" ht="12" hidden="1" customHeight="1">
      <c r="A13556" s="286"/>
    </row>
    <row r="13557" spans="1:1" s="287" customFormat="1" ht="12" hidden="1" customHeight="1">
      <c r="A13557" s="286"/>
    </row>
    <row r="13558" spans="1:1" s="287" customFormat="1" ht="12" hidden="1" customHeight="1">
      <c r="A13558" s="286"/>
    </row>
    <row r="13559" spans="1:1" s="287" customFormat="1" ht="12" hidden="1" customHeight="1">
      <c r="A13559" s="286"/>
    </row>
    <row r="13560" spans="1:1" s="287" customFormat="1" ht="12" hidden="1" customHeight="1">
      <c r="A13560" s="286"/>
    </row>
    <row r="13561" spans="1:1" s="287" customFormat="1" ht="12" hidden="1" customHeight="1">
      <c r="A13561" s="286"/>
    </row>
    <row r="13562" spans="1:1" s="287" customFormat="1" ht="12" hidden="1" customHeight="1">
      <c r="A13562" s="286"/>
    </row>
    <row r="13563" spans="1:1" s="287" customFormat="1" ht="12" hidden="1" customHeight="1">
      <c r="A13563" s="286"/>
    </row>
    <row r="13564" spans="1:1" s="287" customFormat="1" ht="12" hidden="1" customHeight="1">
      <c r="A13564" s="286"/>
    </row>
    <row r="13565" spans="1:1" s="287" customFormat="1" ht="12" hidden="1" customHeight="1">
      <c r="A13565" s="286"/>
    </row>
    <row r="13566" spans="1:1" s="287" customFormat="1" ht="12" hidden="1" customHeight="1">
      <c r="A13566" s="286"/>
    </row>
    <row r="13567" spans="1:1" s="287" customFormat="1" ht="12" hidden="1" customHeight="1">
      <c r="A13567" s="286"/>
    </row>
    <row r="13568" spans="1:1" s="287" customFormat="1" ht="12" hidden="1" customHeight="1">
      <c r="A13568" s="286"/>
    </row>
    <row r="13569" spans="1:1" s="287" customFormat="1" ht="12" hidden="1" customHeight="1">
      <c r="A13569" s="286"/>
    </row>
    <row r="13570" spans="1:1" s="287" customFormat="1" ht="12" hidden="1" customHeight="1">
      <c r="A13570" s="286"/>
    </row>
    <row r="13571" spans="1:1" s="287" customFormat="1" ht="12" hidden="1" customHeight="1">
      <c r="A13571" s="286"/>
    </row>
    <row r="13572" spans="1:1" s="287" customFormat="1" ht="12" hidden="1" customHeight="1">
      <c r="A13572" s="286"/>
    </row>
    <row r="13573" spans="1:1" s="287" customFormat="1" ht="12" hidden="1" customHeight="1">
      <c r="A13573" s="286"/>
    </row>
    <row r="13574" spans="1:1" s="287" customFormat="1" ht="12" hidden="1" customHeight="1">
      <c r="A13574" s="286"/>
    </row>
    <row r="13575" spans="1:1" s="287" customFormat="1" ht="12" hidden="1" customHeight="1">
      <c r="A13575" s="286"/>
    </row>
    <row r="13576" spans="1:1" s="287" customFormat="1" ht="12" hidden="1" customHeight="1">
      <c r="A13576" s="286"/>
    </row>
    <row r="13577" spans="1:1" s="287" customFormat="1" ht="12" hidden="1" customHeight="1">
      <c r="A13577" s="286"/>
    </row>
    <row r="13578" spans="1:1" s="287" customFormat="1" ht="12" hidden="1" customHeight="1">
      <c r="A13578" s="286"/>
    </row>
    <row r="13579" spans="1:1" s="287" customFormat="1" ht="12" hidden="1" customHeight="1">
      <c r="A13579" s="286"/>
    </row>
    <row r="13580" spans="1:1" s="287" customFormat="1" ht="12" hidden="1" customHeight="1">
      <c r="A13580" s="286"/>
    </row>
    <row r="13581" spans="1:1" s="287" customFormat="1" ht="12" hidden="1" customHeight="1">
      <c r="A13581" s="286"/>
    </row>
    <row r="13582" spans="1:1" s="287" customFormat="1" ht="12" hidden="1" customHeight="1">
      <c r="A13582" s="286"/>
    </row>
    <row r="13583" spans="1:1" s="287" customFormat="1" ht="12" hidden="1" customHeight="1">
      <c r="A13583" s="286"/>
    </row>
    <row r="13584" spans="1:1" s="287" customFormat="1" ht="12" hidden="1" customHeight="1">
      <c r="A13584" s="286"/>
    </row>
    <row r="13585" spans="1:1" s="287" customFormat="1" ht="12" hidden="1" customHeight="1">
      <c r="A13585" s="286"/>
    </row>
    <row r="13586" spans="1:1" s="287" customFormat="1" ht="12" hidden="1" customHeight="1">
      <c r="A13586" s="286"/>
    </row>
    <row r="13587" spans="1:1" s="287" customFormat="1" ht="12" hidden="1" customHeight="1">
      <c r="A13587" s="286"/>
    </row>
    <row r="13588" spans="1:1" s="287" customFormat="1" ht="12" hidden="1" customHeight="1">
      <c r="A13588" s="286"/>
    </row>
    <row r="13589" spans="1:1" s="287" customFormat="1" ht="12" hidden="1" customHeight="1">
      <c r="A13589" s="286"/>
    </row>
    <row r="13590" spans="1:1" s="287" customFormat="1" ht="12" hidden="1" customHeight="1">
      <c r="A13590" s="286"/>
    </row>
    <row r="13591" spans="1:1" s="287" customFormat="1" ht="12" hidden="1" customHeight="1">
      <c r="A13591" s="286"/>
    </row>
    <row r="13592" spans="1:1" s="287" customFormat="1" ht="12" hidden="1" customHeight="1">
      <c r="A13592" s="286"/>
    </row>
    <row r="13593" spans="1:1" s="287" customFormat="1" ht="12" hidden="1" customHeight="1">
      <c r="A13593" s="286"/>
    </row>
    <row r="13594" spans="1:1" s="287" customFormat="1" ht="12" hidden="1" customHeight="1">
      <c r="A13594" s="286"/>
    </row>
    <row r="13595" spans="1:1" s="287" customFormat="1" ht="12" hidden="1" customHeight="1">
      <c r="A13595" s="286"/>
    </row>
    <row r="13596" spans="1:1" s="287" customFormat="1" ht="12" hidden="1" customHeight="1">
      <c r="A13596" s="286"/>
    </row>
    <row r="13597" spans="1:1" s="287" customFormat="1" ht="12" hidden="1" customHeight="1">
      <c r="A13597" s="286"/>
    </row>
    <row r="13598" spans="1:1" s="287" customFormat="1" ht="12" hidden="1" customHeight="1">
      <c r="A13598" s="286"/>
    </row>
    <row r="13599" spans="1:1" s="287" customFormat="1" ht="12" hidden="1" customHeight="1">
      <c r="A13599" s="286"/>
    </row>
    <row r="13600" spans="1:1" s="287" customFormat="1" ht="12" hidden="1" customHeight="1">
      <c r="A13600" s="286"/>
    </row>
    <row r="13601" spans="1:1" s="287" customFormat="1" ht="12" hidden="1" customHeight="1">
      <c r="A13601" s="286"/>
    </row>
    <row r="13602" spans="1:1" s="287" customFormat="1" ht="12" hidden="1" customHeight="1">
      <c r="A13602" s="286"/>
    </row>
    <row r="13603" spans="1:1" s="287" customFormat="1" ht="12" hidden="1" customHeight="1">
      <c r="A13603" s="286"/>
    </row>
    <row r="13604" spans="1:1" s="287" customFormat="1" ht="12" hidden="1" customHeight="1">
      <c r="A13604" s="286"/>
    </row>
    <row r="13605" spans="1:1" s="287" customFormat="1" ht="12" hidden="1" customHeight="1">
      <c r="A13605" s="286"/>
    </row>
    <row r="13606" spans="1:1" s="287" customFormat="1" ht="12" hidden="1" customHeight="1">
      <c r="A13606" s="286"/>
    </row>
    <row r="13607" spans="1:1" s="287" customFormat="1" ht="12" hidden="1" customHeight="1">
      <c r="A13607" s="286"/>
    </row>
    <row r="13608" spans="1:1" s="287" customFormat="1" ht="12" hidden="1" customHeight="1">
      <c r="A13608" s="286"/>
    </row>
    <row r="13609" spans="1:1" s="287" customFormat="1" ht="12" hidden="1" customHeight="1">
      <c r="A13609" s="286"/>
    </row>
    <row r="13610" spans="1:1" s="287" customFormat="1" ht="12" hidden="1" customHeight="1">
      <c r="A13610" s="286"/>
    </row>
    <row r="13611" spans="1:1" s="287" customFormat="1" ht="12" hidden="1" customHeight="1">
      <c r="A13611" s="286"/>
    </row>
    <row r="13612" spans="1:1" s="287" customFormat="1" ht="12" hidden="1" customHeight="1">
      <c r="A13612" s="286"/>
    </row>
    <row r="13613" spans="1:1" s="287" customFormat="1" ht="12" hidden="1" customHeight="1">
      <c r="A13613" s="286"/>
    </row>
    <row r="13614" spans="1:1" s="287" customFormat="1" ht="12" hidden="1" customHeight="1">
      <c r="A13614" s="286"/>
    </row>
    <row r="13615" spans="1:1" s="287" customFormat="1" ht="12" hidden="1" customHeight="1">
      <c r="A13615" s="286"/>
    </row>
    <row r="13616" spans="1:1" s="287" customFormat="1" ht="12" hidden="1" customHeight="1">
      <c r="A13616" s="286"/>
    </row>
    <row r="13617" spans="1:1" s="287" customFormat="1" ht="12" hidden="1" customHeight="1">
      <c r="A13617" s="286"/>
    </row>
    <row r="13618" spans="1:1" s="287" customFormat="1" ht="12" hidden="1" customHeight="1">
      <c r="A13618" s="286"/>
    </row>
    <row r="13619" spans="1:1" s="287" customFormat="1" ht="12" hidden="1" customHeight="1">
      <c r="A13619" s="286"/>
    </row>
    <row r="13620" spans="1:1" s="287" customFormat="1" ht="12" hidden="1" customHeight="1">
      <c r="A13620" s="286"/>
    </row>
    <row r="13621" spans="1:1" s="287" customFormat="1" ht="12" hidden="1" customHeight="1">
      <c r="A13621" s="286"/>
    </row>
    <row r="13622" spans="1:1" s="287" customFormat="1" ht="12" hidden="1" customHeight="1">
      <c r="A13622" s="286"/>
    </row>
    <row r="13623" spans="1:1" s="287" customFormat="1" ht="12" hidden="1" customHeight="1">
      <c r="A13623" s="286"/>
    </row>
    <row r="13624" spans="1:1" s="287" customFormat="1" ht="12" hidden="1" customHeight="1">
      <c r="A13624" s="286"/>
    </row>
    <row r="13625" spans="1:1" s="287" customFormat="1" ht="12" hidden="1" customHeight="1">
      <c r="A13625" s="286"/>
    </row>
    <row r="13626" spans="1:1" s="287" customFormat="1" ht="12" hidden="1" customHeight="1">
      <c r="A13626" s="286"/>
    </row>
    <row r="13627" spans="1:1" s="287" customFormat="1" ht="12" hidden="1" customHeight="1">
      <c r="A13627" s="286"/>
    </row>
    <row r="13628" spans="1:1" s="287" customFormat="1" ht="12" hidden="1" customHeight="1">
      <c r="A13628" s="286"/>
    </row>
    <row r="13629" spans="1:1" s="287" customFormat="1" ht="12" hidden="1" customHeight="1">
      <c r="A13629" s="286"/>
    </row>
    <row r="13630" spans="1:1" s="287" customFormat="1" ht="12" hidden="1" customHeight="1">
      <c r="A13630" s="286"/>
    </row>
    <row r="13631" spans="1:1" s="287" customFormat="1" ht="12" hidden="1" customHeight="1">
      <c r="A13631" s="286"/>
    </row>
    <row r="13632" spans="1:1" s="287" customFormat="1" ht="12" hidden="1" customHeight="1">
      <c r="A13632" s="286"/>
    </row>
    <row r="13633" spans="1:1" s="287" customFormat="1" ht="12" hidden="1" customHeight="1">
      <c r="A13633" s="286"/>
    </row>
    <row r="13634" spans="1:1" s="287" customFormat="1" ht="12" hidden="1" customHeight="1">
      <c r="A13634" s="286"/>
    </row>
    <row r="13635" spans="1:1" s="287" customFormat="1" ht="12" hidden="1" customHeight="1">
      <c r="A13635" s="286"/>
    </row>
    <row r="13636" spans="1:1" s="287" customFormat="1" ht="12" hidden="1" customHeight="1">
      <c r="A13636" s="286"/>
    </row>
    <row r="13637" spans="1:1" s="287" customFormat="1" ht="12" hidden="1" customHeight="1">
      <c r="A13637" s="286"/>
    </row>
    <row r="13638" spans="1:1" s="287" customFormat="1" ht="12" hidden="1" customHeight="1">
      <c r="A13638" s="286"/>
    </row>
    <row r="13639" spans="1:1" s="287" customFormat="1" ht="12" hidden="1" customHeight="1">
      <c r="A13639" s="286"/>
    </row>
    <row r="13640" spans="1:1" s="287" customFormat="1" ht="12" hidden="1" customHeight="1">
      <c r="A13640" s="286"/>
    </row>
    <row r="13641" spans="1:1" s="287" customFormat="1" ht="12" hidden="1" customHeight="1">
      <c r="A13641" s="286"/>
    </row>
    <row r="13642" spans="1:1" s="287" customFormat="1" ht="12" hidden="1" customHeight="1">
      <c r="A13642" s="286"/>
    </row>
    <row r="13643" spans="1:1" s="287" customFormat="1" ht="12" hidden="1" customHeight="1">
      <c r="A13643" s="286"/>
    </row>
    <row r="13644" spans="1:1" s="287" customFormat="1" ht="12" hidden="1" customHeight="1">
      <c r="A13644" s="286"/>
    </row>
    <row r="13645" spans="1:1" s="287" customFormat="1" ht="12" hidden="1" customHeight="1">
      <c r="A13645" s="286"/>
    </row>
    <row r="13646" spans="1:1" s="287" customFormat="1" ht="12" hidden="1" customHeight="1">
      <c r="A13646" s="286"/>
    </row>
    <row r="13647" spans="1:1" s="287" customFormat="1" ht="12" hidden="1" customHeight="1">
      <c r="A13647" s="286"/>
    </row>
    <row r="13648" spans="1:1" s="287" customFormat="1" ht="12" hidden="1" customHeight="1">
      <c r="A13648" s="286"/>
    </row>
    <row r="13649" spans="1:1" s="287" customFormat="1" ht="12" hidden="1" customHeight="1">
      <c r="A13649" s="286"/>
    </row>
    <row r="13650" spans="1:1" s="287" customFormat="1" ht="12" hidden="1" customHeight="1">
      <c r="A13650" s="286"/>
    </row>
    <row r="13651" spans="1:1" s="287" customFormat="1" ht="12" hidden="1" customHeight="1">
      <c r="A13651" s="286"/>
    </row>
    <row r="13652" spans="1:1" s="287" customFormat="1" ht="12" hidden="1" customHeight="1">
      <c r="A13652" s="286"/>
    </row>
    <row r="13653" spans="1:1" s="287" customFormat="1" ht="12" hidden="1" customHeight="1">
      <c r="A13653" s="286"/>
    </row>
    <row r="13654" spans="1:1" s="287" customFormat="1" ht="12" hidden="1" customHeight="1">
      <c r="A13654" s="286"/>
    </row>
    <row r="13655" spans="1:1" s="287" customFormat="1" ht="12" hidden="1" customHeight="1">
      <c r="A13655" s="286"/>
    </row>
    <row r="13656" spans="1:1" s="287" customFormat="1" ht="12" hidden="1" customHeight="1">
      <c r="A13656" s="286"/>
    </row>
    <row r="13657" spans="1:1" s="287" customFormat="1" ht="12" hidden="1" customHeight="1">
      <c r="A13657" s="286"/>
    </row>
    <row r="13658" spans="1:1" s="287" customFormat="1" ht="12" hidden="1" customHeight="1">
      <c r="A13658" s="286"/>
    </row>
    <row r="13659" spans="1:1" s="287" customFormat="1" ht="12" hidden="1" customHeight="1">
      <c r="A13659" s="286"/>
    </row>
    <row r="13660" spans="1:1" s="287" customFormat="1" ht="12" hidden="1" customHeight="1">
      <c r="A13660" s="286"/>
    </row>
    <row r="13661" spans="1:1" s="287" customFormat="1" ht="12" hidden="1" customHeight="1">
      <c r="A13661" s="286"/>
    </row>
    <row r="13662" spans="1:1" s="287" customFormat="1" ht="12" hidden="1" customHeight="1">
      <c r="A13662" s="286"/>
    </row>
    <row r="13663" spans="1:1" s="287" customFormat="1" ht="12" hidden="1" customHeight="1">
      <c r="A13663" s="286"/>
    </row>
    <row r="13664" spans="1:1" s="287" customFormat="1" ht="12" hidden="1" customHeight="1">
      <c r="A13664" s="286"/>
    </row>
    <row r="13665" spans="1:1" s="287" customFormat="1" ht="12" hidden="1" customHeight="1">
      <c r="A13665" s="286"/>
    </row>
    <row r="13666" spans="1:1" s="287" customFormat="1" ht="12" hidden="1" customHeight="1">
      <c r="A13666" s="286"/>
    </row>
    <row r="13667" spans="1:1" s="287" customFormat="1" ht="12" hidden="1" customHeight="1">
      <c r="A13667" s="286"/>
    </row>
    <row r="13668" spans="1:1" s="287" customFormat="1" ht="12" hidden="1" customHeight="1">
      <c r="A13668" s="286"/>
    </row>
    <row r="13669" spans="1:1" s="287" customFormat="1" ht="12" hidden="1" customHeight="1">
      <c r="A13669" s="286"/>
    </row>
    <row r="13670" spans="1:1" s="287" customFormat="1" ht="12" hidden="1" customHeight="1">
      <c r="A13670" s="286"/>
    </row>
    <row r="13671" spans="1:1" s="287" customFormat="1" ht="12" hidden="1" customHeight="1">
      <c r="A13671" s="286"/>
    </row>
    <row r="13672" spans="1:1" s="287" customFormat="1" ht="12" hidden="1" customHeight="1">
      <c r="A13672" s="286"/>
    </row>
    <row r="13673" spans="1:1" s="287" customFormat="1" ht="12" hidden="1" customHeight="1">
      <c r="A13673" s="286"/>
    </row>
    <row r="13674" spans="1:1" s="287" customFormat="1" ht="12" hidden="1" customHeight="1">
      <c r="A13674" s="286"/>
    </row>
    <row r="13675" spans="1:1" s="287" customFormat="1" ht="12" hidden="1" customHeight="1">
      <c r="A13675" s="286"/>
    </row>
    <row r="13676" spans="1:1" s="287" customFormat="1" ht="12" hidden="1" customHeight="1">
      <c r="A13676" s="286"/>
    </row>
    <row r="13677" spans="1:1" s="287" customFormat="1" ht="12" hidden="1" customHeight="1">
      <c r="A13677" s="286"/>
    </row>
    <row r="13678" spans="1:1" s="287" customFormat="1" ht="12" hidden="1" customHeight="1">
      <c r="A13678" s="286"/>
    </row>
    <row r="13679" spans="1:1" s="287" customFormat="1" ht="12" hidden="1" customHeight="1">
      <c r="A13679" s="286"/>
    </row>
    <row r="13680" spans="1:1" s="287" customFormat="1" ht="12" hidden="1" customHeight="1">
      <c r="A13680" s="286"/>
    </row>
    <row r="13681" spans="1:1" s="287" customFormat="1" ht="12" hidden="1" customHeight="1">
      <c r="A13681" s="286"/>
    </row>
    <row r="13682" spans="1:1" s="287" customFormat="1" ht="12" hidden="1" customHeight="1">
      <c r="A13682" s="286"/>
    </row>
    <row r="13683" spans="1:1" s="287" customFormat="1" ht="12" hidden="1" customHeight="1">
      <c r="A13683" s="286"/>
    </row>
    <row r="13684" spans="1:1" s="287" customFormat="1" ht="12" hidden="1" customHeight="1">
      <c r="A13684" s="286"/>
    </row>
    <row r="13685" spans="1:1" s="287" customFormat="1" ht="12" hidden="1" customHeight="1">
      <c r="A13685" s="286"/>
    </row>
    <row r="13686" spans="1:1" s="287" customFormat="1" ht="12" hidden="1" customHeight="1">
      <c r="A13686" s="286"/>
    </row>
    <row r="13687" spans="1:1" s="287" customFormat="1" ht="12" hidden="1" customHeight="1">
      <c r="A13687" s="286"/>
    </row>
    <row r="13688" spans="1:1" s="287" customFormat="1" ht="12" hidden="1" customHeight="1">
      <c r="A13688" s="286"/>
    </row>
    <row r="13689" spans="1:1" s="287" customFormat="1" ht="12" hidden="1" customHeight="1">
      <c r="A13689" s="286"/>
    </row>
    <row r="13690" spans="1:1" s="287" customFormat="1" ht="12" hidden="1" customHeight="1">
      <c r="A13690" s="286"/>
    </row>
    <row r="13691" spans="1:1" s="287" customFormat="1" ht="12" hidden="1" customHeight="1">
      <c r="A13691" s="286"/>
    </row>
    <row r="13692" spans="1:1" s="287" customFormat="1" ht="12" hidden="1" customHeight="1">
      <c r="A13692" s="286"/>
    </row>
    <row r="13693" spans="1:1" s="287" customFormat="1" ht="12" hidden="1" customHeight="1">
      <c r="A13693" s="286"/>
    </row>
    <row r="13694" spans="1:1" s="287" customFormat="1" ht="12" hidden="1" customHeight="1">
      <c r="A13694" s="286"/>
    </row>
    <row r="13695" spans="1:1" s="287" customFormat="1" ht="12" hidden="1" customHeight="1">
      <c r="A13695" s="286"/>
    </row>
    <row r="13696" spans="1:1" s="287" customFormat="1" ht="12" hidden="1" customHeight="1">
      <c r="A13696" s="286"/>
    </row>
    <row r="13697" spans="1:1" s="287" customFormat="1" ht="12" hidden="1" customHeight="1">
      <c r="A13697" s="286"/>
    </row>
    <row r="13698" spans="1:1" s="287" customFormat="1" ht="12" hidden="1" customHeight="1">
      <c r="A13698" s="286"/>
    </row>
    <row r="13699" spans="1:1" s="287" customFormat="1" ht="12" hidden="1" customHeight="1">
      <c r="A13699" s="286"/>
    </row>
    <row r="13700" spans="1:1" s="287" customFormat="1" ht="12" hidden="1" customHeight="1">
      <c r="A13700" s="286"/>
    </row>
    <row r="13701" spans="1:1" s="287" customFormat="1" ht="12" hidden="1" customHeight="1">
      <c r="A13701" s="286"/>
    </row>
    <row r="13702" spans="1:1" s="287" customFormat="1" ht="12" hidden="1" customHeight="1">
      <c r="A13702" s="286"/>
    </row>
    <row r="13703" spans="1:1" s="287" customFormat="1" ht="12" hidden="1" customHeight="1">
      <c r="A13703" s="286"/>
    </row>
    <row r="13704" spans="1:1" s="287" customFormat="1" ht="12" hidden="1" customHeight="1">
      <c r="A13704" s="286"/>
    </row>
    <row r="13705" spans="1:1" s="287" customFormat="1" ht="12" hidden="1" customHeight="1">
      <c r="A13705" s="286"/>
    </row>
    <row r="13706" spans="1:1" s="287" customFormat="1" ht="12" hidden="1" customHeight="1">
      <c r="A13706" s="286"/>
    </row>
    <row r="13707" spans="1:1" s="287" customFormat="1" ht="12" hidden="1" customHeight="1">
      <c r="A13707" s="286"/>
    </row>
    <row r="13708" spans="1:1" s="287" customFormat="1" ht="12" hidden="1" customHeight="1">
      <c r="A13708" s="286"/>
    </row>
    <row r="13709" spans="1:1" s="287" customFormat="1" ht="12" hidden="1" customHeight="1">
      <c r="A13709" s="286"/>
    </row>
    <row r="13710" spans="1:1" s="287" customFormat="1" ht="12" hidden="1" customHeight="1">
      <c r="A13710" s="286"/>
    </row>
    <row r="13711" spans="1:1" s="287" customFormat="1" ht="12" hidden="1" customHeight="1">
      <c r="A13711" s="286"/>
    </row>
    <row r="13712" spans="1:1" s="287" customFormat="1" ht="12" hidden="1" customHeight="1">
      <c r="A13712" s="286"/>
    </row>
    <row r="13713" spans="1:1" s="287" customFormat="1" ht="12" hidden="1" customHeight="1">
      <c r="A13713" s="286"/>
    </row>
    <row r="13714" spans="1:1" s="287" customFormat="1" ht="12" hidden="1" customHeight="1">
      <c r="A13714" s="286"/>
    </row>
    <row r="13715" spans="1:1" s="287" customFormat="1" ht="12" hidden="1" customHeight="1">
      <c r="A13715" s="286"/>
    </row>
    <row r="13716" spans="1:1" s="287" customFormat="1" ht="12" hidden="1" customHeight="1">
      <c r="A13716" s="286"/>
    </row>
    <row r="13717" spans="1:1" s="287" customFormat="1" ht="12" hidden="1" customHeight="1">
      <c r="A13717" s="286"/>
    </row>
    <row r="13718" spans="1:1" s="287" customFormat="1" ht="12" hidden="1" customHeight="1">
      <c r="A13718" s="286"/>
    </row>
    <row r="13719" spans="1:1" s="287" customFormat="1" ht="12" hidden="1" customHeight="1">
      <c r="A13719" s="286"/>
    </row>
    <row r="13720" spans="1:1" s="287" customFormat="1" ht="12" hidden="1" customHeight="1">
      <c r="A13720" s="286"/>
    </row>
    <row r="13721" spans="1:1" s="287" customFormat="1" ht="12" hidden="1" customHeight="1">
      <c r="A13721" s="286"/>
    </row>
    <row r="13722" spans="1:1" s="287" customFormat="1" ht="12" hidden="1" customHeight="1">
      <c r="A13722" s="286"/>
    </row>
    <row r="13723" spans="1:1" s="287" customFormat="1" ht="12" hidden="1" customHeight="1">
      <c r="A13723" s="286"/>
    </row>
    <row r="13724" spans="1:1" s="287" customFormat="1" ht="12" hidden="1" customHeight="1">
      <c r="A13724" s="286"/>
    </row>
    <row r="13725" spans="1:1" s="287" customFormat="1" ht="12" hidden="1" customHeight="1">
      <c r="A13725" s="286"/>
    </row>
    <row r="13726" spans="1:1" s="287" customFormat="1" ht="12" hidden="1" customHeight="1">
      <c r="A13726" s="286"/>
    </row>
    <row r="13727" spans="1:1" s="287" customFormat="1" ht="12" hidden="1" customHeight="1">
      <c r="A13727" s="286"/>
    </row>
    <row r="13728" spans="1:1" s="287" customFormat="1" ht="12" hidden="1" customHeight="1">
      <c r="A13728" s="286"/>
    </row>
    <row r="13729" spans="1:1" s="287" customFormat="1" ht="12" hidden="1" customHeight="1">
      <c r="A13729" s="286"/>
    </row>
    <row r="13730" spans="1:1" s="287" customFormat="1" ht="12" hidden="1" customHeight="1">
      <c r="A13730" s="286"/>
    </row>
    <row r="13731" spans="1:1" s="287" customFormat="1" ht="12" hidden="1" customHeight="1">
      <c r="A13731" s="286"/>
    </row>
    <row r="13732" spans="1:1" s="287" customFormat="1" ht="12" hidden="1" customHeight="1">
      <c r="A13732" s="286"/>
    </row>
    <row r="13733" spans="1:1" s="287" customFormat="1" ht="12" hidden="1" customHeight="1">
      <c r="A13733" s="286"/>
    </row>
    <row r="13734" spans="1:1" s="287" customFormat="1" ht="12" hidden="1" customHeight="1">
      <c r="A13734" s="286"/>
    </row>
    <row r="13735" spans="1:1" s="287" customFormat="1" ht="12" hidden="1" customHeight="1">
      <c r="A13735" s="286"/>
    </row>
    <row r="13736" spans="1:1" s="287" customFormat="1" ht="12" hidden="1" customHeight="1">
      <c r="A13736" s="286"/>
    </row>
    <row r="13737" spans="1:1" s="287" customFormat="1" ht="12" hidden="1" customHeight="1">
      <c r="A13737" s="286"/>
    </row>
    <row r="13738" spans="1:1" s="287" customFormat="1" ht="12" hidden="1" customHeight="1">
      <c r="A13738" s="286"/>
    </row>
    <row r="13739" spans="1:1" s="287" customFormat="1" ht="12" hidden="1" customHeight="1">
      <c r="A13739" s="286"/>
    </row>
    <row r="13740" spans="1:1" s="287" customFormat="1" ht="12" hidden="1" customHeight="1">
      <c r="A13740" s="286"/>
    </row>
    <row r="13741" spans="1:1" s="287" customFormat="1" ht="12" hidden="1" customHeight="1">
      <c r="A13741" s="286"/>
    </row>
    <row r="13742" spans="1:1" s="287" customFormat="1" ht="12" hidden="1" customHeight="1">
      <c r="A13742" s="286"/>
    </row>
    <row r="13743" spans="1:1" s="287" customFormat="1" ht="12" hidden="1" customHeight="1">
      <c r="A13743" s="286"/>
    </row>
    <row r="13744" spans="1:1" s="287" customFormat="1" ht="12" hidden="1" customHeight="1">
      <c r="A13744" s="286"/>
    </row>
    <row r="13745" spans="1:1" s="287" customFormat="1" ht="12" hidden="1" customHeight="1">
      <c r="A13745" s="286"/>
    </row>
    <row r="13746" spans="1:1" s="287" customFormat="1" ht="12" hidden="1" customHeight="1">
      <c r="A13746" s="286"/>
    </row>
    <row r="13747" spans="1:1" s="287" customFormat="1" ht="12" hidden="1" customHeight="1">
      <c r="A13747" s="286"/>
    </row>
    <row r="13748" spans="1:1" s="287" customFormat="1" ht="12" hidden="1" customHeight="1">
      <c r="A13748" s="286"/>
    </row>
    <row r="13749" spans="1:1" s="287" customFormat="1" ht="12" hidden="1" customHeight="1">
      <c r="A13749" s="286"/>
    </row>
    <row r="13750" spans="1:1" s="287" customFormat="1" ht="12" hidden="1" customHeight="1">
      <c r="A13750" s="286"/>
    </row>
    <row r="13751" spans="1:1" s="287" customFormat="1" ht="12" hidden="1" customHeight="1">
      <c r="A13751" s="286"/>
    </row>
    <row r="13752" spans="1:1" s="287" customFormat="1" ht="12" hidden="1" customHeight="1">
      <c r="A13752" s="286"/>
    </row>
    <row r="13753" spans="1:1" s="287" customFormat="1" ht="12" hidden="1" customHeight="1">
      <c r="A13753" s="286"/>
    </row>
    <row r="13754" spans="1:1" s="287" customFormat="1" ht="12" hidden="1" customHeight="1">
      <c r="A13754" s="286"/>
    </row>
    <row r="13755" spans="1:1" s="287" customFormat="1" ht="12" hidden="1" customHeight="1">
      <c r="A13755" s="286"/>
    </row>
    <row r="13756" spans="1:1" s="287" customFormat="1" ht="12" hidden="1" customHeight="1">
      <c r="A13756" s="286"/>
    </row>
    <row r="13757" spans="1:1" s="287" customFormat="1" ht="12" hidden="1" customHeight="1">
      <c r="A13757" s="286"/>
    </row>
    <row r="13758" spans="1:1" s="287" customFormat="1" ht="12" hidden="1" customHeight="1">
      <c r="A13758" s="286"/>
    </row>
    <row r="13759" spans="1:1" s="287" customFormat="1" ht="12" hidden="1" customHeight="1">
      <c r="A13759" s="286"/>
    </row>
    <row r="13760" spans="1:1" s="287" customFormat="1" ht="12" hidden="1" customHeight="1">
      <c r="A13760" s="286"/>
    </row>
    <row r="13761" spans="1:1" s="287" customFormat="1" ht="12" hidden="1" customHeight="1">
      <c r="A13761" s="286"/>
    </row>
    <row r="13762" spans="1:1" s="287" customFormat="1" ht="12" hidden="1" customHeight="1">
      <c r="A13762" s="286"/>
    </row>
    <row r="13763" spans="1:1" s="287" customFormat="1" ht="12" hidden="1" customHeight="1">
      <c r="A13763" s="286"/>
    </row>
    <row r="13764" spans="1:1" s="287" customFormat="1" ht="12" hidden="1" customHeight="1">
      <c r="A13764" s="286"/>
    </row>
    <row r="13765" spans="1:1" s="287" customFormat="1" ht="12" hidden="1" customHeight="1">
      <c r="A13765" s="286"/>
    </row>
    <row r="13766" spans="1:1" s="287" customFormat="1" ht="12" hidden="1" customHeight="1">
      <c r="A13766" s="286"/>
    </row>
    <row r="13767" spans="1:1" s="287" customFormat="1" ht="12" hidden="1" customHeight="1">
      <c r="A13767" s="286"/>
    </row>
    <row r="13768" spans="1:1" s="287" customFormat="1" ht="12" hidden="1" customHeight="1">
      <c r="A13768" s="286"/>
    </row>
    <row r="13769" spans="1:1" s="287" customFormat="1" ht="12" hidden="1" customHeight="1">
      <c r="A13769" s="286"/>
    </row>
    <row r="13770" spans="1:1" s="287" customFormat="1" ht="12" hidden="1" customHeight="1">
      <c r="A13770" s="286"/>
    </row>
    <row r="13771" spans="1:1" s="287" customFormat="1" ht="12" hidden="1" customHeight="1">
      <c r="A13771" s="286"/>
    </row>
    <row r="13772" spans="1:1" s="287" customFormat="1" ht="12" hidden="1" customHeight="1">
      <c r="A13772" s="286"/>
    </row>
    <row r="13773" spans="1:1" s="287" customFormat="1" ht="12" hidden="1" customHeight="1">
      <c r="A13773" s="286"/>
    </row>
    <row r="13774" spans="1:1" s="287" customFormat="1" ht="12" hidden="1" customHeight="1">
      <c r="A13774" s="286"/>
    </row>
    <row r="13775" spans="1:1" s="287" customFormat="1" ht="12" hidden="1" customHeight="1">
      <c r="A13775" s="286"/>
    </row>
    <row r="13776" spans="1:1" s="287" customFormat="1" ht="12" hidden="1" customHeight="1">
      <c r="A13776" s="286"/>
    </row>
    <row r="13777" spans="1:1" s="287" customFormat="1" ht="12" hidden="1" customHeight="1">
      <c r="A13777" s="286"/>
    </row>
    <row r="13778" spans="1:1" s="287" customFormat="1" ht="12" hidden="1" customHeight="1">
      <c r="A13778" s="286"/>
    </row>
    <row r="13779" spans="1:1" s="287" customFormat="1" ht="12" hidden="1" customHeight="1">
      <c r="A13779" s="286"/>
    </row>
    <row r="13780" spans="1:1" s="287" customFormat="1" ht="12" hidden="1" customHeight="1">
      <c r="A13780" s="286"/>
    </row>
    <row r="13781" spans="1:1" s="287" customFormat="1" ht="12" hidden="1" customHeight="1">
      <c r="A13781" s="286"/>
    </row>
    <row r="13782" spans="1:1" s="287" customFormat="1" ht="12" hidden="1" customHeight="1">
      <c r="A13782" s="286"/>
    </row>
    <row r="13783" spans="1:1" s="287" customFormat="1" ht="12" hidden="1" customHeight="1">
      <c r="A13783" s="286"/>
    </row>
    <row r="13784" spans="1:1" s="287" customFormat="1" ht="12" hidden="1" customHeight="1">
      <c r="A13784" s="286"/>
    </row>
    <row r="13785" spans="1:1" s="287" customFormat="1" ht="12" hidden="1" customHeight="1">
      <c r="A13785" s="286"/>
    </row>
    <row r="13786" spans="1:1" s="287" customFormat="1" ht="12" hidden="1" customHeight="1">
      <c r="A13786" s="286"/>
    </row>
    <row r="13787" spans="1:1" s="287" customFormat="1" ht="12" hidden="1" customHeight="1">
      <c r="A13787" s="286"/>
    </row>
    <row r="13788" spans="1:1" s="287" customFormat="1" ht="12" hidden="1" customHeight="1">
      <c r="A13788" s="286"/>
    </row>
    <row r="13789" spans="1:1" s="287" customFormat="1" ht="12" hidden="1" customHeight="1">
      <c r="A13789" s="286"/>
    </row>
    <row r="13790" spans="1:1" s="287" customFormat="1" ht="12" hidden="1" customHeight="1">
      <c r="A13790" s="286"/>
    </row>
    <row r="13791" spans="1:1" s="287" customFormat="1" ht="12" hidden="1" customHeight="1">
      <c r="A13791" s="286"/>
    </row>
    <row r="13792" spans="1:1" s="287" customFormat="1" ht="12" hidden="1" customHeight="1">
      <c r="A13792" s="286"/>
    </row>
    <row r="13793" spans="1:1" s="287" customFormat="1" ht="12" hidden="1" customHeight="1">
      <c r="A13793" s="286"/>
    </row>
    <row r="13794" spans="1:1" s="287" customFormat="1" ht="12" hidden="1" customHeight="1">
      <c r="A13794" s="286"/>
    </row>
    <row r="13795" spans="1:1" s="287" customFormat="1" ht="12" hidden="1" customHeight="1">
      <c r="A13795" s="286"/>
    </row>
    <row r="13796" spans="1:1" s="287" customFormat="1" ht="12" hidden="1" customHeight="1">
      <c r="A13796" s="286"/>
    </row>
    <row r="13797" spans="1:1" s="287" customFormat="1" ht="12" hidden="1" customHeight="1">
      <c r="A13797" s="286"/>
    </row>
    <row r="13798" spans="1:1" s="287" customFormat="1" ht="12" hidden="1" customHeight="1">
      <c r="A13798" s="286"/>
    </row>
    <row r="13799" spans="1:1" s="287" customFormat="1" ht="12" hidden="1" customHeight="1">
      <c r="A13799" s="286"/>
    </row>
    <row r="13800" spans="1:1" s="287" customFormat="1" ht="12" hidden="1" customHeight="1">
      <c r="A13800" s="286"/>
    </row>
    <row r="13801" spans="1:1" s="287" customFormat="1" ht="12" hidden="1" customHeight="1">
      <c r="A13801" s="286"/>
    </row>
    <row r="13802" spans="1:1" s="287" customFormat="1" ht="12" hidden="1" customHeight="1">
      <c r="A13802" s="286"/>
    </row>
    <row r="13803" spans="1:1" s="287" customFormat="1" ht="12" hidden="1" customHeight="1">
      <c r="A13803" s="286"/>
    </row>
    <row r="13804" spans="1:1" s="287" customFormat="1" ht="12" hidden="1" customHeight="1">
      <c r="A13804" s="286"/>
    </row>
    <row r="13805" spans="1:1" s="287" customFormat="1" ht="12" hidden="1" customHeight="1">
      <c r="A13805" s="286"/>
    </row>
    <row r="13806" spans="1:1" s="287" customFormat="1" ht="12" hidden="1" customHeight="1">
      <c r="A13806" s="286"/>
    </row>
    <row r="13807" spans="1:1" s="287" customFormat="1" ht="12" hidden="1" customHeight="1">
      <c r="A13807" s="286"/>
    </row>
    <row r="13808" spans="1:1" s="287" customFormat="1" ht="12" hidden="1" customHeight="1">
      <c r="A13808" s="286"/>
    </row>
    <row r="13809" spans="1:1" s="287" customFormat="1" ht="12" hidden="1" customHeight="1">
      <c r="A13809" s="286"/>
    </row>
    <row r="13810" spans="1:1" s="287" customFormat="1" ht="12" hidden="1" customHeight="1">
      <c r="A13810" s="286"/>
    </row>
    <row r="13811" spans="1:1" s="287" customFormat="1" ht="12" hidden="1" customHeight="1">
      <c r="A13811" s="286"/>
    </row>
    <row r="13812" spans="1:1" s="287" customFormat="1" ht="12" hidden="1" customHeight="1">
      <c r="A13812" s="286"/>
    </row>
    <row r="13813" spans="1:1" s="287" customFormat="1" ht="12" hidden="1" customHeight="1">
      <c r="A13813" s="286"/>
    </row>
    <row r="13814" spans="1:1" s="287" customFormat="1" ht="12" hidden="1" customHeight="1">
      <c r="A13814" s="286"/>
    </row>
    <row r="13815" spans="1:1" s="287" customFormat="1" ht="12" hidden="1" customHeight="1">
      <c r="A13815" s="286"/>
    </row>
    <row r="13816" spans="1:1" s="287" customFormat="1" ht="12" hidden="1" customHeight="1">
      <c r="A13816" s="286"/>
    </row>
    <row r="13817" spans="1:1" s="287" customFormat="1" ht="12" hidden="1" customHeight="1">
      <c r="A13817" s="286"/>
    </row>
    <row r="13818" spans="1:1" s="287" customFormat="1" ht="12" hidden="1" customHeight="1">
      <c r="A13818" s="286"/>
    </row>
    <row r="13819" spans="1:1" s="287" customFormat="1" ht="12" hidden="1" customHeight="1">
      <c r="A13819" s="286"/>
    </row>
    <row r="13820" spans="1:1" s="287" customFormat="1" ht="12" hidden="1" customHeight="1">
      <c r="A13820" s="286"/>
    </row>
    <row r="13821" spans="1:1" s="287" customFormat="1" ht="12" hidden="1" customHeight="1">
      <c r="A13821" s="286"/>
    </row>
    <row r="13822" spans="1:1" s="287" customFormat="1" ht="12" hidden="1" customHeight="1">
      <c r="A13822" s="286"/>
    </row>
    <row r="13823" spans="1:1" s="287" customFormat="1" ht="12" hidden="1" customHeight="1">
      <c r="A13823" s="286"/>
    </row>
    <row r="13824" spans="1:1" s="287" customFormat="1" ht="12" hidden="1" customHeight="1">
      <c r="A13824" s="286"/>
    </row>
    <row r="13825" spans="1:1" s="287" customFormat="1" ht="12" hidden="1" customHeight="1">
      <c r="A13825" s="286"/>
    </row>
    <row r="13826" spans="1:1" s="287" customFormat="1" ht="12" hidden="1" customHeight="1">
      <c r="A13826" s="286"/>
    </row>
    <row r="13827" spans="1:1" s="287" customFormat="1" ht="12" hidden="1" customHeight="1">
      <c r="A13827" s="286"/>
    </row>
    <row r="13828" spans="1:1" s="287" customFormat="1" ht="12" hidden="1" customHeight="1">
      <c r="A13828" s="286"/>
    </row>
    <row r="13829" spans="1:1" s="287" customFormat="1" ht="12" hidden="1" customHeight="1">
      <c r="A13829" s="286"/>
    </row>
    <row r="13830" spans="1:1" s="287" customFormat="1" ht="12" hidden="1" customHeight="1">
      <c r="A13830" s="286"/>
    </row>
    <row r="13831" spans="1:1" s="287" customFormat="1" ht="12" hidden="1" customHeight="1">
      <c r="A13831" s="286"/>
    </row>
    <row r="13832" spans="1:1" s="287" customFormat="1" ht="12" hidden="1" customHeight="1">
      <c r="A13832" s="286"/>
    </row>
    <row r="13833" spans="1:1" s="287" customFormat="1" ht="12" hidden="1" customHeight="1">
      <c r="A13833" s="286"/>
    </row>
    <row r="13834" spans="1:1" s="287" customFormat="1" ht="12" hidden="1" customHeight="1">
      <c r="A13834" s="286"/>
    </row>
    <row r="13835" spans="1:1" s="287" customFormat="1" ht="12" hidden="1" customHeight="1">
      <c r="A13835" s="286"/>
    </row>
    <row r="13836" spans="1:1" s="287" customFormat="1" ht="12" hidden="1" customHeight="1">
      <c r="A13836" s="286"/>
    </row>
    <row r="13837" spans="1:1" s="287" customFormat="1" ht="12" hidden="1" customHeight="1">
      <c r="A13837" s="286"/>
    </row>
    <row r="13838" spans="1:1" s="287" customFormat="1" ht="12" hidden="1" customHeight="1">
      <c r="A13838" s="286"/>
    </row>
    <row r="13839" spans="1:1" s="287" customFormat="1" ht="12" hidden="1" customHeight="1">
      <c r="A13839" s="286"/>
    </row>
    <row r="13840" spans="1:1" s="287" customFormat="1" ht="12" hidden="1" customHeight="1">
      <c r="A13840" s="286"/>
    </row>
    <row r="13841" spans="1:1" s="287" customFormat="1" ht="12" hidden="1" customHeight="1">
      <c r="A13841" s="286"/>
    </row>
    <row r="13842" spans="1:1" s="287" customFormat="1" ht="12" hidden="1" customHeight="1">
      <c r="A13842" s="286"/>
    </row>
    <row r="13843" spans="1:1" s="287" customFormat="1" ht="12" hidden="1" customHeight="1">
      <c r="A13843" s="286"/>
    </row>
    <row r="13844" spans="1:1" s="287" customFormat="1" ht="12" hidden="1" customHeight="1">
      <c r="A13844" s="286"/>
    </row>
    <row r="13845" spans="1:1" s="287" customFormat="1" ht="12" hidden="1" customHeight="1">
      <c r="A13845" s="286"/>
    </row>
    <row r="13846" spans="1:1" s="287" customFormat="1" ht="12" hidden="1" customHeight="1">
      <c r="A13846" s="286"/>
    </row>
    <row r="13847" spans="1:1" s="287" customFormat="1" ht="12" hidden="1" customHeight="1">
      <c r="A13847" s="286"/>
    </row>
    <row r="13848" spans="1:1" s="287" customFormat="1" ht="12" hidden="1" customHeight="1">
      <c r="A13848" s="286"/>
    </row>
    <row r="13849" spans="1:1" s="287" customFormat="1" ht="12" hidden="1" customHeight="1">
      <c r="A13849" s="286"/>
    </row>
    <row r="13850" spans="1:1" s="287" customFormat="1" ht="12" hidden="1" customHeight="1">
      <c r="A13850" s="286"/>
    </row>
    <row r="13851" spans="1:1" s="287" customFormat="1" ht="12" hidden="1" customHeight="1">
      <c r="A13851" s="286"/>
    </row>
    <row r="13852" spans="1:1" s="287" customFormat="1" ht="12" hidden="1" customHeight="1">
      <c r="A13852" s="286"/>
    </row>
    <row r="13853" spans="1:1" s="287" customFormat="1" ht="12" hidden="1" customHeight="1">
      <c r="A13853" s="286"/>
    </row>
    <row r="13854" spans="1:1" s="287" customFormat="1" ht="12" hidden="1" customHeight="1">
      <c r="A13854" s="286"/>
    </row>
    <row r="13855" spans="1:1" s="287" customFormat="1" ht="12" hidden="1" customHeight="1">
      <c r="A13855" s="286"/>
    </row>
    <row r="13856" spans="1:1" s="287" customFormat="1" ht="12" hidden="1" customHeight="1">
      <c r="A13856" s="286"/>
    </row>
    <row r="13857" spans="1:1" s="287" customFormat="1" ht="12" hidden="1" customHeight="1">
      <c r="A13857" s="286"/>
    </row>
    <row r="13858" spans="1:1" s="287" customFormat="1" ht="12" hidden="1" customHeight="1">
      <c r="A13858" s="286"/>
    </row>
    <row r="13859" spans="1:1" s="287" customFormat="1" ht="12" hidden="1" customHeight="1">
      <c r="A13859" s="286"/>
    </row>
    <row r="13860" spans="1:1" s="287" customFormat="1" ht="12" hidden="1" customHeight="1">
      <c r="A13860" s="286"/>
    </row>
    <row r="13861" spans="1:1" s="287" customFormat="1" ht="12" hidden="1" customHeight="1">
      <c r="A13861" s="286"/>
    </row>
    <row r="13862" spans="1:1" s="287" customFormat="1" ht="12" hidden="1" customHeight="1">
      <c r="A13862" s="286"/>
    </row>
    <row r="13863" spans="1:1" s="287" customFormat="1" ht="12" hidden="1" customHeight="1">
      <c r="A13863" s="286"/>
    </row>
    <row r="13864" spans="1:1" s="287" customFormat="1" ht="12" hidden="1" customHeight="1">
      <c r="A13864" s="286"/>
    </row>
    <row r="13865" spans="1:1" s="287" customFormat="1" ht="12" hidden="1" customHeight="1">
      <c r="A13865" s="286"/>
    </row>
    <row r="13866" spans="1:1" s="287" customFormat="1" ht="12" hidden="1" customHeight="1">
      <c r="A13866" s="286"/>
    </row>
    <row r="13867" spans="1:1" s="287" customFormat="1" ht="12" hidden="1" customHeight="1">
      <c r="A13867" s="286"/>
    </row>
    <row r="13868" spans="1:1" s="287" customFormat="1" ht="12" hidden="1" customHeight="1">
      <c r="A13868" s="286"/>
    </row>
    <row r="13869" spans="1:1" s="287" customFormat="1" ht="12" hidden="1" customHeight="1">
      <c r="A13869" s="286"/>
    </row>
    <row r="13870" spans="1:1" s="287" customFormat="1" ht="12" hidden="1" customHeight="1">
      <c r="A13870" s="286"/>
    </row>
    <row r="13871" spans="1:1" s="287" customFormat="1" ht="12" hidden="1" customHeight="1">
      <c r="A13871" s="286"/>
    </row>
    <row r="13872" spans="1:1" s="287" customFormat="1" ht="12" hidden="1" customHeight="1">
      <c r="A13872" s="286"/>
    </row>
    <row r="13873" spans="1:1" s="287" customFormat="1" ht="12" hidden="1" customHeight="1">
      <c r="A13873" s="286"/>
    </row>
    <row r="13874" spans="1:1" s="287" customFormat="1" ht="12" hidden="1" customHeight="1">
      <c r="A13874" s="286"/>
    </row>
    <row r="13875" spans="1:1" s="287" customFormat="1" ht="12" hidden="1" customHeight="1">
      <c r="A13875" s="286"/>
    </row>
    <row r="13876" spans="1:1" s="287" customFormat="1" ht="12" hidden="1" customHeight="1">
      <c r="A13876" s="286"/>
    </row>
    <row r="13877" spans="1:1" s="287" customFormat="1" ht="12" hidden="1" customHeight="1">
      <c r="A13877" s="286"/>
    </row>
    <row r="13878" spans="1:1" s="287" customFormat="1" ht="12" hidden="1" customHeight="1">
      <c r="A13878" s="286"/>
    </row>
    <row r="13879" spans="1:1" s="287" customFormat="1" ht="12" hidden="1" customHeight="1">
      <c r="A13879" s="286"/>
    </row>
    <row r="13880" spans="1:1" s="287" customFormat="1" ht="12" hidden="1" customHeight="1">
      <c r="A13880" s="286"/>
    </row>
    <row r="13881" spans="1:1" s="287" customFormat="1" ht="12" hidden="1" customHeight="1">
      <c r="A13881" s="286"/>
    </row>
    <row r="13882" spans="1:1" s="287" customFormat="1" ht="12" hidden="1" customHeight="1">
      <c r="A13882" s="286"/>
    </row>
    <row r="13883" spans="1:1" s="287" customFormat="1" ht="12" hidden="1" customHeight="1">
      <c r="A13883" s="286"/>
    </row>
    <row r="13884" spans="1:1" s="287" customFormat="1" ht="12" hidden="1" customHeight="1">
      <c r="A13884" s="286"/>
    </row>
    <row r="13885" spans="1:1" s="287" customFormat="1" ht="12" hidden="1" customHeight="1">
      <c r="A13885" s="286"/>
    </row>
    <row r="13886" spans="1:1" s="287" customFormat="1" ht="12" hidden="1" customHeight="1">
      <c r="A13886" s="286"/>
    </row>
    <row r="13887" spans="1:1" s="287" customFormat="1" ht="12" hidden="1" customHeight="1">
      <c r="A13887" s="286"/>
    </row>
    <row r="13888" spans="1:1" s="287" customFormat="1" ht="12" hidden="1" customHeight="1">
      <c r="A13888" s="286"/>
    </row>
    <row r="13889" spans="1:1" s="287" customFormat="1" ht="12" hidden="1" customHeight="1">
      <c r="A13889" s="286"/>
    </row>
    <row r="13890" spans="1:1" s="287" customFormat="1" ht="12" hidden="1" customHeight="1">
      <c r="A13890" s="286"/>
    </row>
    <row r="13891" spans="1:1" s="287" customFormat="1" ht="12" hidden="1" customHeight="1">
      <c r="A13891" s="286"/>
    </row>
    <row r="13892" spans="1:1" s="287" customFormat="1" ht="12" hidden="1" customHeight="1">
      <c r="A13892" s="286"/>
    </row>
    <row r="13893" spans="1:1" s="287" customFormat="1" ht="12" hidden="1" customHeight="1">
      <c r="A13893" s="286"/>
    </row>
    <row r="13894" spans="1:1" s="287" customFormat="1" ht="12" hidden="1" customHeight="1">
      <c r="A13894" s="286"/>
    </row>
    <row r="13895" spans="1:1" s="287" customFormat="1" ht="12" hidden="1" customHeight="1">
      <c r="A13895" s="286"/>
    </row>
    <row r="13896" spans="1:1" s="287" customFormat="1" ht="12" hidden="1" customHeight="1">
      <c r="A13896" s="286"/>
    </row>
    <row r="13897" spans="1:1" s="287" customFormat="1" ht="12" hidden="1" customHeight="1">
      <c r="A13897" s="286"/>
    </row>
    <row r="13898" spans="1:1" s="287" customFormat="1" ht="12" hidden="1" customHeight="1">
      <c r="A13898" s="286"/>
    </row>
    <row r="13899" spans="1:1" s="287" customFormat="1" ht="12" hidden="1" customHeight="1">
      <c r="A13899" s="286"/>
    </row>
    <row r="13900" spans="1:1" s="287" customFormat="1" ht="12" hidden="1" customHeight="1">
      <c r="A13900" s="286"/>
    </row>
    <row r="13901" spans="1:1" s="287" customFormat="1" ht="12" hidden="1" customHeight="1">
      <c r="A13901" s="286"/>
    </row>
    <row r="13902" spans="1:1" s="287" customFormat="1" ht="12" hidden="1" customHeight="1">
      <c r="A13902" s="286"/>
    </row>
    <row r="13903" spans="1:1" s="287" customFormat="1" ht="12" hidden="1" customHeight="1">
      <c r="A13903" s="286"/>
    </row>
    <row r="13904" spans="1:1" s="287" customFormat="1" ht="12" hidden="1" customHeight="1">
      <c r="A13904" s="286"/>
    </row>
    <row r="13905" spans="1:1" s="287" customFormat="1" ht="12" hidden="1" customHeight="1">
      <c r="A13905" s="286"/>
    </row>
    <row r="13906" spans="1:1" s="287" customFormat="1" ht="12" hidden="1" customHeight="1">
      <c r="A13906" s="286"/>
    </row>
    <row r="13907" spans="1:1" s="287" customFormat="1" ht="12" hidden="1" customHeight="1">
      <c r="A13907" s="286"/>
    </row>
    <row r="13908" spans="1:1" s="287" customFormat="1" ht="12" hidden="1" customHeight="1">
      <c r="A13908" s="286"/>
    </row>
    <row r="13909" spans="1:1" s="287" customFormat="1" ht="12" hidden="1" customHeight="1">
      <c r="A13909" s="286"/>
    </row>
    <row r="13910" spans="1:1" s="287" customFormat="1" ht="12" hidden="1" customHeight="1">
      <c r="A13910" s="286"/>
    </row>
    <row r="13911" spans="1:1" s="287" customFormat="1" ht="12" hidden="1" customHeight="1">
      <c r="A13911" s="286"/>
    </row>
    <row r="13912" spans="1:1" s="287" customFormat="1" ht="12" hidden="1" customHeight="1">
      <c r="A13912" s="286"/>
    </row>
    <row r="13913" spans="1:1" s="287" customFormat="1" ht="12" hidden="1" customHeight="1">
      <c r="A13913" s="286"/>
    </row>
    <row r="13914" spans="1:1" s="287" customFormat="1" ht="12" hidden="1" customHeight="1">
      <c r="A13914" s="286"/>
    </row>
    <row r="13915" spans="1:1" s="287" customFormat="1" ht="12" hidden="1" customHeight="1">
      <c r="A13915" s="286"/>
    </row>
    <row r="13916" spans="1:1" s="287" customFormat="1" ht="12" hidden="1" customHeight="1">
      <c r="A13916" s="286"/>
    </row>
    <row r="13917" spans="1:1" s="287" customFormat="1" ht="12" hidden="1" customHeight="1">
      <c r="A13917" s="286"/>
    </row>
    <row r="13918" spans="1:1" s="287" customFormat="1" ht="12" hidden="1" customHeight="1">
      <c r="A13918" s="286"/>
    </row>
    <row r="13919" spans="1:1" s="287" customFormat="1" ht="12" hidden="1" customHeight="1">
      <c r="A13919" s="286"/>
    </row>
    <row r="13920" spans="1:1" s="287" customFormat="1" ht="12" hidden="1" customHeight="1">
      <c r="A13920" s="286"/>
    </row>
    <row r="13921" spans="1:1" s="287" customFormat="1" ht="12" hidden="1" customHeight="1">
      <c r="A13921" s="286"/>
    </row>
    <row r="13922" spans="1:1" s="287" customFormat="1" ht="12" hidden="1" customHeight="1">
      <c r="A13922" s="286"/>
    </row>
    <row r="13923" spans="1:1" s="287" customFormat="1" ht="12" hidden="1" customHeight="1">
      <c r="A13923" s="286"/>
    </row>
    <row r="13924" spans="1:1" s="287" customFormat="1" ht="12" hidden="1" customHeight="1">
      <c r="A13924" s="286"/>
    </row>
    <row r="13925" spans="1:1" s="287" customFormat="1" ht="12" hidden="1" customHeight="1">
      <c r="A13925" s="286"/>
    </row>
    <row r="13926" spans="1:1" s="287" customFormat="1" ht="12" hidden="1" customHeight="1">
      <c r="A13926" s="286"/>
    </row>
    <row r="13927" spans="1:1" s="287" customFormat="1" ht="12" hidden="1" customHeight="1">
      <c r="A13927" s="286"/>
    </row>
    <row r="13928" spans="1:1" s="287" customFormat="1" ht="12" hidden="1" customHeight="1">
      <c r="A13928" s="286"/>
    </row>
    <row r="13929" spans="1:1" s="287" customFormat="1" ht="12" hidden="1" customHeight="1">
      <c r="A13929" s="286"/>
    </row>
    <row r="13930" spans="1:1" s="287" customFormat="1" ht="12" hidden="1" customHeight="1">
      <c r="A13930" s="286"/>
    </row>
    <row r="13931" spans="1:1" s="287" customFormat="1" ht="12" hidden="1" customHeight="1">
      <c r="A13931" s="286"/>
    </row>
    <row r="13932" spans="1:1" s="287" customFormat="1" ht="12" hidden="1" customHeight="1">
      <c r="A13932" s="286"/>
    </row>
    <row r="13933" spans="1:1" s="287" customFormat="1" ht="12" hidden="1" customHeight="1">
      <c r="A13933" s="286"/>
    </row>
    <row r="13934" spans="1:1" s="287" customFormat="1" ht="12" hidden="1" customHeight="1">
      <c r="A13934" s="286"/>
    </row>
    <row r="13935" spans="1:1" s="287" customFormat="1" ht="12" hidden="1" customHeight="1">
      <c r="A13935" s="286"/>
    </row>
    <row r="13936" spans="1:1" s="287" customFormat="1" ht="12" hidden="1" customHeight="1">
      <c r="A13936" s="286"/>
    </row>
    <row r="13937" spans="1:1" s="287" customFormat="1" ht="12" hidden="1" customHeight="1">
      <c r="A13937" s="286"/>
    </row>
    <row r="13938" spans="1:1" s="287" customFormat="1" ht="12" hidden="1" customHeight="1">
      <c r="A13938" s="286"/>
    </row>
    <row r="13939" spans="1:1" s="287" customFormat="1" ht="12" hidden="1" customHeight="1">
      <c r="A13939" s="286"/>
    </row>
    <row r="13940" spans="1:1" s="287" customFormat="1" ht="12" hidden="1" customHeight="1">
      <c r="A13940" s="286"/>
    </row>
    <row r="13941" spans="1:1" s="287" customFormat="1" ht="12" hidden="1" customHeight="1">
      <c r="A13941" s="286"/>
    </row>
    <row r="13942" spans="1:1" s="287" customFormat="1" ht="12" hidden="1" customHeight="1">
      <c r="A13942" s="286"/>
    </row>
    <row r="13943" spans="1:1" s="287" customFormat="1" ht="12" hidden="1" customHeight="1">
      <c r="A13943" s="286"/>
    </row>
    <row r="13944" spans="1:1" s="287" customFormat="1" ht="12" hidden="1" customHeight="1">
      <c r="A13944" s="286"/>
    </row>
    <row r="13945" spans="1:1" s="287" customFormat="1" ht="12" hidden="1" customHeight="1">
      <c r="A13945" s="286"/>
    </row>
    <row r="13946" spans="1:1" s="287" customFormat="1" ht="12" hidden="1" customHeight="1">
      <c r="A13946" s="286"/>
    </row>
    <row r="13947" spans="1:1" s="287" customFormat="1" ht="12" hidden="1" customHeight="1">
      <c r="A13947" s="286"/>
    </row>
    <row r="13948" spans="1:1" s="287" customFormat="1" ht="12" hidden="1" customHeight="1">
      <c r="A13948" s="286"/>
    </row>
    <row r="13949" spans="1:1" s="287" customFormat="1" ht="12" hidden="1" customHeight="1">
      <c r="A13949" s="286"/>
    </row>
    <row r="13950" spans="1:1" s="287" customFormat="1" ht="12" hidden="1" customHeight="1">
      <c r="A13950" s="286"/>
    </row>
    <row r="13951" spans="1:1" s="287" customFormat="1" ht="12" hidden="1" customHeight="1">
      <c r="A13951" s="286"/>
    </row>
    <row r="13952" spans="1:1" s="287" customFormat="1" ht="12" hidden="1" customHeight="1">
      <c r="A13952" s="286"/>
    </row>
    <row r="13953" spans="1:1" s="287" customFormat="1" ht="12" hidden="1" customHeight="1">
      <c r="A13953" s="286"/>
    </row>
    <row r="13954" spans="1:1" s="287" customFormat="1" ht="12" hidden="1" customHeight="1">
      <c r="A13954" s="286"/>
    </row>
    <row r="13955" spans="1:1" s="287" customFormat="1" ht="12" hidden="1" customHeight="1">
      <c r="A13955" s="286"/>
    </row>
    <row r="13956" spans="1:1" s="287" customFormat="1" ht="12" hidden="1" customHeight="1">
      <c r="A13956" s="286"/>
    </row>
    <row r="13957" spans="1:1" s="287" customFormat="1" ht="12" hidden="1" customHeight="1">
      <c r="A13957" s="286"/>
    </row>
    <row r="13958" spans="1:1" s="287" customFormat="1" ht="12" hidden="1" customHeight="1">
      <c r="A13958" s="286"/>
    </row>
    <row r="13959" spans="1:1" s="287" customFormat="1" ht="12" hidden="1" customHeight="1">
      <c r="A13959" s="286"/>
    </row>
    <row r="13960" spans="1:1" s="287" customFormat="1" ht="12" hidden="1" customHeight="1">
      <c r="A13960" s="286"/>
    </row>
    <row r="13961" spans="1:1" s="287" customFormat="1" ht="12" hidden="1" customHeight="1">
      <c r="A13961" s="286"/>
    </row>
    <row r="13962" spans="1:1" s="287" customFormat="1" ht="12" hidden="1" customHeight="1">
      <c r="A13962" s="286"/>
    </row>
    <row r="13963" spans="1:1" s="287" customFormat="1" ht="12" hidden="1" customHeight="1">
      <c r="A13963" s="286"/>
    </row>
    <row r="13964" spans="1:1" s="287" customFormat="1" ht="12" hidden="1" customHeight="1">
      <c r="A13964" s="286"/>
    </row>
    <row r="13965" spans="1:1" s="287" customFormat="1" ht="12" hidden="1" customHeight="1">
      <c r="A13965" s="286"/>
    </row>
    <row r="13966" spans="1:1" s="287" customFormat="1" ht="12" hidden="1" customHeight="1">
      <c r="A13966" s="286"/>
    </row>
    <row r="13967" spans="1:1" s="287" customFormat="1" ht="12" hidden="1" customHeight="1">
      <c r="A13967" s="286"/>
    </row>
    <row r="13968" spans="1:1" s="287" customFormat="1" ht="12" hidden="1" customHeight="1">
      <c r="A13968" s="286"/>
    </row>
    <row r="13969" spans="1:1" s="287" customFormat="1" ht="12" hidden="1" customHeight="1">
      <c r="A13969" s="286"/>
    </row>
    <row r="13970" spans="1:1" s="287" customFormat="1" ht="12" hidden="1" customHeight="1">
      <c r="A13970" s="286"/>
    </row>
    <row r="13971" spans="1:1" s="287" customFormat="1" ht="12" hidden="1" customHeight="1">
      <c r="A13971" s="286"/>
    </row>
    <row r="13972" spans="1:1" s="287" customFormat="1" ht="12" hidden="1" customHeight="1">
      <c r="A13972" s="286"/>
    </row>
    <row r="13973" spans="1:1" s="287" customFormat="1" ht="12" hidden="1" customHeight="1">
      <c r="A13973" s="286"/>
    </row>
    <row r="13974" spans="1:1" s="287" customFormat="1" ht="12" hidden="1" customHeight="1">
      <c r="A13974" s="286"/>
    </row>
    <row r="13975" spans="1:1" s="287" customFormat="1" ht="12" hidden="1" customHeight="1">
      <c r="A13975" s="286"/>
    </row>
    <row r="13976" spans="1:1" s="287" customFormat="1" ht="12" hidden="1" customHeight="1">
      <c r="A13976" s="286"/>
    </row>
    <row r="13977" spans="1:1" s="287" customFormat="1" ht="12" hidden="1" customHeight="1">
      <c r="A13977" s="286"/>
    </row>
    <row r="13978" spans="1:1" s="287" customFormat="1" ht="12" hidden="1" customHeight="1">
      <c r="A13978" s="286"/>
    </row>
    <row r="13979" spans="1:1" s="287" customFormat="1" ht="12" hidden="1" customHeight="1">
      <c r="A13979" s="286"/>
    </row>
    <row r="13980" spans="1:1" s="287" customFormat="1" ht="12" hidden="1" customHeight="1">
      <c r="A13980" s="286"/>
    </row>
    <row r="13981" spans="1:1" s="287" customFormat="1" ht="12" hidden="1" customHeight="1">
      <c r="A13981" s="286"/>
    </row>
    <row r="13982" spans="1:1" s="287" customFormat="1" ht="12" hidden="1" customHeight="1">
      <c r="A13982" s="286"/>
    </row>
    <row r="13983" spans="1:1" s="287" customFormat="1" ht="12" hidden="1" customHeight="1">
      <c r="A13983" s="286"/>
    </row>
    <row r="13984" spans="1:1" s="287" customFormat="1" ht="12" hidden="1" customHeight="1">
      <c r="A13984" s="286"/>
    </row>
    <row r="13985" spans="1:1" s="287" customFormat="1" ht="12" hidden="1" customHeight="1">
      <c r="A13985" s="286"/>
    </row>
    <row r="13986" spans="1:1" s="287" customFormat="1" ht="12" hidden="1" customHeight="1">
      <c r="A13986" s="286"/>
    </row>
    <row r="13987" spans="1:1" s="287" customFormat="1" ht="12" hidden="1" customHeight="1">
      <c r="A13987" s="286"/>
    </row>
    <row r="13988" spans="1:1" s="287" customFormat="1" ht="12" hidden="1" customHeight="1">
      <c r="A13988" s="286"/>
    </row>
    <row r="13989" spans="1:1" s="287" customFormat="1" ht="12" hidden="1" customHeight="1">
      <c r="A13989" s="286"/>
    </row>
    <row r="13990" spans="1:1" s="287" customFormat="1" ht="12" hidden="1" customHeight="1">
      <c r="A13990" s="286"/>
    </row>
    <row r="13991" spans="1:1" s="287" customFormat="1" ht="12" hidden="1" customHeight="1">
      <c r="A13991" s="286"/>
    </row>
    <row r="13992" spans="1:1" s="287" customFormat="1" ht="12" hidden="1" customHeight="1">
      <c r="A13992" s="286"/>
    </row>
    <row r="13993" spans="1:1" s="287" customFormat="1" ht="12" hidden="1" customHeight="1">
      <c r="A13993" s="286"/>
    </row>
    <row r="13994" spans="1:1" s="287" customFormat="1" ht="12" hidden="1" customHeight="1">
      <c r="A13994" s="286"/>
    </row>
    <row r="13995" spans="1:1" s="287" customFormat="1" ht="12" hidden="1" customHeight="1">
      <c r="A13995" s="286"/>
    </row>
    <row r="13996" spans="1:1" s="287" customFormat="1" ht="12" hidden="1" customHeight="1">
      <c r="A13996" s="286"/>
    </row>
    <row r="13997" spans="1:1" s="287" customFormat="1" ht="12" hidden="1" customHeight="1">
      <c r="A13997" s="286"/>
    </row>
    <row r="13998" spans="1:1" s="287" customFormat="1" ht="12" hidden="1" customHeight="1">
      <c r="A13998" s="286"/>
    </row>
    <row r="13999" spans="1:1" s="287" customFormat="1" ht="12" hidden="1" customHeight="1">
      <c r="A13999" s="286"/>
    </row>
    <row r="14000" spans="1:1" s="287" customFormat="1" ht="12" hidden="1" customHeight="1">
      <c r="A14000" s="286"/>
    </row>
    <row r="14001" spans="1:1" s="287" customFormat="1" ht="12" hidden="1" customHeight="1">
      <c r="A14001" s="286"/>
    </row>
    <row r="14002" spans="1:1" s="287" customFormat="1" ht="12" hidden="1" customHeight="1">
      <c r="A14002" s="286"/>
    </row>
    <row r="14003" spans="1:1" s="287" customFormat="1" ht="12" hidden="1" customHeight="1">
      <c r="A14003" s="286"/>
    </row>
    <row r="14004" spans="1:1" s="287" customFormat="1" ht="12" hidden="1" customHeight="1">
      <c r="A14004" s="286"/>
    </row>
    <row r="14005" spans="1:1" s="287" customFormat="1" ht="12" hidden="1" customHeight="1">
      <c r="A14005" s="286"/>
    </row>
    <row r="14006" spans="1:1" s="287" customFormat="1" ht="12" hidden="1" customHeight="1">
      <c r="A14006" s="286"/>
    </row>
    <row r="14007" spans="1:1" s="287" customFormat="1" ht="12" hidden="1" customHeight="1">
      <c r="A14007" s="286"/>
    </row>
    <row r="14008" spans="1:1" s="287" customFormat="1" ht="12" hidden="1" customHeight="1">
      <c r="A14008" s="286"/>
    </row>
    <row r="14009" spans="1:1" s="287" customFormat="1" ht="12" hidden="1" customHeight="1">
      <c r="A14009" s="286"/>
    </row>
    <row r="14010" spans="1:1" s="287" customFormat="1" ht="12" hidden="1" customHeight="1">
      <c r="A14010" s="286"/>
    </row>
    <row r="14011" spans="1:1" s="287" customFormat="1" ht="12" hidden="1" customHeight="1">
      <c r="A14011" s="286"/>
    </row>
    <row r="14012" spans="1:1" s="287" customFormat="1" ht="12" hidden="1" customHeight="1">
      <c r="A14012" s="286"/>
    </row>
    <row r="14013" spans="1:1" s="287" customFormat="1" ht="12" hidden="1" customHeight="1">
      <c r="A14013" s="286"/>
    </row>
    <row r="14014" spans="1:1" s="287" customFormat="1" ht="12" hidden="1" customHeight="1">
      <c r="A14014" s="286"/>
    </row>
    <row r="14015" spans="1:1" s="287" customFormat="1" ht="12" hidden="1" customHeight="1">
      <c r="A14015" s="286"/>
    </row>
    <row r="14016" spans="1:1" s="287" customFormat="1" ht="12" hidden="1" customHeight="1">
      <c r="A14016" s="286"/>
    </row>
    <row r="14017" spans="1:1" s="287" customFormat="1" ht="12" hidden="1" customHeight="1">
      <c r="A14017" s="286"/>
    </row>
    <row r="14018" spans="1:1" s="287" customFormat="1" ht="12" hidden="1" customHeight="1">
      <c r="A14018" s="286"/>
    </row>
    <row r="14019" spans="1:1" s="287" customFormat="1" ht="12" hidden="1" customHeight="1">
      <c r="A14019" s="286"/>
    </row>
    <row r="14020" spans="1:1" s="287" customFormat="1" ht="12" hidden="1" customHeight="1">
      <c r="A14020" s="286"/>
    </row>
    <row r="14021" spans="1:1" s="287" customFormat="1" ht="12" hidden="1" customHeight="1">
      <c r="A14021" s="286"/>
    </row>
    <row r="14022" spans="1:1" s="287" customFormat="1" ht="12" hidden="1" customHeight="1">
      <c r="A14022" s="286"/>
    </row>
    <row r="14023" spans="1:1" s="287" customFormat="1" ht="12" hidden="1" customHeight="1">
      <c r="A14023" s="286"/>
    </row>
    <row r="14024" spans="1:1" s="287" customFormat="1" ht="12" hidden="1" customHeight="1">
      <c r="A14024" s="286"/>
    </row>
    <row r="14025" spans="1:1" s="287" customFormat="1" ht="12" hidden="1" customHeight="1">
      <c r="A14025" s="286"/>
    </row>
    <row r="14026" spans="1:1" s="287" customFormat="1" ht="12" hidden="1" customHeight="1">
      <c r="A14026" s="286"/>
    </row>
    <row r="14027" spans="1:1" s="287" customFormat="1" ht="12" hidden="1" customHeight="1">
      <c r="A14027" s="286"/>
    </row>
    <row r="14028" spans="1:1" s="287" customFormat="1" ht="12" hidden="1" customHeight="1">
      <c r="A14028" s="286"/>
    </row>
    <row r="14029" spans="1:1" s="287" customFormat="1" ht="12" hidden="1" customHeight="1">
      <c r="A14029" s="286"/>
    </row>
    <row r="14030" spans="1:1" s="287" customFormat="1" ht="12" hidden="1" customHeight="1">
      <c r="A14030" s="286"/>
    </row>
    <row r="14031" spans="1:1" s="287" customFormat="1" ht="12" hidden="1" customHeight="1">
      <c r="A14031" s="286"/>
    </row>
    <row r="14032" spans="1:1" s="287" customFormat="1" ht="12" hidden="1" customHeight="1">
      <c r="A14032" s="286"/>
    </row>
    <row r="14033" spans="1:1" s="287" customFormat="1" ht="12" hidden="1" customHeight="1">
      <c r="A14033" s="286"/>
    </row>
    <row r="14034" spans="1:1" s="287" customFormat="1" ht="12" hidden="1" customHeight="1">
      <c r="A14034" s="286"/>
    </row>
    <row r="14035" spans="1:1" s="287" customFormat="1" ht="12" hidden="1" customHeight="1">
      <c r="A14035" s="286"/>
    </row>
    <row r="14036" spans="1:1" s="287" customFormat="1" ht="12" hidden="1" customHeight="1">
      <c r="A14036" s="286"/>
    </row>
    <row r="14037" spans="1:1" s="287" customFormat="1" ht="12" hidden="1" customHeight="1">
      <c r="A14037" s="286"/>
    </row>
    <row r="14038" spans="1:1" s="287" customFormat="1" ht="12" hidden="1" customHeight="1">
      <c r="A14038" s="286"/>
    </row>
    <row r="14039" spans="1:1" s="287" customFormat="1" ht="12" hidden="1" customHeight="1">
      <c r="A14039" s="286"/>
    </row>
    <row r="14040" spans="1:1" s="287" customFormat="1" ht="12" hidden="1" customHeight="1">
      <c r="A14040" s="286"/>
    </row>
    <row r="14041" spans="1:1" s="287" customFormat="1" ht="12" hidden="1" customHeight="1">
      <c r="A14041" s="286"/>
    </row>
    <row r="14042" spans="1:1" s="287" customFormat="1" ht="12" hidden="1" customHeight="1">
      <c r="A14042" s="286"/>
    </row>
    <row r="14043" spans="1:1" s="287" customFormat="1" ht="12" hidden="1" customHeight="1">
      <c r="A14043" s="286"/>
    </row>
    <row r="14044" spans="1:1" s="287" customFormat="1" ht="12" hidden="1" customHeight="1">
      <c r="A14044" s="286"/>
    </row>
    <row r="14045" spans="1:1" s="287" customFormat="1" ht="12" hidden="1" customHeight="1">
      <c r="A14045" s="286"/>
    </row>
    <row r="14046" spans="1:1" s="287" customFormat="1" ht="12" hidden="1" customHeight="1">
      <c r="A14046" s="286"/>
    </row>
    <row r="14047" spans="1:1" s="287" customFormat="1" ht="12" hidden="1" customHeight="1">
      <c r="A14047" s="286"/>
    </row>
    <row r="14048" spans="1:1" s="287" customFormat="1" ht="12" hidden="1" customHeight="1">
      <c r="A14048" s="286"/>
    </row>
    <row r="14049" spans="1:1" s="287" customFormat="1" ht="12" hidden="1" customHeight="1">
      <c r="A14049" s="286"/>
    </row>
    <row r="14050" spans="1:1" s="287" customFormat="1" ht="12" hidden="1" customHeight="1">
      <c r="A14050" s="286"/>
    </row>
    <row r="14051" spans="1:1" s="287" customFormat="1" ht="12" hidden="1" customHeight="1">
      <c r="A14051" s="286"/>
    </row>
    <row r="14052" spans="1:1" s="287" customFormat="1" ht="12" hidden="1" customHeight="1">
      <c r="A14052" s="286"/>
    </row>
    <row r="14053" spans="1:1" s="287" customFormat="1" ht="12" hidden="1" customHeight="1">
      <c r="A14053" s="286"/>
    </row>
    <row r="14054" spans="1:1" s="287" customFormat="1" ht="12" hidden="1" customHeight="1">
      <c r="A14054" s="286"/>
    </row>
    <row r="14055" spans="1:1" s="287" customFormat="1" ht="12" hidden="1" customHeight="1">
      <c r="A14055" s="286"/>
    </row>
    <row r="14056" spans="1:1" s="287" customFormat="1" ht="12" hidden="1" customHeight="1">
      <c r="A14056" s="286"/>
    </row>
    <row r="14057" spans="1:1" s="287" customFormat="1" ht="12" hidden="1" customHeight="1">
      <c r="A14057" s="286"/>
    </row>
    <row r="14058" spans="1:1" s="287" customFormat="1" ht="12" hidden="1" customHeight="1">
      <c r="A14058" s="286"/>
    </row>
    <row r="14059" spans="1:1" s="287" customFormat="1" ht="12" hidden="1" customHeight="1">
      <c r="A14059" s="286"/>
    </row>
    <row r="14060" spans="1:1" s="287" customFormat="1" ht="12" hidden="1" customHeight="1">
      <c r="A14060" s="286"/>
    </row>
    <row r="14061" spans="1:1" s="287" customFormat="1" ht="12" hidden="1" customHeight="1">
      <c r="A14061" s="286"/>
    </row>
    <row r="14062" spans="1:1" s="287" customFormat="1" ht="12" hidden="1" customHeight="1">
      <c r="A14062" s="286"/>
    </row>
    <row r="14063" spans="1:1" s="287" customFormat="1" ht="12" hidden="1" customHeight="1">
      <c r="A14063" s="286"/>
    </row>
    <row r="14064" spans="1:1" s="287" customFormat="1" ht="12" hidden="1" customHeight="1">
      <c r="A14064" s="286"/>
    </row>
    <row r="14065" spans="1:1" s="287" customFormat="1" ht="12" hidden="1" customHeight="1">
      <c r="A14065" s="286"/>
    </row>
    <row r="14066" spans="1:1" s="287" customFormat="1" ht="12" hidden="1" customHeight="1">
      <c r="A14066" s="286"/>
    </row>
    <row r="14067" spans="1:1" s="287" customFormat="1" ht="12" hidden="1" customHeight="1">
      <c r="A14067" s="286"/>
    </row>
    <row r="14068" spans="1:1" s="287" customFormat="1" ht="12" hidden="1" customHeight="1">
      <c r="A14068" s="286"/>
    </row>
    <row r="14069" spans="1:1" s="287" customFormat="1" ht="12" hidden="1" customHeight="1">
      <c r="A14069" s="286"/>
    </row>
    <row r="14070" spans="1:1" s="287" customFormat="1" ht="12" hidden="1" customHeight="1">
      <c r="A14070" s="286"/>
    </row>
    <row r="14071" spans="1:1" s="287" customFormat="1" ht="12" hidden="1" customHeight="1">
      <c r="A14071" s="286"/>
    </row>
    <row r="14072" spans="1:1" s="287" customFormat="1" ht="12" hidden="1" customHeight="1">
      <c r="A14072" s="286"/>
    </row>
    <row r="14073" spans="1:1" s="287" customFormat="1" ht="12" hidden="1" customHeight="1">
      <c r="A14073" s="286"/>
    </row>
    <row r="14074" spans="1:1" s="287" customFormat="1" ht="12" hidden="1" customHeight="1">
      <c r="A14074" s="286"/>
    </row>
    <row r="14075" spans="1:1" s="287" customFormat="1" ht="12" hidden="1" customHeight="1">
      <c r="A14075" s="286"/>
    </row>
    <row r="14076" spans="1:1" s="287" customFormat="1" ht="12" hidden="1" customHeight="1">
      <c r="A14076" s="286"/>
    </row>
    <row r="14077" spans="1:1" s="287" customFormat="1" ht="12" hidden="1" customHeight="1">
      <c r="A14077" s="286"/>
    </row>
    <row r="14078" spans="1:1" s="287" customFormat="1" ht="12" hidden="1" customHeight="1">
      <c r="A14078" s="286"/>
    </row>
    <row r="14079" spans="1:1" s="287" customFormat="1" ht="12" hidden="1" customHeight="1">
      <c r="A14079" s="286"/>
    </row>
    <row r="14080" spans="1:1" s="287" customFormat="1" ht="12" hidden="1" customHeight="1">
      <c r="A14080" s="286"/>
    </row>
    <row r="14081" spans="1:1" s="287" customFormat="1" ht="12" hidden="1" customHeight="1">
      <c r="A14081" s="286"/>
    </row>
    <row r="14082" spans="1:1" s="287" customFormat="1" ht="12" hidden="1" customHeight="1">
      <c r="A14082" s="286"/>
    </row>
    <row r="14083" spans="1:1" s="287" customFormat="1" ht="12" hidden="1" customHeight="1">
      <c r="A14083" s="286"/>
    </row>
    <row r="14084" spans="1:1" s="287" customFormat="1" ht="12" hidden="1" customHeight="1">
      <c r="A14084" s="286"/>
    </row>
    <row r="14085" spans="1:1" s="287" customFormat="1" ht="12" hidden="1" customHeight="1">
      <c r="A14085" s="286"/>
    </row>
    <row r="14086" spans="1:1" s="287" customFormat="1" ht="12" hidden="1" customHeight="1">
      <c r="A14086" s="286"/>
    </row>
    <row r="14087" spans="1:1" s="287" customFormat="1" ht="12" hidden="1" customHeight="1">
      <c r="A14087" s="286"/>
    </row>
    <row r="14088" spans="1:1" s="287" customFormat="1" ht="12" hidden="1" customHeight="1">
      <c r="A14088" s="286"/>
    </row>
    <row r="14089" spans="1:1" s="287" customFormat="1" ht="12" hidden="1" customHeight="1">
      <c r="A14089" s="286"/>
    </row>
    <row r="14090" spans="1:1" s="287" customFormat="1" ht="12" hidden="1" customHeight="1">
      <c r="A14090" s="286"/>
    </row>
    <row r="14091" spans="1:1" s="287" customFormat="1" ht="12" hidden="1" customHeight="1">
      <c r="A14091" s="286"/>
    </row>
    <row r="14092" spans="1:1" s="287" customFormat="1" ht="12" hidden="1" customHeight="1">
      <c r="A14092" s="286"/>
    </row>
    <row r="14093" spans="1:1" s="287" customFormat="1" ht="12" hidden="1" customHeight="1">
      <c r="A14093" s="286"/>
    </row>
    <row r="14094" spans="1:1" s="287" customFormat="1" ht="12" hidden="1" customHeight="1">
      <c r="A14094" s="286"/>
    </row>
    <row r="14095" spans="1:1" s="287" customFormat="1" ht="12" hidden="1" customHeight="1">
      <c r="A14095" s="286"/>
    </row>
    <row r="14096" spans="1:1" s="287" customFormat="1" ht="12" hidden="1" customHeight="1">
      <c r="A14096" s="286"/>
    </row>
    <row r="14097" spans="1:1" s="287" customFormat="1" ht="12" hidden="1" customHeight="1">
      <c r="A14097" s="286"/>
    </row>
    <row r="14098" spans="1:1" s="287" customFormat="1" ht="12" hidden="1" customHeight="1">
      <c r="A14098" s="286"/>
    </row>
    <row r="14099" spans="1:1" s="287" customFormat="1" ht="12" hidden="1" customHeight="1">
      <c r="A14099" s="286"/>
    </row>
    <row r="14100" spans="1:1" s="287" customFormat="1" ht="12" hidden="1" customHeight="1">
      <c r="A14100" s="286"/>
    </row>
    <row r="14101" spans="1:1" s="287" customFormat="1" ht="12" hidden="1" customHeight="1">
      <c r="A14101" s="286"/>
    </row>
    <row r="14102" spans="1:1" s="287" customFormat="1" ht="12" hidden="1" customHeight="1">
      <c r="A14102" s="286"/>
    </row>
    <row r="14103" spans="1:1" s="287" customFormat="1" ht="12" hidden="1" customHeight="1">
      <c r="A14103" s="286"/>
    </row>
    <row r="14104" spans="1:1" s="287" customFormat="1" ht="12" hidden="1" customHeight="1">
      <c r="A14104" s="286"/>
    </row>
    <row r="14105" spans="1:1" s="287" customFormat="1" ht="12" hidden="1" customHeight="1">
      <c r="A14105" s="286"/>
    </row>
    <row r="14106" spans="1:1" s="287" customFormat="1" ht="12" hidden="1" customHeight="1">
      <c r="A14106" s="286"/>
    </row>
    <row r="14107" spans="1:1" s="287" customFormat="1" ht="12" hidden="1" customHeight="1">
      <c r="A14107" s="286"/>
    </row>
    <row r="14108" spans="1:1" s="287" customFormat="1" ht="12" hidden="1" customHeight="1">
      <c r="A14108" s="286"/>
    </row>
    <row r="14109" spans="1:1" s="287" customFormat="1" ht="12" hidden="1" customHeight="1">
      <c r="A14109" s="286"/>
    </row>
    <row r="14110" spans="1:1" s="287" customFormat="1" ht="12" hidden="1" customHeight="1">
      <c r="A14110" s="286"/>
    </row>
    <row r="14111" spans="1:1" s="287" customFormat="1" ht="12" hidden="1" customHeight="1">
      <c r="A14111" s="286"/>
    </row>
    <row r="14112" spans="1:1" s="287" customFormat="1" ht="12" hidden="1" customHeight="1">
      <c r="A14112" s="286"/>
    </row>
    <row r="14113" spans="1:1" s="287" customFormat="1" ht="12" hidden="1" customHeight="1">
      <c r="A14113" s="286"/>
    </row>
    <row r="14114" spans="1:1" s="287" customFormat="1" ht="12" hidden="1" customHeight="1">
      <c r="A14114" s="286"/>
    </row>
    <row r="14115" spans="1:1" s="287" customFormat="1" ht="12" hidden="1" customHeight="1">
      <c r="A14115" s="286"/>
    </row>
    <row r="14116" spans="1:1" s="287" customFormat="1" ht="12" hidden="1" customHeight="1">
      <c r="A14116" s="286"/>
    </row>
    <row r="14117" spans="1:1" s="287" customFormat="1" ht="12" hidden="1" customHeight="1">
      <c r="A14117" s="286"/>
    </row>
    <row r="14118" spans="1:1" s="287" customFormat="1" ht="12" hidden="1" customHeight="1">
      <c r="A14118" s="286"/>
    </row>
    <row r="14119" spans="1:1" s="287" customFormat="1" ht="12" hidden="1" customHeight="1">
      <c r="A14119" s="286"/>
    </row>
    <row r="14120" spans="1:1" s="287" customFormat="1" ht="12" hidden="1" customHeight="1">
      <c r="A14120" s="286"/>
    </row>
    <row r="14121" spans="1:1" s="287" customFormat="1" ht="12" hidden="1" customHeight="1">
      <c r="A14121" s="286"/>
    </row>
    <row r="14122" spans="1:1" s="287" customFormat="1" ht="12" hidden="1" customHeight="1">
      <c r="A14122" s="286"/>
    </row>
    <row r="14123" spans="1:1" s="287" customFormat="1" ht="12" hidden="1" customHeight="1">
      <c r="A14123" s="286"/>
    </row>
    <row r="14124" spans="1:1" s="287" customFormat="1" ht="12" hidden="1" customHeight="1">
      <c r="A14124" s="286"/>
    </row>
    <row r="14125" spans="1:1" s="287" customFormat="1" ht="12" hidden="1" customHeight="1">
      <c r="A14125" s="286"/>
    </row>
    <row r="14126" spans="1:1" s="287" customFormat="1" ht="12" hidden="1" customHeight="1">
      <c r="A14126" s="286"/>
    </row>
    <row r="14127" spans="1:1" s="287" customFormat="1" ht="12" hidden="1" customHeight="1">
      <c r="A14127" s="286"/>
    </row>
    <row r="14128" spans="1:1" s="287" customFormat="1" ht="12" hidden="1" customHeight="1">
      <c r="A14128" s="286"/>
    </row>
    <row r="14129" spans="1:1" s="287" customFormat="1" ht="12" hidden="1" customHeight="1">
      <c r="A14129" s="286"/>
    </row>
    <row r="14130" spans="1:1" s="287" customFormat="1" ht="12" hidden="1" customHeight="1">
      <c r="A14130" s="286"/>
    </row>
    <row r="14131" spans="1:1" s="287" customFormat="1" ht="12" hidden="1" customHeight="1">
      <c r="A14131" s="286"/>
    </row>
    <row r="14132" spans="1:1" s="287" customFormat="1" ht="12" hidden="1" customHeight="1">
      <c r="A14132" s="286"/>
    </row>
    <row r="14133" spans="1:1" s="287" customFormat="1" ht="12" hidden="1" customHeight="1">
      <c r="A14133" s="286"/>
    </row>
    <row r="14134" spans="1:1" s="287" customFormat="1" ht="12" hidden="1" customHeight="1">
      <c r="A14134" s="286"/>
    </row>
    <row r="14135" spans="1:1" s="287" customFormat="1" ht="12" hidden="1" customHeight="1">
      <c r="A14135" s="286"/>
    </row>
    <row r="14136" spans="1:1" s="287" customFormat="1" ht="12" hidden="1" customHeight="1">
      <c r="A14136" s="286"/>
    </row>
    <row r="14137" spans="1:1" s="287" customFormat="1" ht="12" hidden="1" customHeight="1">
      <c r="A14137" s="286"/>
    </row>
    <row r="14138" spans="1:1" s="287" customFormat="1" ht="12" hidden="1" customHeight="1">
      <c r="A14138" s="286"/>
    </row>
    <row r="14139" spans="1:1" s="287" customFormat="1" ht="12" hidden="1" customHeight="1">
      <c r="A14139" s="286"/>
    </row>
    <row r="14140" spans="1:1" s="287" customFormat="1" ht="12" hidden="1" customHeight="1">
      <c r="A14140" s="286"/>
    </row>
    <row r="14141" spans="1:1" s="287" customFormat="1" ht="12" hidden="1" customHeight="1">
      <c r="A14141" s="286"/>
    </row>
    <row r="14142" spans="1:1" s="287" customFormat="1" ht="12" hidden="1" customHeight="1">
      <c r="A14142" s="286"/>
    </row>
    <row r="14143" spans="1:1" s="287" customFormat="1" ht="12" hidden="1" customHeight="1">
      <c r="A14143" s="286"/>
    </row>
    <row r="14144" spans="1:1" s="287" customFormat="1" ht="12" hidden="1" customHeight="1">
      <c r="A14144" s="286"/>
    </row>
    <row r="14145" spans="1:1" s="287" customFormat="1" ht="12" hidden="1" customHeight="1">
      <c r="A14145" s="286"/>
    </row>
    <row r="14146" spans="1:1" s="287" customFormat="1" ht="12" hidden="1" customHeight="1">
      <c r="A14146" s="286"/>
    </row>
    <row r="14147" spans="1:1" s="287" customFormat="1" ht="12" hidden="1" customHeight="1">
      <c r="A14147" s="286"/>
    </row>
    <row r="14148" spans="1:1" s="287" customFormat="1" ht="12" hidden="1" customHeight="1">
      <c r="A14148" s="286"/>
    </row>
    <row r="14149" spans="1:1" s="287" customFormat="1" ht="12" hidden="1" customHeight="1">
      <c r="A14149" s="286"/>
    </row>
    <row r="14150" spans="1:1" s="287" customFormat="1" ht="12" hidden="1" customHeight="1">
      <c r="A14150" s="286"/>
    </row>
    <row r="14151" spans="1:1" s="287" customFormat="1" ht="12" hidden="1" customHeight="1">
      <c r="A14151" s="286"/>
    </row>
    <row r="14152" spans="1:1" s="287" customFormat="1" ht="12" hidden="1" customHeight="1">
      <c r="A14152" s="286"/>
    </row>
    <row r="14153" spans="1:1" s="287" customFormat="1" ht="12" hidden="1" customHeight="1">
      <c r="A14153" s="286"/>
    </row>
    <row r="14154" spans="1:1" s="287" customFormat="1" ht="12" hidden="1" customHeight="1">
      <c r="A14154" s="286"/>
    </row>
    <row r="14155" spans="1:1" s="287" customFormat="1" ht="12" hidden="1" customHeight="1">
      <c r="A14155" s="286"/>
    </row>
    <row r="14156" spans="1:1" s="287" customFormat="1" ht="12" hidden="1" customHeight="1">
      <c r="A14156" s="286"/>
    </row>
    <row r="14157" spans="1:1" s="287" customFormat="1" ht="12" hidden="1" customHeight="1">
      <c r="A14157" s="286"/>
    </row>
    <row r="14158" spans="1:1" s="287" customFormat="1" ht="12" hidden="1" customHeight="1">
      <c r="A14158" s="286"/>
    </row>
    <row r="14159" spans="1:1" s="287" customFormat="1" ht="12" hidden="1" customHeight="1">
      <c r="A14159" s="286"/>
    </row>
    <row r="14160" spans="1:1" s="287" customFormat="1" ht="12" hidden="1" customHeight="1">
      <c r="A14160" s="286"/>
    </row>
    <row r="14161" spans="1:1" s="287" customFormat="1" ht="12" hidden="1" customHeight="1">
      <c r="A14161" s="286"/>
    </row>
    <row r="14162" spans="1:1" s="287" customFormat="1" ht="12" hidden="1" customHeight="1">
      <c r="A14162" s="286"/>
    </row>
    <row r="14163" spans="1:1" s="287" customFormat="1" ht="12" hidden="1" customHeight="1">
      <c r="A14163" s="286"/>
    </row>
    <row r="14164" spans="1:1" s="287" customFormat="1" ht="12" hidden="1" customHeight="1">
      <c r="A14164" s="286"/>
    </row>
    <row r="14165" spans="1:1" s="287" customFormat="1" ht="12" hidden="1" customHeight="1">
      <c r="A14165" s="286"/>
    </row>
    <row r="14166" spans="1:1" s="287" customFormat="1" ht="12" hidden="1" customHeight="1">
      <c r="A14166" s="286"/>
    </row>
    <row r="14167" spans="1:1" s="287" customFormat="1" ht="12" hidden="1" customHeight="1">
      <c r="A14167" s="286"/>
    </row>
    <row r="14168" spans="1:1" s="287" customFormat="1" ht="12" hidden="1" customHeight="1">
      <c r="A14168" s="286"/>
    </row>
    <row r="14169" spans="1:1" s="287" customFormat="1" ht="12" hidden="1" customHeight="1">
      <c r="A14169" s="286"/>
    </row>
    <row r="14170" spans="1:1" s="287" customFormat="1" ht="12" hidden="1" customHeight="1">
      <c r="A14170" s="286"/>
    </row>
    <row r="14171" spans="1:1" s="287" customFormat="1" ht="12" hidden="1" customHeight="1">
      <c r="A14171" s="286"/>
    </row>
    <row r="14172" spans="1:1" s="287" customFormat="1" ht="12" hidden="1" customHeight="1">
      <c r="A14172" s="286"/>
    </row>
    <row r="14173" spans="1:1" s="287" customFormat="1" ht="12" hidden="1" customHeight="1">
      <c r="A14173" s="286"/>
    </row>
    <row r="14174" spans="1:1" s="287" customFormat="1" ht="12" hidden="1" customHeight="1">
      <c r="A14174" s="286"/>
    </row>
    <row r="14175" spans="1:1" s="287" customFormat="1" ht="12" hidden="1" customHeight="1">
      <c r="A14175" s="286"/>
    </row>
    <row r="14176" spans="1:1" s="287" customFormat="1" ht="12" hidden="1" customHeight="1">
      <c r="A14176" s="286"/>
    </row>
    <row r="14177" spans="1:1" s="287" customFormat="1" ht="12" hidden="1" customHeight="1">
      <c r="A14177" s="286"/>
    </row>
    <row r="14178" spans="1:1" s="287" customFormat="1" ht="12" hidden="1" customHeight="1">
      <c r="A14178" s="286"/>
    </row>
    <row r="14179" spans="1:1" s="287" customFormat="1" ht="12" hidden="1" customHeight="1">
      <c r="A14179" s="286"/>
    </row>
    <row r="14180" spans="1:1" s="287" customFormat="1" ht="12" hidden="1" customHeight="1">
      <c r="A14180" s="286"/>
    </row>
    <row r="14181" spans="1:1" s="287" customFormat="1" ht="12" hidden="1" customHeight="1">
      <c r="A14181" s="286"/>
    </row>
    <row r="14182" spans="1:1" s="287" customFormat="1" ht="12" hidden="1" customHeight="1">
      <c r="A14182" s="286"/>
    </row>
    <row r="14183" spans="1:1" s="287" customFormat="1" ht="12" hidden="1" customHeight="1">
      <c r="A14183" s="286"/>
    </row>
    <row r="14184" spans="1:1" s="287" customFormat="1" ht="12" hidden="1" customHeight="1">
      <c r="A14184" s="286"/>
    </row>
    <row r="14185" spans="1:1" s="287" customFormat="1" ht="12" hidden="1" customHeight="1">
      <c r="A14185" s="286"/>
    </row>
    <row r="14186" spans="1:1" s="287" customFormat="1" ht="12" hidden="1" customHeight="1">
      <c r="A14186" s="286"/>
    </row>
    <row r="14187" spans="1:1" s="287" customFormat="1" ht="12" hidden="1" customHeight="1">
      <c r="A14187" s="286"/>
    </row>
    <row r="14188" spans="1:1" s="287" customFormat="1" ht="12" hidden="1" customHeight="1">
      <c r="A14188" s="286"/>
    </row>
    <row r="14189" spans="1:1" s="287" customFormat="1" ht="12" hidden="1" customHeight="1">
      <c r="A14189" s="286"/>
    </row>
    <row r="14190" spans="1:1" s="287" customFormat="1" ht="12" hidden="1" customHeight="1">
      <c r="A14190" s="286"/>
    </row>
    <row r="14191" spans="1:1" s="287" customFormat="1" ht="12" hidden="1" customHeight="1">
      <c r="A14191" s="286"/>
    </row>
    <row r="14192" spans="1:1" s="287" customFormat="1" ht="12" hidden="1" customHeight="1">
      <c r="A14192" s="286"/>
    </row>
    <row r="14193" spans="1:1" s="287" customFormat="1" ht="12" hidden="1" customHeight="1">
      <c r="A14193" s="286"/>
    </row>
    <row r="14194" spans="1:1" s="287" customFormat="1" ht="12" hidden="1" customHeight="1">
      <c r="A14194" s="286"/>
    </row>
    <row r="14195" spans="1:1" s="287" customFormat="1" ht="12" hidden="1" customHeight="1">
      <c r="A14195" s="286"/>
    </row>
    <row r="14196" spans="1:1" s="287" customFormat="1" ht="12" hidden="1" customHeight="1">
      <c r="A14196" s="286"/>
    </row>
    <row r="14197" spans="1:1" s="287" customFormat="1" ht="12" hidden="1" customHeight="1">
      <c r="A14197" s="286"/>
    </row>
    <row r="14198" spans="1:1" s="287" customFormat="1" ht="12" hidden="1" customHeight="1">
      <c r="A14198" s="286"/>
    </row>
    <row r="14199" spans="1:1" s="287" customFormat="1" ht="12" hidden="1" customHeight="1">
      <c r="A14199" s="286"/>
    </row>
    <row r="14200" spans="1:1" s="287" customFormat="1" ht="12" hidden="1" customHeight="1">
      <c r="A14200" s="286"/>
    </row>
    <row r="14201" spans="1:1" s="287" customFormat="1" ht="12" hidden="1" customHeight="1">
      <c r="A14201" s="286"/>
    </row>
    <row r="14202" spans="1:1" s="287" customFormat="1" ht="12" hidden="1" customHeight="1">
      <c r="A14202" s="286"/>
    </row>
    <row r="14203" spans="1:1" s="287" customFormat="1" ht="12" hidden="1" customHeight="1">
      <c r="A14203" s="286"/>
    </row>
    <row r="14204" spans="1:1" s="287" customFormat="1" ht="12" hidden="1" customHeight="1">
      <c r="A14204" s="286"/>
    </row>
    <row r="14205" spans="1:1" s="287" customFormat="1" ht="12" hidden="1" customHeight="1">
      <c r="A14205" s="286"/>
    </row>
    <row r="14206" spans="1:1" s="287" customFormat="1" ht="12" hidden="1" customHeight="1">
      <c r="A14206" s="286"/>
    </row>
    <row r="14207" spans="1:1" s="287" customFormat="1" ht="12" hidden="1" customHeight="1">
      <c r="A14207" s="286"/>
    </row>
    <row r="14208" spans="1:1" s="287" customFormat="1" ht="12" hidden="1" customHeight="1">
      <c r="A14208" s="286"/>
    </row>
    <row r="14209" spans="1:1" s="287" customFormat="1" ht="12" hidden="1" customHeight="1">
      <c r="A14209" s="286"/>
    </row>
    <row r="14210" spans="1:1" s="287" customFormat="1" ht="12" hidden="1" customHeight="1">
      <c r="A14210" s="286"/>
    </row>
    <row r="14211" spans="1:1" s="287" customFormat="1" ht="12" hidden="1" customHeight="1">
      <c r="A14211" s="286"/>
    </row>
    <row r="14212" spans="1:1" s="287" customFormat="1" ht="12" hidden="1" customHeight="1">
      <c r="A14212" s="286"/>
    </row>
    <row r="14213" spans="1:1" s="287" customFormat="1" ht="12" hidden="1" customHeight="1">
      <c r="A14213" s="286"/>
    </row>
    <row r="14214" spans="1:1" s="287" customFormat="1" ht="12" hidden="1" customHeight="1">
      <c r="A14214" s="286"/>
    </row>
    <row r="14215" spans="1:1" s="287" customFormat="1" ht="12" hidden="1" customHeight="1">
      <c r="A14215" s="286"/>
    </row>
    <row r="14216" spans="1:1" s="287" customFormat="1" ht="12" hidden="1" customHeight="1">
      <c r="A14216" s="286"/>
    </row>
    <row r="14217" spans="1:1" s="287" customFormat="1" ht="12" hidden="1" customHeight="1">
      <c r="A14217" s="286"/>
    </row>
    <row r="14218" spans="1:1" s="287" customFormat="1" ht="12" hidden="1" customHeight="1">
      <c r="A14218" s="286"/>
    </row>
    <row r="14219" spans="1:1" s="287" customFormat="1" ht="12" hidden="1" customHeight="1">
      <c r="A14219" s="286"/>
    </row>
    <row r="14220" spans="1:1" s="287" customFormat="1" ht="12" hidden="1" customHeight="1">
      <c r="A14220" s="286"/>
    </row>
    <row r="14221" spans="1:1" s="287" customFormat="1" ht="12" hidden="1" customHeight="1">
      <c r="A14221" s="286"/>
    </row>
    <row r="14222" spans="1:1" s="287" customFormat="1" ht="12" hidden="1" customHeight="1">
      <c r="A14222" s="286"/>
    </row>
    <row r="14223" spans="1:1" s="287" customFormat="1" ht="12" hidden="1" customHeight="1">
      <c r="A14223" s="286"/>
    </row>
    <row r="14224" spans="1:1" s="287" customFormat="1" ht="12" hidden="1" customHeight="1">
      <c r="A14224" s="286"/>
    </row>
    <row r="14225" spans="1:1" s="287" customFormat="1" ht="12" hidden="1" customHeight="1">
      <c r="A14225" s="286"/>
    </row>
    <row r="14226" spans="1:1" s="287" customFormat="1" ht="12" hidden="1" customHeight="1">
      <c r="A14226" s="286"/>
    </row>
    <row r="14227" spans="1:1" s="287" customFormat="1" ht="12" hidden="1" customHeight="1">
      <c r="A14227" s="286"/>
    </row>
    <row r="14228" spans="1:1" s="287" customFormat="1" ht="12" hidden="1" customHeight="1">
      <c r="A14228" s="286"/>
    </row>
    <row r="14229" spans="1:1" s="287" customFormat="1" ht="12" hidden="1" customHeight="1">
      <c r="A14229" s="286"/>
    </row>
    <row r="14230" spans="1:1" s="287" customFormat="1" ht="12" hidden="1" customHeight="1">
      <c r="A14230" s="286"/>
    </row>
    <row r="14231" spans="1:1" s="287" customFormat="1" ht="12" hidden="1" customHeight="1">
      <c r="A14231" s="286"/>
    </row>
    <row r="14232" spans="1:1" s="287" customFormat="1" ht="12" hidden="1" customHeight="1">
      <c r="A14232" s="286"/>
    </row>
    <row r="14233" spans="1:1" s="287" customFormat="1" ht="12" hidden="1" customHeight="1">
      <c r="A14233" s="286"/>
    </row>
    <row r="14234" spans="1:1" s="287" customFormat="1" ht="12" hidden="1" customHeight="1">
      <c r="A14234" s="286"/>
    </row>
    <row r="14235" spans="1:1" s="287" customFormat="1" ht="12" hidden="1" customHeight="1">
      <c r="A14235" s="286"/>
    </row>
    <row r="14236" spans="1:1" s="287" customFormat="1" ht="12" hidden="1" customHeight="1">
      <c r="A14236" s="286"/>
    </row>
    <row r="14237" spans="1:1" s="287" customFormat="1" ht="12" hidden="1" customHeight="1">
      <c r="A14237" s="286"/>
    </row>
    <row r="14238" spans="1:1" s="287" customFormat="1" ht="12" hidden="1" customHeight="1">
      <c r="A14238" s="286"/>
    </row>
    <row r="14239" spans="1:1" s="287" customFormat="1" ht="12" hidden="1" customHeight="1">
      <c r="A14239" s="286"/>
    </row>
    <row r="14240" spans="1:1" s="287" customFormat="1" ht="12" hidden="1" customHeight="1">
      <c r="A14240" s="286"/>
    </row>
    <row r="14241" spans="1:1" s="287" customFormat="1" ht="12" hidden="1" customHeight="1">
      <c r="A14241" s="286"/>
    </row>
    <row r="14242" spans="1:1" s="287" customFormat="1" ht="12" hidden="1" customHeight="1">
      <c r="A14242" s="286"/>
    </row>
    <row r="14243" spans="1:1" s="287" customFormat="1" ht="12" hidden="1" customHeight="1">
      <c r="A14243" s="286"/>
    </row>
    <row r="14244" spans="1:1" s="287" customFormat="1" ht="12" hidden="1" customHeight="1">
      <c r="A14244" s="286"/>
    </row>
    <row r="14245" spans="1:1" s="287" customFormat="1" ht="12" hidden="1" customHeight="1">
      <c r="A14245" s="286"/>
    </row>
    <row r="14246" spans="1:1" s="287" customFormat="1" ht="12" hidden="1" customHeight="1">
      <c r="A14246" s="286"/>
    </row>
    <row r="14247" spans="1:1" s="287" customFormat="1" ht="12" hidden="1" customHeight="1">
      <c r="A14247" s="286"/>
    </row>
    <row r="14248" spans="1:1" s="287" customFormat="1" ht="12" hidden="1" customHeight="1">
      <c r="A14248" s="286"/>
    </row>
    <row r="14249" spans="1:1" s="287" customFormat="1" ht="12" hidden="1" customHeight="1">
      <c r="A14249" s="286"/>
    </row>
    <row r="14250" spans="1:1" s="287" customFormat="1" ht="12" hidden="1" customHeight="1">
      <c r="A14250" s="286"/>
    </row>
    <row r="14251" spans="1:1" s="287" customFormat="1" ht="12" hidden="1" customHeight="1">
      <c r="A14251" s="286"/>
    </row>
    <row r="14252" spans="1:1" s="287" customFormat="1" ht="12" hidden="1" customHeight="1">
      <c r="A14252" s="286"/>
    </row>
    <row r="14253" spans="1:1" s="287" customFormat="1" ht="12" hidden="1" customHeight="1">
      <c r="A14253" s="286"/>
    </row>
    <row r="14254" spans="1:1" s="287" customFormat="1" ht="12" hidden="1" customHeight="1">
      <c r="A14254" s="286"/>
    </row>
    <row r="14255" spans="1:1" s="287" customFormat="1" ht="12" hidden="1" customHeight="1">
      <c r="A14255" s="286"/>
    </row>
    <row r="14256" spans="1:1" s="287" customFormat="1" ht="12" hidden="1" customHeight="1">
      <c r="A14256" s="286"/>
    </row>
    <row r="14257" spans="1:1" s="287" customFormat="1" ht="12" hidden="1" customHeight="1">
      <c r="A14257" s="286"/>
    </row>
    <row r="14258" spans="1:1" s="287" customFormat="1" ht="12" hidden="1" customHeight="1">
      <c r="A14258" s="286"/>
    </row>
    <row r="14259" spans="1:1" s="287" customFormat="1" ht="12" hidden="1" customHeight="1">
      <c r="A14259" s="286"/>
    </row>
    <row r="14260" spans="1:1" s="287" customFormat="1" ht="12" hidden="1" customHeight="1">
      <c r="A14260" s="286"/>
    </row>
    <row r="14261" spans="1:1" s="287" customFormat="1" ht="12" hidden="1" customHeight="1">
      <c r="A14261" s="286"/>
    </row>
    <row r="14262" spans="1:1" s="287" customFormat="1" ht="12" hidden="1" customHeight="1">
      <c r="A14262" s="286"/>
    </row>
    <row r="14263" spans="1:1" s="287" customFormat="1" ht="12" hidden="1" customHeight="1">
      <c r="A14263" s="286"/>
    </row>
    <row r="14264" spans="1:1" s="287" customFormat="1" ht="12" hidden="1" customHeight="1">
      <c r="A14264" s="286"/>
    </row>
    <row r="14265" spans="1:1" s="287" customFormat="1" ht="12" hidden="1" customHeight="1">
      <c r="A14265" s="286"/>
    </row>
    <row r="14266" spans="1:1" s="287" customFormat="1" ht="12" hidden="1" customHeight="1">
      <c r="A14266" s="286"/>
    </row>
    <row r="14267" spans="1:1" s="287" customFormat="1" ht="12" hidden="1" customHeight="1">
      <c r="A14267" s="286"/>
    </row>
    <row r="14268" spans="1:1" s="287" customFormat="1" ht="12" hidden="1" customHeight="1">
      <c r="A14268" s="286"/>
    </row>
    <row r="14269" spans="1:1" s="287" customFormat="1" ht="12" hidden="1" customHeight="1">
      <c r="A14269" s="286"/>
    </row>
    <row r="14270" spans="1:1" s="287" customFormat="1" ht="12" hidden="1" customHeight="1">
      <c r="A14270" s="286"/>
    </row>
    <row r="14271" spans="1:1" s="287" customFormat="1" ht="12" hidden="1" customHeight="1">
      <c r="A14271" s="286"/>
    </row>
    <row r="14272" spans="1:1" s="287" customFormat="1" ht="12" hidden="1" customHeight="1">
      <c r="A14272" s="286"/>
    </row>
    <row r="14273" spans="1:1" s="287" customFormat="1" ht="12" hidden="1" customHeight="1">
      <c r="A14273" s="286"/>
    </row>
    <row r="14274" spans="1:1" s="287" customFormat="1" ht="12" hidden="1" customHeight="1">
      <c r="A14274" s="286"/>
    </row>
    <row r="14275" spans="1:1" s="287" customFormat="1" ht="12" hidden="1" customHeight="1">
      <c r="A14275" s="286"/>
    </row>
    <row r="14276" spans="1:1" s="287" customFormat="1" ht="12" hidden="1" customHeight="1">
      <c r="A14276" s="286"/>
    </row>
    <row r="14277" spans="1:1" s="287" customFormat="1" ht="12" hidden="1" customHeight="1">
      <c r="A14277" s="286"/>
    </row>
    <row r="14278" spans="1:1" s="287" customFormat="1" ht="12" hidden="1" customHeight="1">
      <c r="A14278" s="286"/>
    </row>
    <row r="14279" spans="1:1" s="287" customFormat="1" ht="12" hidden="1" customHeight="1">
      <c r="A14279" s="286"/>
    </row>
    <row r="14280" spans="1:1" s="287" customFormat="1" ht="12" hidden="1" customHeight="1">
      <c r="A14280" s="286"/>
    </row>
    <row r="14281" spans="1:1" s="287" customFormat="1" ht="12" hidden="1" customHeight="1">
      <c r="A14281" s="286"/>
    </row>
    <row r="14282" spans="1:1" s="287" customFormat="1" ht="12" hidden="1" customHeight="1">
      <c r="A14282" s="286"/>
    </row>
    <row r="14283" spans="1:1" s="287" customFormat="1" ht="12" hidden="1" customHeight="1">
      <c r="A14283" s="286"/>
    </row>
    <row r="14284" spans="1:1" s="287" customFormat="1" ht="12" hidden="1" customHeight="1">
      <c r="A14284" s="286"/>
    </row>
    <row r="14285" spans="1:1" s="287" customFormat="1" ht="12" hidden="1" customHeight="1">
      <c r="A14285" s="286"/>
    </row>
    <row r="14286" spans="1:1" s="287" customFormat="1" ht="12" hidden="1" customHeight="1">
      <c r="A14286" s="286"/>
    </row>
    <row r="14287" spans="1:1" s="287" customFormat="1" ht="12" hidden="1" customHeight="1">
      <c r="A14287" s="286"/>
    </row>
    <row r="14288" spans="1:1" s="287" customFormat="1" ht="12" hidden="1" customHeight="1">
      <c r="A14288" s="286"/>
    </row>
    <row r="14289" spans="1:1" s="287" customFormat="1" ht="12" hidden="1" customHeight="1">
      <c r="A14289" s="286"/>
    </row>
    <row r="14290" spans="1:1" s="287" customFormat="1" ht="12" hidden="1" customHeight="1">
      <c r="A14290" s="286"/>
    </row>
    <row r="14291" spans="1:1" s="287" customFormat="1" ht="12" hidden="1" customHeight="1">
      <c r="A14291" s="286"/>
    </row>
    <row r="14292" spans="1:1" s="287" customFormat="1" ht="12" hidden="1" customHeight="1">
      <c r="A14292" s="286"/>
    </row>
    <row r="14293" spans="1:1" s="287" customFormat="1" ht="12" hidden="1" customHeight="1">
      <c r="A14293" s="286"/>
    </row>
    <row r="14294" spans="1:1" s="287" customFormat="1" ht="12" hidden="1" customHeight="1">
      <c r="A14294" s="286"/>
    </row>
    <row r="14295" spans="1:1" s="287" customFormat="1" ht="12" hidden="1" customHeight="1">
      <c r="A14295" s="286"/>
    </row>
    <row r="14296" spans="1:1" s="287" customFormat="1" ht="12" hidden="1" customHeight="1">
      <c r="A14296" s="286"/>
    </row>
    <row r="14297" spans="1:1" s="287" customFormat="1" ht="12" hidden="1" customHeight="1">
      <c r="A14297" s="286"/>
    </row>
    <row r="14298" spans="1:1" s="287" customFormat="1" ht="12" hidden="1" customHeight="1">
      <c r="A14298" s="286"/>
    </row>
    <row r="14299" spans="1:1" s="287" customFormat="1" ht="12" hidden="1" customHeight="1">
      <c r="A14299" s="286"/>
    </row>
    <row r="14300" spans="1:1" s="287" customFormat="1" ht="12" hidden="1" customHeight="1">
      <c r="A14300" s="286"/>
    </row>
    <row r="14301" spans="1:1" s="287" customFormat="1" ht="12" hidden="1" customHeight="1">
      <c r="A14301" s="286"/>
    </row>
    <row r="14302" spans="1:1" s="287" customFormat="1" ht="12" hidden="1" customHeight="1">
      <c r="A14302" s="286"/>
    </row>
    <row r="14303" spans="1:1" s="287" customFormat="1" ht="12" hidden="1" customHeight="1">
      <c r="A14303" s="286"/>
    </row>
    <row r="14304" spans="1:1" s="287" customFormat="1" ht="12" hidden="1" customHeight="1">
      <c r="A14304" s="286"/>
    </row>
    <row r="14305" spans="1:1" s="287" customFormat="1" ht="12" hidden="1" customHeight="1">
      <c r="A14305" s="286"/>
    </row>
    <row r="14306" spans="1:1" s="287" customFormat="1" ht="12" hidden="1" customHeight="1">
      <c r="A14306" s="286"/>
    </row>
    <row r="14307" spans="1:1" s="287" customFormat="1" ht="12" hidden="1" customHeight="1">
      <c r="A14307" s="286"/>
    </row>
    <row r="14308" spans="1:1" s="287" customFormat="1" ht="12" hidden="1" customHeight="1">
      <c r="A14308" s="286"/>
    </row>
    <row r="14309" spans="1:1" s="287" customFormat="1" ht="12" hidden="1" customHeight="1">
      <c r="A14309" s="286"/>
    </row>
    <row r="14310" spans="1:1" s="287" customFormat="1" ht="12" hidden="1" customHeight="1">
      <c r="A14310" s="286"/>
    </row>
    <row r="14311" spans="1:1" s="287" customFormat="1" ht="12" hidden="1" customHeight="1">
      <c r="A14311" s="286"/>
    </row>
    <row r="14312" spans="1:1" s="287" customFormat="1" ht="12" hidden="1" customHeight="1">
      <c r="A14312" s="286"/>
    </row>
    <row r="14313" spans="1:1" s="287" customFormat="1" ht="12" hidden="1" customHeight="1">
      <c r="A14313" s="286"/>
    </row>
    <row r="14314" spans="1:1" s="287" customFormat="1" ht="12" hidden="1" customHeight="1">
      <c r="A14314" s="286"/>
    </row>
    <row r="14315" spans="1:1" s="287" customFormat="1" ht="12" hidden="1" customHeight="1">
      <c r="A14315" s="286"/>
    </row>
    <row r="14316" spans="1:1" s="287" customFormat="1" ht="12" hidden="1" customHeight="1">
      <c r="A14316" s="286"/>
    </row>
    <row r="14317" spans="1:1" s="287" customFormat="1" ht="12" hidden="1" customHeight="1">
      <c r="A14317" s="286"/>
    </row>
    <row r="14318" spans="1:1" s="287" customFormat="1" ht="12" hidden="1" customHeight="1">
      <c r="A14318" s="286"/>
    </row>
    <row r="14319" spans="1:1" s="287" customFormat="1" ht="12" hidden="1" customHeight="1">
      <c r="A14319" s="286"/>
    </row>
    <row r="14320" spans="1:1" s="287" customFormat="1" ht="12" hidden="1" customHeight="1">
      <c r="A14320" s="286"/>
    </row>
    <row r="14321" spans="1:1" s="287" customFormat="1" ht="12" hidden="1" customHeight="1">
      <c r="A14321" s="286"/>
    </row>
    <row r="14322" spans="1:1" s="287" customFormat="1" ht="12" hidden="1" customHeight="1">
      <c r="A14322" s="286"/>
    </row>
    <row r="14323" spans="1:1" s="287" customFormat="1" ht="12" hidden="1" customHeight="1">
      <c r="A14323" s="286"/>
    </row>
    <row r="14324" spans="1:1" s="287" customFormat="1" ht="12" hidden="1" customHeight="1">
      <c r="A14324" s="286"/>
    </row>
    <row r="14325" spans="1:1" s="287" customFormat="1" ht="12" hidden="1" customHeight="1">
      <c r="A14325" s="286"/>
    </row>
    <row r="14326" spans="1:1" s="287" customFormat="1" ht="12" hidden="1" customHeight="1">
      <c r="A14326" s="286"/>
    </row>
    <row r="14327" spans="1:1" s="287" customFormat="1" ht="12" hidden="1" customHeight="1">
      <c r="A14327" s="286"/>
    </row>
    <row r="14328" spans="1:1" s="287" customFormat="1" ht="12" hidden="1" customHeight="1">
      <c r="A14328" s="286"/>
    </row>
    <row r="14329" spans="1:1" s="287" customFormat="1" ht="12" hidden="1" customHeight="1">
      <c r="A14329" s="286"/>
    </row>
    <row r="14330" spans="1:1" s="287" customFormat="1" ht="12" hidden="1" customHeight="1">
      <c r="A14330" s="286"/>
    </row>
    <row r="14331" spans="1:1" s="287" customFormat="1" ht="12" hidden="1" customHeight="1">
      <c r="A14331" s="286"/>
    </row>
    <row r="14332" spans="1:1" s="287" customFormat="1" ht="12" hidden="1" customHeight="1">
      <c r="A14332" s="286"/>
    </row>
    <row r="14333" spans="1:1" s="287" customFormat="1" ht="12" hidden="1" customHeight="1">
      <c r="A14333" s="286"/>
    </row>
    <row r="14334" spans="1:1" s="287" customFormat="1" ht="12" hidden="1" customHeight="1">
      <c r="A14334" s="286"/>
    </row>
    <row r="14335" spans="1:1" s="287" customFormat="1" ht="12" hidden="1" customHeight="1">
      <c r="A14335" s="286"/>
    </row>
    <row r="14336" spans="1:1" s="287" customFormat="1" ht="12" hidden="1" customHeight="1">
      <c r="A14336" s="286"/>
    </row>
    <row r="14337" spans="1:1" s="287" customFormat="1" ht="12" hidden="1" customHeight="1">
      <c r="A14337" s="286"/>
    </row>
    <row r="14338" spans="1:1" s="287" customFormat="1" ht="12" hidden="1" customHeight="1">
      <c r="A14338" s="286"/>
    </row>
    <row r="14339" spans="1:1" s="287" customFormat="1" ht="12" hidden="1" customHeight="1">
      <c r="A14339" s="286"/>
    </row>
    <row r="14340" spans="1:1" s="287" customFormat="1" ht="12" hidden="1" customHeight="1">
      <c r="A14340" s="286"/>
    </row>
    <row r="14341" spans="1:1" s="287" customFormat="1" ht="12" hidden="1" customHeight="1">
      <c r="A14341" s="286"/>
    </row>
    <row r="14342" spans="1:1" s="287" customFormat="1" ht="12" hidden="1" customHeight="1">
      <c r="A14342" s="286"/>
    </row>
    <row r="14343" spans="1:1" s="287" customFormat="1" ht="12" hidden="1" customHeight="1">
      <c r="A14343" s="286"/>
    </row>
    <row r="14344" spans="1:1" s="287" customFormat="1" ht="12" hidden="1" customHeight="1">
      <c r="A14344" s="286"/>
    </row>
    <row r="14345" spans="1:1" s="287" customFormat="1" ht="12" hidden="1" customHeight="1">
      <c r="A14345" s="286"/>
    </row>
    <row r="14346" spans="1:1" s="287" customFormat="1" ht="12" hidden="1" customHeight="1">
      <c r="A14346" s="286"/>
    </row>
    <row r="14347" spans="1:1" s="287" customFormat="1" ht="12" hidden="1" customHeight="1">
      <c r="A14347" s="286"/>
    </row>
    <row r="14348" spans="1:1" s="287" customFormat="1" ht="12" hidden="1" customHeight="1">
      <c r="A14348" s="286"/>
    </row>
    <row r="14349" spans="1:1" s="287" customFormat="1" ht="12" hidden="1" customHeight="1">
      <c r="A14349" s="286"/>
    </row>
    <row r="14350" spans="1:1" s="287" customFormat="1" ht="12" hidden="1" customHeight="1">
      <c r="A14350" s="286"/>
    </row>
    <row r="14351" spans="1:1" s="287" customFormat="1" ht="12" hidden="1" customHeight="1">
      <c r="A14351" s="286"/>
    </row>
    <row r="14352" spans="1:1" s="287" customFormat="1" ht="12" hidden="1" customHeight="1">
      <c r="A14352" s="286"/>
    </row>
    <row r="14353" spans="1:1" s="287" customFormat="1" ht="12" hidden="1" customHeight="1">
      <c r="A14353" s="286"/>
    </row>
    <row r="14354" spans="1:1" s="287" customFormat="1" ht="12" hidden="1" customHeight="1">
      <c r="A14354" s="286"/>
    </row>
    <row r="14355" spans="1:1" s="287" customFormat="1" ht="12" hidden="1" customHeight="1">
      <c r="A14355" s="286"/>
    </row>
    <row r="14356" spans="1:1" s="287" customFormat="1" ht="12" hidden="1" customHeight="1">
      <c r="A14356" s="286"/>
    </row>
    <row r="14357" spans="1:1" s="287" customFormat="1" ht="12" hidden="1" customHeight="1">
      <c r="A14357" s="286"/>
    </row>
    <row r="14358" spans="1:1" s="287" customFormat="1" ht="12" hidden="1" customHeight="1">
      <c r="A14358" s="286"/>
    </row>
    <row r="14359" spans="1:1" s="287" customFormat="1" ht="12" hidden="1" customHeight="1">
      <c r="A14359" s="286"/>
    </row>
    <row r="14360" spans="1:1" s="287" customFormat="1" ht="12" hidden="1" customHeight="1">
      <c r="A14360" s="286"/>
    </row>
    <row r="14361" spans="1:1" s="287" customFormat="1" ht="12" hidden="1" customHeight="1">
      <c r="A14361" s="286"/>
    </row>
    <row r="14362" spans="1:1" s="287" customFormat="1" ht="12" hidden="1" customHeight="1">
      <c r="A14362" s="286"/>
    </row>
    <row r="14363" spans="1:1" s="287" customFormat="1" ht="12" hidden="1" customHeight="1">
      <c r="A14363" s="286"/>
    </row>
    <row r="14364" spans="1:1" s="287" customFormat="1" ht="12" hidden="1" customHeight="1">
      <c r="A14364" s="286"/>
    </row>
    <row r="14365" spans="1:1" s="287" customFormat="1" ht="12" hidden="1" customHeight="1">
      <c r="A14365" s="286"/>
    </row>
    <row r="14366" spans="1:1" s="287" customFormat="1" ht="12" hidden="1" customHeight="1">
      <c r="A14366" s="286"/>
    </row>
    <row r="14367" spans="1:1" s="287" customFormat="1" ht="12" hidden="1" customHeight="1">
      <c r="A14367" s="286"/>
    </row>
    <row r="14368" spans="1:1" s="287" customFormat="1" ht="12" hidden="1" customHeight="1">
      <c r="A14368" s="286"/>
    </row>
    <row r="14369" spans="1:1" s="287" customFormat="1" ht="12" hidden="1" customHeight="1">
      <c r="A14369" s="286"/>
    </row>
    <row r="14370" spans="1:1" s="287" customFormat="1" ht="12" hidden="1" customHeight="1">
      <c r="A14370" s="286"/>
    </row>
    <row r="14371" spans="1:1" s="287" customFormat="1" ht="12" hidden="1" customHeight="1">
      <c r="A14371" s="286"/>
    </row>
    <row r="14372" spans="1:1" s="287" customFormat="1" ht="12" hidden="1" customHeight="1">
      <c r="A14372" s="286"/>
    </row>
    <row r="14373" spans="1:1" s="287" customFormat="1" ht="12" hidden="1" customHeight="1">
      <c r="A14373" s="286"/>
    </row>
    <row r="14374" spans="1:1" s="287" customFormat="1" ht="12" hidden="1" customHeight="1">
      <c r="A14374" s="286"/>
    </row>
    <row r="14375" spans="1:1" s="287" customFormat="1" ht="12" hidden="1" customHeight="1">
      <c r="A14375" s="286"/>
    </row>
    <row r="14376" spans="1:1" s="287" customFormat="1" ht="12" hidden="1" customHeight="1">
      <c r="A14376" s="286"/>
    </row>
    <row r="14377" spans="1:1" s="287" customFormat="1" ht="12" hidden="1" customHeight="1">
      <c r="A14377" s="286"/>
    </row>
    <row r="14378" spans="1:1" s="287" customFormat="1" ht="12" hidden="1" customHeight="1">
      <c r="A14378" s="286"/>
    </row>
    <row r="14379" spans="1:1" s="287" customFormat="1" ht="12" hidden="1" customHeight="1">
      <c r="A14379" s="286"/>
    </row>
    <row r="14380" spans="1:1" s="287" customFormat="1" ht="12" hidden="1" customHeight="1">
      <c r="A14380" s="286"/>
    </row>
    <row r="14381" spans="1:1" s="287" customFormat="1" ht="12" hidden="1" customHeight="1">
      <c r="A14381" s="286"/>
    </row>
    <row r="14382" spans="1:1" s="287" customFormat="1" ht="12" hidden="1" customHeight="1">
      <c r="A14382" s="286"/>
    </row>
    <row r="14383" spans="1:1" s="287" customFormat="1" ht="12" hidden="1" customHeight="1">
      <c r="A14383" s="286"/>
    </row>
    <row r="14384" spans="1:1" s="287" customFormat="1" ht="12" hidden="1" customHeight="1">
      <c r="A14384" s="286"/>
    </row>
    <row r="14385" spans="1:1" s="287" customFormat="1" ht="12" hidden="1" customHeight="1">
      <c r="A14385" s="286"/>
    </row>
    <row r="14386" spans="1:1" s="287" customFormat="1" ht="12" hidden="1" customHeight="1">
      <c r="A14386" s="286"/>
    </row>
    <row r="14387" spans="1:1" s="287" customFormat="1" ht="12" hidden="1" customHeight="1">
      <c r="A14387" s="286"/>
    </row>
    <row r="14388" spans="1:1" s="287" customFormat="1" ht="12" hidden="1" customHeight="1">
      <c r="A14388" s="286"/>
    </row>
    <row r="14389" spans="1:1" s="287" customFormat="1" ht="12" hidden="1" customHeight="1">
      <c r="A14389" s="286"/>
    </row>
    <row r="14390" spans="1:1" s="287" customFormat="1" ht="12" hidden="1" customHeight="1">
      <c r="A14390" s="286"/>
    </row>
    <row r="14391" spans="1:1" s="287" customFormat="1" ht="12" hidden="1" customHeight="1">
      <c r="A14391" s="286"/>
    </row>
    <row r="14392" spans="1:1" s="287" customFormat="1" ht="12" hidden="1" customHeight="1">
      <c r="A14392" s="286"/>
    </row>
    <row r="14393" spans="1:1" s="287" customFormat="1" ht="12" hidden="1" customHeight="1">
      <c r="A14393" s="286"/>
    </row>
    <row r="14394" spans="1:1" s="287" customFormat="1" ht="12" hidden="1" customHeight="1">
      <c r="A14394" s="286"/>
    </row>
    <row r="14395" spans="1:1" s="287" customFormat="1" ht="12" hidden="1" customHeight="1">
      <c r="A14395" s="286"/>
    </row>
    <row r="14396" spans="1:1" s="287" customFormat="1" ht="12" hidden="1" customHeight="1">
      <c r="A14396" s="286"/>
    </row>
    <row r="14397" spans="1:1" s="287" customFormat="1" ht="12" hidden="1" customHeight="1">
      <c r="A14397" s="286"/>
    </row>
    <row r="14398" spans="1:1" s="287" customFormat="1" ht="12" hidden="1" customHeight="1">
      <c r="A14398" s="286"/>
    </row>
    <row r="14399" spans="1:1" s="287" customFormat="1" ht="12" hidden="1" customHeight="1">
      <c r="A14399" s="286"/>
    </row>
    <row r="14400" spans="1:1" s="287" customFormat="1" ht="12" hidden="1" customHeight="1">
      <c r="A14400" s="286"/>
    </row>
    <row r="14401" spans="1:1" s="287" customFormat="1" ht="12" hidden="1" customHeight="1">
      <c r="A14401" s="286"/>
    </row>
    <row r="14402" spans="1:1" s="287" customFormat="1" ht="12" hidden="1" customHeight="1">
      <c r="A14402" s="286"/>
    </row>
    <row r="14403" spans="1:1" s="287" customFormat="1" ht="12" hidden="1" customHeight="1">
      <c r="A14403" s="286"/>
    </row>
    <row r="14404" spans="1:1" s="287" customFormat="1" ht="12" hidden="1" customHeight="1">
      <c r="A14404" s="286"/>
    </row>
    <row r="14405" spans="1:1" s="287" customFormat="1" ht="12" hidden="1" customHeight="1">
      <c r="A14405" s="286"/>
    </row>
    <row r="14406" spans="1:1" s="287" customFormat="1" ht="12" hidden="1" customHeight="1">
      <c r="A14406" s="286"/>
    </row>
    <row r="14407" spans="1:1" s="287" customFormat="1" ht="12" hidden="1" customHeight="1">
      <c r="A14407" s="286"/>
    </row>
    <row r="14408" spans="1:1" s="287" customFormat="1" ht="12" hidden="1" customHeight="1">
      <c r="A14408" s="286"/>
    </row>
    <row r="14409" spans="1:1" s="287" customFormat="1" ht="12" hidden="1" customHeight="1">
      <c r="A14409" s="286"/>
    </row>
    <row r="14410" spans="1:1" s="287" customFormat="1" ht="12" hidden="1" customHeight="1">
      <c r="A14410" s="286"/>
    </row>
    <row r="14411" spans="1:1" s="287" customFormat="1" ht="12" hidden="1" customHeight="1">
      <c r="A14411" s="286"/>
    </row>
    <row r="14412" spans="1:1" s="287" customFormat="1" ht="12" hidden="1" customHeight="1">
      <c r="A14412" s="286"/>
    </row>
    <row r="14413" spans="1:1" s="287" customFormat="1" ht="12" hidden="1" customHeight="1">
      <c r="A14413" s="286"/>
    </row>
    <row r="14414" spans="1:1" s="287" customFormat="1" ht="12" hidden="1" customHeight="1">
      <c r="A14414" s="286"/>
    </row>
    <row r="14415" spans="1:1" s="287" customFormat="1" ht="12" hidden="1" customHeight="1">
      <c r="A14415" s="286"/>
    </row>
    <row r="14416" spans="1:1" s="287" customFormat="1" ht="12" hidden="1" customHeight="1">
      <c r="A14416" s="286"/>
    </row>
    <row r="14417" spans="1:1" s="287" customFormat="1" ht="12" hidden="1" customHeight="1">
      <c r="A14417" s="286"/>
    </row>
    <row r="14418" spans="1:1" s="287" customFormat="1" ht="12" hidden="1" customHeight="1">
      <c r="A14418" s="286"/>
    </row>
    <row r="14419" spans="1:1" s="287" customFormat="1" ht="12" hidden="1" customHeight="1">
      <c r="A14419" s="286"/>
    </row>
    <row r="14420" spans="1:1" s="287" customFormat="1" ht="12" hidden="1" customHeight="1">
      <c r="A14420" s="286"/>
    </row>
    <row r="14421" spans="1:1" s="287" customFormat="1" ht="12" hidden="1" customHeight="1">
      <c r="A14421" s="286"/>
    </row>
    <row r="14422" spans="1:1" s="287" customFormat="1" ht="12" hidden="1" customHeight="1">
      <c r="A14422" s="286"/>
    </row>
    <row r="14423" spans="1:1" s="287" customFormat="1" ht="12" hidden="1" customHeight="1">
      <c r="A14423" s="286"/>
    </row>
    <row r="14424" spans="1:1" s="287" customFormat="1" ht="12" hidden="1" customHeight="1">
      <c r="A14424" s="286"/>
    </row>
    <row r="14425" spans="1:1" s="287" customFormat="1" ht="12" hidden="1" customHeight="1">
      <c r="A14425" s="286"/>
    </row>
    <row r="14426" spans="1:1" s="287" customFormat="1" ht="12" hidden="1" customHeight="1">
      <c r="A14426" s="286"/>
    </row>
    <row r="14427" spans="1:1" s="287" customFormat="1" ht="12" hidden="1" customHeight="1">
      <c r="A14427" s="286"/>
    </row>
    <row r="14428" spans="1:1" s="287" customFormat="1" ht="12" hidden="1" customHeight="1">
      <c r="A14428" s="286"/>
    </row>
    <row r="14429" spans="1:1" s="287" customFormat="1" ht="12" hidden="1" customHeight="1">
      <c r="A14429" s="286"/>
    </row>
    <row r="14430" spans="1:1" s="287" customFormat="1" ht="12" hidden="1" customHeight="1">
      <c r="A14430" s="286"/>
    </row>
    <row r="14431" spans="1:1" s="287" customFormat="1" ht="12" hidden="1" customHeight="1">
      <c r="A14431" s="286"/>
    </row>
    <row r="14432" spans="1:1" s="287" customFormat="1" ht="12" hidden="1" customHeight="1">
      <c r="A14432" s="286"/>
    </row>
    <row r="14433" spans="1:1" s="287" customFormat="1" ht="12" hidden="1" customHeight="1">
      <c r="A14433" s="286"/>
    </row>
    <row r="14434" spans="1:1" s="287" customFormat="1" ht="12" hidden="1" customHeight="1">
      <c r="A14434" s="286"/>
    </row>
    <row r="14435" spans="1:1" s="287" customFormat="1" ht="12" hidden="1" customHeight="1">
      <c r="A14435" s="286"/>
    </row>
    <row r="14436" spans="1:1" s="287" customFormat="1" ht="12" hidden="1" customHeight="1">
      <c r="A14436" s="286"/>
    </row>
    <row r="14437" spans="1:1" s="287" customFormat="1" ht="12" hidden="1" customHeight="1">
      <c r="A14437" s="286"/>
    </row>
    <row r="14438" spans="1:1" s="287" customFormat="1" ht="12" hidden="1" customHeight="1">
      <c r="A14438" s="286"/>
    </row>
    <row r="14439" spans="1:1" s="287" customFormat="1" ht="12" hidden="1" customHeight="1">
      <c r="A14439" s="286"/>
    </row>
    <row r="14440" spans="1:1" s="287" customFormat="1" ht="12" hidden="1" customHeight="1">
      <c r="A14440" s="286"/>
    </row>
    <row r="14441" spans="1:1" s="287" customFormat="1" ht="12" hidden="1" customHeight="1">
      <c r="A14441" s="286"/>
    </row>
    <row r="14442" spans="1:1" s="287" customFormat="1" ht="12" hidden="1" customHeight="1">
      <c r="A14442" s="286"/>
    </row>
    <row r="14443" spans="1:1" s="287" customFormat="1" ht="12" hidden="1" customHeight="1">
      <c r="A14443" s="286"/>
    </row>
    <row r="14444" spans="1:1" s="287" customFormat="1" ht="12" hidden="1" customHeight="1">
      <c r="A14444" s="286"/>
    </row>
    <row r="14445" spans="1:1" s="287" customFormat="1" ht="12" hidden="1" customHeight="1">
      <c r="A14445" s="286"/>
    </row>
    <row r="14446" spans="1:1" s="287" customFormat="1" ht="12" hidden="1" customHeight="1">
      <c r="A14446" s="286"/>
    </row>
    <row r="14447" spans="1:1" s="287" customFormat="1" ht="12" hidden="1" customHeight="1">
      <c r="A14447" s="286"/>
    </row>
    <row r="14448" spans="1:1" s="287" customFormat="1" ht="12" hidden="1" customHeight="1">
      <c r="A14448" s="286"/>
    </row>
    <row r="14449" spans="1:1" s="287" customFormat="1" ht="12" hidden="1" customHeight="1">
      <c r="A14449" s="286"/>
    </row>
    <row r="14450" spans="1:1" s="287" customFormat="1" ht="12" hidden="1" customHeight="1">
      <c r="A14450" s="286"/>
    </row>
    <row r="14451" spans="1:1" s="287" customFormat="1" ht="12" hidden="1" customHeight="1">
      <c r="A14451" s="286"/>
    </row>
    <row r="14452" spans="1:1" s="287" customFormat="1" ht="12" hidden="1" customHeight="1">
      <c r="A14452" s="286"/>
    </row>
    <row r="14453" spans="1:1" s="287" customFormat="1" ht="12" hidden="1" customHeight="1">
      <c r="A14453" s="286"/>
    </row>
    <row r="14454" spans="1:1" s="287" customFormat="1" ht="12" hidden="1" customHeight="1">
      <c r="A14454" s="286"/>
    </row>
    <row r="14455" spans="1:1" s="287" customFormat="1" ht="12" hidden="1" customHeight="1">
      <c r="A14455" s="286"/>
    </row>
    <row r="14456" spans="1:1" s="287" customFormat="1" ht="12" hidden="1" customHeight="1">
      <c r="A14456" s="286"/>
    </row>
    <row r="14457" spans="1:1" s="287" customFormat="1" ht="12" hidden="1" customHeight="1">
      <c r="A14457" s="286"/>
    </row>
    <row r="14458" spans="1:1" s="287" customFormat="1" ht="12" hidden="1" customHeight="1">
      <c r="A14458" s="286"/>
    </row>
    <row r="14459" spans="1:1" s="287" customFormat="1" ht="12" hidden="1" customHeight="1">
      <c r="A14459" s="286"/>
    </row>
    <row r="14460" spans="1:1" s="287" customFormat="1" ht="12" hidden="1" customHeight="1">
      <c r="A14460" s="286"/>
    </row>
    <row r="14461" spans="1:1" s="287" customFormat="1" ht="12" hidden="1" customHeight="1">
      <c r="A14461" s="286"/>
    </row>
    <row r="14462" spans="1:1" s="287" customFormat="1" ht="12" hidden="1" customHeight="1">
      <c r="A14462" s="286"/>
    </row>
    <row r="14463" spans="1:1" s="287" customFormat="1" ht="12" hidden="1" customHeight="1">
      <c r="A14463" s="286"/>
    </row>
    <row r="14464" spans="1:1" s="287" customFormat="1" ht="12" hidden="1" customHeight="1">
      <c r="A14464" s="286"/>
    </row>
    <row r="14465" spans="1:1" s="287" customFormat="1" ht="12" hidden="1" customHeight="1">
      <c r="A14465" s="286"/>
    </row>
    <row r="14466" spans="1:1" s="287" customFormat="1" ht="12" hidden="1" customHeight="1">
      <c r="A14466" s="286"/>
    </row>
    <row r="14467" spans="1:1" s="287" customFormat="1" ht="12" hidden="1" customHeight="1">
      <c r="A14467" s="286"/>
    </row>
    <row r="14468" spans="1:1" s="287" customFormat="1" ht="12" hidden="1" customHeight="1">
      <c r="A14468" s="286"/>
    </row>
    <row r="14469" spans="1:1" s="287" customFormat="1" ht="12" hidden="1" customHeight="1">
      <c r="A14469" s="286"/>
    </row>
    <row r="14470" spans="1:1" s="287" customFormat="1" ht="12" hidden="1" customHeight="1">
      <c r="A14470" s="286"/>
    </row>
    <row r="14471" spans="1:1" s="287" customFormat="1" ht="12" hidden="1" customHeight="1">
      <c r="A14471" s="286"/>
    </row>
    <row r="14472" spans="1:1" s="287" customFormat="1" ht="12" hidden="1" customHeight="1">
      <c r="A14472" s="286"/>
    </row>
    <row r="14473" spans="1:1" s="287" customFormat="1" ht="12" hidden="1" customHeight="1">
      <c r="A14473" s="286"/>
    </row>
    <row r="14474" spans="1:1" s="287" customFormat="1" ht="12" hidden="1" customHeight="1">
      <c r="A14474" s="286"/>
    </row>
    <row r="14475" spans="1:1" s="287" customFormat="1" ht="12" hidden="1" customHeight="1">
      <c r="A14475" s="286"/>
    </row>
    <row r="14476" spans="1:1" s="287" customFormat="1" ht="12" hidden="1" customHeight="1">
      <c r="A14476" s="286"/>
    </row>
    <row r="14477" spans="1:1" s="287" customFormat="1" ht="12" hidden="1" customHeight="1">
      <c r="A14477" s="286"/>
    </row>
    <row r="14478" spans="1:1" s="287" customFormat="1" ht="12" hidden="1" customHeight="1">
      <c r="A14478" s="286"/>
    </row>
    <row r="14479" spans="1:1" s="287" customFormat="1" ht="12" hidden="1" customHeight="1">
      <c r="A14479" s="286"/>
    </row>
    <row r="14480" spans="1:1" s="287" customFormat="1" ht="12" hidden="1" customHeight="1">
      <c r="A14480" s="286"/>
    </row>
    <row r="14481" spans="1:1" s="287" customFormat="1" ht="12" hidden="1" customHeight="1">
      <c r="A14481" s="286"/>
    </row>
    <row r="14482" spans="1:1" s="287" customFormat="1" ht="12" hidden="1" customHeight="1">
      <c r="A14482" s="286"/>
    </row>
    <row r="14483" spans="1:1" s="287" customFormat="1" ht="12" hidden="1" customHeight="1">
      <c r="A14483" s="286"/>
    </row>
    <row r="14484" spans="1:1" s="287" customFormat="1" ht="12" hidden="1" customHeight="1">
      <c r="A14484" s="286"/>
    </row>
    <row r="14485" spans="1:1" s="287" customFormat="1" ht="12" hidden="1" customHeight="1">
      <c r="A14485" s="286"/>
    </row>
    <row r="14486" spans="1:1" s="287" customFormat="1" ht="12" hidden="1" customHeight="1">
      <c r="A14486" s="286"/>
    </row>
    <row r="14487" spans="1:1" s="287" customFormat="1" ht="12" hidden="1" customHeight="1">
      <c r="A14487" s="286"/>
    </row>
    <row r="14488" spans="1:1" s="287" customFormat="1" ht="12" hidden="1" customHeight="1">
      <c r="A14488" s="286"/>
    </row>
    <row r="14489" spans="1:1" s="287" customFormat="1" ht="12" hidden="1" customHeight="1">
      <c r="A14489" s="286"/>
    </row>
    <row r="14490" spans="1:1" s="287" customFormat="1" ht="12" hidden="1" customHeight="1">
      <c r="A14490" s="286"/>
    </row>
    <row r="14491" spans="1:1" s="287" customFormat="1" ht="12" hidden="1" customHeight="1">
      <c r="A14491" s="286"/>
    </row>
    <row r="14492" spans="1:1" s="287" customFormat="1" ht="12" hidden="1" customHeight="1">
      <c r="A14492" s="286"/>
    </row>
    <row r="14493" spans="1:1" s="287" customFormat="1" ht="12" hidden="1" customHeight="1">
      <c r="A14493" s="286"/>
    </row>
    <row r="14494" spans="1:1" s="287" customFormat="1" ht="12" hidden="1" customHeight="1">
      <c r="A14494" s="286"/>
    </row>
    <row r="14495" spans="1:1" s="287" customFormat="1" ht="12" hidden="1" customHeight="1">
      <c r="A14495" s="286"/>
    </row>
    <row r="14496" spans="1:1" s="287" customFormat="1" ht="12" hidden="1" customHeight="1">
      <c r="A14496" s="286"/>
    </row>
    <row r="14497" spans="1:1" s="287" customFormat="1" ht="12" hidden="1" customHeight="1">
      <c r="A14497" s="286"/>
    </row>
    <row r="14498" spans="1:1" s="287" customFormat="1" ht="12" hidden="1" customHeight="1">
      <c r="A14498" s="286"/>
    </row>
    <row r="14499" spans="1:1" s="287" customFormat="1" ht="12" hidden="1" customHeight="1">
      <c r="A14499" s="286"/>
    </row>
    <row r="14500" spans="1:1" s="287" customFormat="1" ht="12" hidden="1" customHeight="1">
      <c r="A14500" s="286"/>
    </row>
    <row r="14501" spans="1:1" s="287" customFormat="1" ht="12" hidden="1" customHeight="1">
      <c r="A14501" s="286"/>
    </row>
    <row r="14502" spans="1:1" s="287" customFormat="1" ht="12" hidden="1" customHeight="1">
      <c r="A14502" s="286"/>
    </row>
    <row r="14503" spans="1:1" s="287" customFormat="1" ht="12" hidden="1" customHeight="1">
      <c r="A14503" s="286"/>
    </row>
    <row r="14504" spans="1:1" s="287" customFormat="1" ht="12" hidden="1" customHeight="1">
      <c r="A14504" s="286"/>
    </row>
    <row r="14505" spans="1:1" s="287" customFormat="1" ht="12" hidden="1" customHeight="1">
      <c r="A14505" s="286"/>
    </row>
    <row r="14506" spans="1:1" s="287" customFormat="1" ht="12" hidden="1" customHeight="1">
      <c r="A14506" s="286"/>
    </row>
    <row r="14507" spans="1:1" s="287" customFormat="1" ht="12" hidden="1" customHeight="1">
      <c r="A14507" s="286"/>
    </row>
    <row r="14508" spans="1:1" s="287" customFormat="1" ht="12" hidden="1" customHeight="1">
      <c r="A14508" s="286"/>
    </row>
    <row r="14509" spans="1:1" s="287" customFormat="1" ht="12" hidden="1" customHeight="1">
      <c r="A14509" s="286"/>
    </row>
    <row r="14510" spans="1:1" s="287" customFormat="1" ht="12" hidden="1" customHeight="1">
      <c r="A14510" s="286"/>
    </row>
    <row r="14511" spans="1:1" s="287" customFormat="1" ht="12" hidden="1" customHeight="1">
      <c r="A14511" s="286"/>
    </row>
    <row r="14512" spans="1:1" s="287" customFormat="1" ht="12" hidden="1" customHeight="1">
      <c r="A14512" s="286"/>
    </row>
    <row r="14513" spans="1:1" s="287" customFormat="1" ht="12" hidden="1" customHeight="1">
      <c r="A14513" s="286"/>
    </row>
    <row r="14514" spans="1:1" s="287" customFormat="1" ht="12" hidden="1" customHeight="1">
      <c r="A14514" s="286"/>
    </row>
    <row r="14515" spans="1:1" s="287" customFormat="1" ht="12" hidden="1" customHeight="1">
      <c r="A14515" s="286"/>
    </row>
    <row r="14516" spans="1:1" s="287" customFormat="1" ht="12" hidden="1" customHeight="1">
      <c r="A14516" s="286"/>
    </row>
    <row r="14517" spans="1:1" s="287" customFormat="1" ht="12" hidden="1" customHeight="1">
      <c r="A14517" s="286"/>
    </row>
    <row r="14518" spans="1:1" s="287" customFormat="1" ht="12" hidden="1" customHeight="1">
      <c r="A14518" s="286"/>
    </row>
    <row r="14519" spans="1:1" s="287" customFormat="1" ht="12" hidden="1" customHeight="1">
      <c r="A14519" s="286"/>
    </row>
    <row r="14520" spans="1:1" s="287" customFormat="1" ht="12" hidden="1" customHeight="1">
      <c r="A14520" s="286"/>
    </row>
    <row r="14521" spans="1:1" s="287" customFormat="1" ht="12" hidden="1" customHeight="1">
      <c r="A14521" s="286"/>
    </row>
    <row r="14522" spans="1:1" s="287" customFormat="1" ht="12" hidden="1" customHeight="1">
      <c r="A14522" s="286"/>
    </row>
    <row r="14523" spans="1:1" s="287" customFormat="1" ht="12" hidden="1" customHeight="1">
      <c r="A14523" s="286"/>
    </row>
    <row r="14524" spans="1:1" s="287" customFormat="1" ht="12" hidden="1" customHeight="1">
      <c r="A14524" s="286"/>
    </row>
    <row r="14525" spans="1:1" s="287" customFormat="1" ht="12" hidden="1" customHeight="1">
      <c r="A14525" s="286"/>
    </row>
    <row r="14526" spans="1:1" s="287" customFormat="1" ht="12" hidden="1" customHeight="1">
      <c r="A14526" s="286"/>
    </row>
    <row r="14527" spans="1:1" s="287" customFormat="1" ht="12" hidden="1" customHeight="1">
      <c r="A14527" s="286"/>
    </row>
    <row r="14528" spans="1:1" s="287" customFormat="1" ht="12" hidden="1" customHeight="1">
      <c r="A14528" s="286"/>
    </row>
    <row r="14529" spans="1:1" s="287" customFormat="1" ht="12" hidden="1" customHeight="1">
      <c r="A14529" s="286"/>
    </row>
    <row r="14530" spans="1:1" s="287" customFormat="1" ht="12" hidden="1" customHeight="1">
      <c r="A14530" s="286"/>
    </row>
    <row r="14531" spans="1:1" s="287" customFormat="1" ht="12" hidden="1" customHeight="1">
      <c r="A14531" s="286"/>
    </row>
    <row r="14532" spans="1:1" s="287" customFormat="1" ht="12" hidden="1" customHeight="1">
      <c r="A14532" s="286"/>
    </row>
    <row r="14533" spans="1:1" s="287" customFormat="1" ht="12" hidden="1" customHeight="1">
      <c r="A14533" s="286"/>
    </row>
    <row r="14534" spans="1:1" s="287" customFormat="1" ht="12" hidden="1" customHeight="1">
      <c r="A14534" s="286"/>
    </row>
    <row r="14535" spans="1:1" s="287" customFormat="1" ht="12" hidden="1" customHeight="1">
      <c r="A14535" s="286"/>
    </row>
    <row r="14536" spans="1:1" s="287" customFormat="1" ht="12" hidden="1" customHeight="1">
      <c r="A14536" s="286"/>
    </row>
    <row r="14537" spans="1:1" s="287" customFormat="1" ht="12" hidden="1" customHeight="1">
      <c r="A14537" s="286"/>
    </row>
    <row r="14538" spans="1:1" s="287" customFormat="1" ht="12" hidden="1" customHeight="1">
      <c r="A14538" s="286"/>
    </row>
    <row r="14539" spans="1:1" s="287" customFormat="1" ht="12" hidden="1" customHeight="1">
      <c r="A14539" s="286"/>
    </row>
    <row r="14540" spans="1:1" s="287" customFormat="1" ht="12" hidden="1" customHeight="1">
      <c r="A14540" s="286"/>
    </row>
    <row r="14541" spans="1:1" s="287" customFormat="1" ht="12" hidden="1" customHeight="1">
      <c r="A14541" s="286"/>
    </row>
    <row r="14542" spans="1:1" s="287" customFormat="1" ht="12" hidden="1" customHeight="1">
      <c r="A14542" s="286"/>
    </row>
    <row r="14543" spans="1:1" s="287" customFormat="1" ht="12" hidden="1" customHeight="1">
      <c r="A14543" s="286"/>
    </row>
    <row r="14544" spans="1:1" s="287" customFormat="1" ht="12" hidden="1" customHeight="1">
      <c r="A14544" s="286"/>
    </row>
    <row r="14545" spans="1:1" s="287" customFormat="1" ht="12" hidden="1" customHeight="1">
      <c r="A14545" s="286"/>
    </row>
    <row r="14546" spans="1:1" s="287" customFormat="1" ht="12" hidden="1" customHeight="1">
      <c r="A14546" s="286"/>
    </row>
    <row r="14547" spans="1:1" s="287" customFormat="1" ht="12" hidden="1" customHeight="1">
      <c r="A14547" s="286"/>
    </row>
    <row r="14548" spans="1:1" s="287" customFormat="1" ht="12" hidden="1" customHeight="1">
      <c r="A14548" s="286"/>
    </row>
    <row r="14549" spans="1:1" s="287" customFormat="1" ht="12" hidden="1" customHeight="1">
      <c r="A14549" s="286"/>
    </row>
    <row r="14550" spans="1:1" s="287" customFormat="1" ht="12" hidden="1" customHeight="1">
      <c r="A14550" s="286"/>
    </row>
    <row r="14551" spans="1:1" s="287" customFormat="1" ht="12" hidden="1" customHeight="1">
      <c r="A14551" s="286"/>
    </row>
    <row r="14552" spans="1:1" s="287" customFormat="1" ht="12" hidden="1" customHeight="1">
      <c r="A14552" s="286"/>
    </row>
    <row r="14553" spans="1:1" s="287" customFormat="1" ht="12" hidden="1" customHeight="1">
      <c r="A14553" s="286"/>
    </row>
    <row r="14554" spans="1:1" s="287" customFormat="1" ht="12" hidden="1" customHeight="1">
      <c r="A14554" s="286"/>
    </row>
    <row r="14555" spans="1:1" s="287" customFormat="1" ht="12" hidden="1" customHeight="1">
      <c r="A14555" s="286"/>
    </row>
    <row r="14556" spans="1:1" s="287" customFormat="1" ht="12" hidden="1" customHeight="1">
      <c r="A14556" s="286"/>
    </row>
    <row r="14557" spans="1:1" s="287" customFormat="1" ht="12" hidden="1" customHeight="1">
      <c r="A14557" s="286"/>
    </row>
    <row r="14558" spans="1:1" s="287" customFormat="1" ht="12" hidden="1" customHeight="1">
      <c r="A14558" s="286"/>
    </row>
    <row r="14559" spans="1:1" s="287" customFormat="1" ht="12" hidden="1" customHeight="1">
      <c r="A14559" s="286"/>
    </row>
    <row r="14560" spans="1:1" s="287" customFormat="1" ht="12" hidden="1" customHeight="1">
      <c r="A14560" s="286"/>
    </row>
    <row r="14561" spans="1:1" s="287" customFormat="1" ht="12" hidden="1" customHeight="1">
      <c r="A14561" s="286"/>
    </row>
    <row r="14562" spans="1:1" s="287" customFormat="1" ht="12" hidden="1" customHeight="1">
      <c r="A14562" s="286"/>
    </row>
    <row r="14563" spans="1:1" s="287" customFormat="1" ht="12" hidden="1" customHeight="1">
      <c r="A14563" s="286"/>
    </row>
    <row r="14564" spans="1:1" s="287" customFormat="1" ht="12" hidden="1" customHeight="1">
      <c r="A14564" s="286"/>
    </row>
    <row r="14565" spans="1:1" s="287" customFormat="1" ht="12" hidden="1" customHeight="1">
      <c r="A14565" s="286"/>
    </row>
    <row r="14566" spans="1:1" s="287" customFormat="1" ht="12" hidden="1" customHeight="1">
      <c r="A14566" s="286"/>
    </row>
    <row r="14567" spans="1:1" s="287" customFormat="1" ht="12" hidden="1" customHeight="1">
      <c r="A14567" s="286"/>
    </row>
    <row r="14568" spans="1:1" s="287" customFormat="1" ht="12" hidden="1" customHeight="1">
      <c r="A14568" s="286"/>
    </row>
    <row r="14569" spans="1:1" s="287" customFormat="1" ht="12" hidden="1" customHeight="1">
      <c r="A14569" s="286"/>
    </row>
    <row r="14570" spans="1:1" s="287" customFormat="1" ht="12" hidden="1" customHeight="1">
      <c r="A14570" s="286"/>
    </row>
    <row r="14571" spans="1:1" s="287" customFormat="1" ht="12" hidden="1" customHeight="1">
      <c r="A14571" s="286"/>
    </row>
    <row r="14572" spans="1:1" s="287" customFormat="1" ht="12" hidden="1" customHeight="1">
      <c r="A14572" s="286"/>
    </row>
    <row r="14573" spans="1:1" s="287" customFormat="1" ht="12" hidden="1" customHeight="1">
      <c r="A14573" s="286"/>
    </row>
    <row r="14574" spans="1:1" s="287" customFormat="1" ht="12" hidden="1" customHeight="1">
      <c r="A14574" s="286"/>
    </row>
    <row r="14575" spans="1:1" s="287" customFormat="1" ht="12" hidden="1" customHeight="1">
      <c r="A14575" s="286"/>
    </row>
    <row r="14576" spans="1:1" s="287" customFormat="1" ht="12" hidden="1" customHeight="1">
      <c r="A14576" s="286"/>
    </row>
    <row r="14577" spans="1:1" s="287" customFormat="1" ht="12" hidden="1" customHeight="1">
      <c r="A14577" s="286"/>
    </row>
    <row r="14578" spans="1:1" s="287" customFormat="1" ht="12" hidden="1" customHeight="1">
      <c r="A14578" s="286"/>
    </row>
    <row r="14579" spans="1:1" s="287" customFormat="1" ht="12" hidden="1" customHeight="1">
      <c r="A14579" s="286"/>
    </row>
    <row r="14580" spans="1:1" s="287" customFormat="1" ht="12" hidden="1" customHeight="1">
      <c r="A14580" s="286"/>
    </row>
    <row r="14581" spans="1:1" s="287" customFormat="1" ht="12" hidden="1" customHeight="1">
      <c r="A14581" s="286"/>
    </row>
    <row r="14582" spans="1:1" s="287" customFormat="1" ht="12" hidden="1" customHeight="1">
      <c r="A14582" s="286"/>
    </row>
    <row r="14583" spans="1:1" s="287" customFormat="1" ht="12" hidden="1" customHeight="1">
      <c r="A14583" s="286"/>
    </row>
    <row r="14584" spans="1:1" s="287" customFormat="1" ht="12" hidden="1" customHeight="1">
      <c r="A14584" s="286"/>
    </row>
    <row r="14585" spans="1:1" s="287" customFormat="1" ht="12" hidden="1" customHeight="1">
      <c r="A14585" s="286"/>
    </row>
    <row r="14586" spans="1:1" s="287" customFormat="1" ht="12" hidden="1" customHeight="1">
      <c r="A14586" s="286"/>
    </row>
    <row r="14587" spans="1:1" s="287" customFormat="1" ht="12" hidden="1" customHeight="1">
      <c r="A14587" s="286"/>
    </row>
    <row r="14588" spans="1:1" s="287" customFormat="1" ht="12" hidden="1" customHeight="1">
      <c r="A14588" s="286"/>
    </row>
    <row r="14589" spans="1:1" s="287" customFormat="1" ht="12" hidden="1" customHeight="1">
      <c r="A14589" s="286"/>
    </row>
    <row r="14590" spans="1:1" s="287" customFormat="1" ht="12" hidden="1" customHeight="1">
      <c r="A14590" s="286"/>
    </row>
    <row r="14591" spans="1:1" s="287" customFormat="1" ht="12" hidden="1" customHeight="1">
      <c r="A14591" s="286"/>
    </row>
    <row r="14592" spans="1:1" s="287" customFormat="1" ht="12" hidden="1" customHeight="1">
      <c r="A14592" s="286"/>
    </row>
    <row r="14593" spans="1:1" s="287" customFormat="1" ht="12" hidden="1" customHeight="1">
      <c r="A14593" s="286"/>
    </row>
    <row r="14594" spans="1:1" s="287" customFormat="1" ht="12" hidden="1" customHeight="1">
      <c r="A14594" s="286"/>
    </row>
    <row r="14595" spans="1:1" s="287" customFormat="1" ht="12" hidden="1" customHeight="1">
      <c r="A14595" s="286"/>
    </row>
    <row r="14596" spans="1:1" s="287" customFormat="1" ht="12" hidden="1" customHeight="1">
      <c r="A14596" s="286"/>
    </row>
    <row r="14597" spans="1:1" s="287" customFormat="1" ht="12" hidden="1" customHeight="1">
      <c r="A14597" s="286"/>
    </row>
    <row r="14598" spans="1:1" s="287" customFormat="1" ht="12" hidden="1" customHeight="1">
      <c r="A14598" s="286"/>
    </row>
    <row r="14599" spans="1:1" s="287" customFormat="1" ht="12" hidden="1" customHeight="1">
      <c r="A14599" s="286"/>
    </row>
    <row r="14600" spans="1:1" s="287" customFormat="1" ht="12" hidden="1" customHeight="1">
      <c r="A14600" s="286"/>
    </row>
    <row r="14601" spans="1:1" s="287" customFormat="1" ht="12" hidden="1" customHeight="1">
      <c r="A14601" s="286"/>
    </row>
    <row r="14602" spans="1:1" s="287" customFormat="1" ht="12" hidden="1" customHeight="1">
      <c r="A14602" s="286"/>
    </row>
    <row r="14603" spans="1:1" s="287" customFormat="1" ht="12" hidden="1" customHeight="1">
      <c r="A14603" s="286"/>
    </row>
    <row r="14604" spans="1:1" s="287" customFormat="1" ht="12" hidden="1" customHeight="1">
      <c r="A14604" s="286"/>
    </row>
    <row r="14605" spans="1:1" s="287" customFormat="1" ht="12" hidden="1" customHeight="1">
      <c r="A14605" s="286"/>
    </row>
    <row r="14606" spans="1:1" s="287" customFormat="1" ht="12" hidden="1" customHeight="1">
      <c r="A14606" s="286"/>
    </row>
    <row r="14607" spans="1:1" s="287" customFormat="1" ht="12" hidden="1" customHeight="1">
      <c r="A14607" s="286"/>
    </row>
    <row r="14608" spans="1:1" s="287" customFormat="1" ht="12" hidden="1" customHeight="1">
      <c r="A14608" s="286"/>
    </row>
    <row r="14609" spans="1:1" s="287" customFormat="1" ht="12" hidden="1" customHeight="1">
      <c r="A14609" s="286"/>
    </row>
    <row r="14610" spans="1:1" s="287" customFormat="1" ht="12" hidden="1" customHeight="1">
      <c r="A14610" s="286"/>
    </row>
    <row r="14611" spans="1:1" s="287" customFormat="1" ht="12" hidden="1" customHeight="1">
      <c r="A14611" s="286"/>
    </row>
    <row r="14612" spans="1:1" s="287" customFormat="1" ht="12" hidden="1" customHeight="1">
      <c r="A14612" s="286"/>
    </row>
    <row r="14613" spans="1:1" s="287" customFormat="1" ht="12" hidden="1" customHeight="1">
      <c r="A14613" s="286"/>
    </row>
    <row r="14614" spans="1:1" s="287" customFormat="1" ht="12" hidden="1" customHeight="1">
      <c r="A14614" s="286"/>
    </row>
    <row r="14615" spans="1:1" s="287" customFormat="1" ht="12" hidden="1" customHeight="1">
      <c r="A14615" s="286"/>
    </row>
    <row r="14616" spans="1:1" s="287" customFormat="1" ht="12" hidden="1" customHeight="1">
      <c r="A14616" s="286"/>
    </row>
    <row r="14617" spans="1:1" s="287" customFormat="1" ht="12" hidden="1" customHeight="1">
      <c r="A14617" s="286"/>
    </row>
    <row r="14618" spans="1:1" s="287" customFormat="1" ht="12" hidden="1" customHeight="1">
      <c r="A14618" s="286"/>
    </row>
    <row r="14619" spans="1:1" s="287" customFormat="1" ht="12" hidden="1" customHeight="1">
      <c r="A14619" s="286"/>
    </row>
    <row r="14620" spans="1:1" s="287" customFormat="1" ht="12" hidden="1" customHeight="1">
      <c r="A14620" s="286"/>
    </row>
    <row r="14621" spans="1:1" s="287" customFormat="1" ht="12" hidden="1" customHeight="1">
      <c r="A14621" s="286"/>
    </row>
    <row r="14622" spans="1:1" s="287" customFormat="1" ht="12" hidden="1" customHeight="1">
      <c r="A14622" s="286"/>
    </row>
    <row r="14623" spans="1:1" s="287" customFormat="1" ht="12" hidden="1" customHeight="1">
      <c r="A14623" s="286"/>
    </row>
    <row r="14624" spans="1:1" s="287" customFormat="1" ht="12" hidden="1" customHeight="1">
      <c r="A14624" s="286"/>
    </row>
    <row r="14625" spans="1:1" s="287" customFormat="1" ht="12" hidden="1" customHeight="1">
      <c r="A14625" s="286"/>
    </row>
    <row r="14626" spans="1:1" s="287" customFormat="1" ht="12" hidden="1" customHeight="1">
      <c r="A14626" s="286"/>
    </row>
    <row r="14627" spans="1:1" s="287" customFormat="1" ht="12" hidden="1" customHeight="1">
      <c r="A14627" s="286"/>
    </row>
    <row r="14628" spans="1:1" s="287" customFormat="1" ht="12" hidden="1" customHeight="1">
      <c r="A14628" s="286"/>
    </row>
    <row r="14629" spans="1:1" s="287" customFormat="1" ht="12" hidden="1" customHeight="1">
      <c r="A14629" s="286"/>
    </row>
    <row r="14630" spans="1:1" s="287" customFormat="1" ht="12" hidden="1" customHeight="1">
      <c r="A14630" s="286"/>
    </row>
    <row r="14631" spans="1:1" s="287" customFormat="1" ht="12" hidden="1" customHeight="1">
      <c r="A14631" s="286"/>
    </row>
    <row r="14632" spans="1:1" s="287" customFormat="1" ht="12" hidden="1" customHeight="1">
      <c r="A14632" s="286"/>
    </row>
    <row r="14633" spans="1:1" s="287" customFormat="1" ht="12" hidden="1" customHeight="1">
      <c r="A14633" s="286"/>
    </row>
    <row r="14634" spans="1:1" s="287" customFormat="1" ht="12" hidden="1" customHeight="1">
      <c r="A14634" s="286"/>
    </row>
    <row r="14635" spans="1:1" s="287" customFormat="1" ht="12" hidden="1" customHeight="1">
      <c r="A14635" s="286"/>
    </row>
    <row r="14636" spans="1:1" s="287" customFormat="1" ht="12" hidden="1" customHeight="1">
      <c r="A14636" s="286"/>
    </row>
    <row r="14637" spans="1:1" s="287" customFormat="1" ht="12" hidden="1" customHeight="1">
      <c r="A14637" s="286"/>
    </row>
    <row r="14638" spans="1:1" s="287" customFormat="1" ht="12" hidden="1" customHeight="1">
      <c r="A14638" s="286"/>
    </row>
    <row r="14639" spans="1:1" s="287" customFormat="1" ht="12" hidden="1" customHeight="1">
      <c r="A14639" s="286"/>
    </row>
    <row r="14640" spans="1:1" s="287" customFormat="1" ht="12" hidden="1" customHeight="1">
      <c r="A14640" s="286"/>
    </row>
    <row r="14641" spans="1:1" s="287" customFormat="1" ht="12" hidden="1" customHeight="1">
      <c r="A14641" s="286"/>
    </row>
    <row r="14642" spans="1:1" s="287" customFormat="1" ht="12" hidden="1" customHeight="1">
      <c r="A14642" s="286"/>
    </row>
    <row r="14643" spans="1:1" s="287" customFormat="1" ht="12" hidden="1" customHeight="1">
      <c r="A14643" s="286"/>
    </row>
    <row r="14644" spans="1:1" s="287" customFormat="1" ht="12" hidden="1" customHeight="1">
      <c r="A14644" s="286"/>
    </row>
    <row r="14645" spans="1:1" s="287" customFormat="1" ht="12" hidden="1" customHeight="1">
      <c r="A14645" s="286"/>
    </row>
    <row r="14646" spans="1:1" s="287" customFormat="1" ht="12" hidden="1" customHeight="1">
      <c r="A14646" s="286"/>
    </row>
    <row r="14647" spans="1:1" s="287" customFormat="1" ht="12" hidden="1" customHeight="1">
      <c r="A14647" s="286"/>
    </row>
    <row r="14648" spans="1:1" s="287" customFormat="1" ht="12" hidden="1" customHeight="1">
      <c r="A14648" s="286"/>
    </row>
    <row r="14649" spans="1:1" s="287" customFormat="1" ht="12" hidden="1" customHeight="1">
      <c r="A14649" s="286"/>
    </row>
    <row r="14650" spans="1:1" s="287" customFormat="1" ht="12" hidden="1" customHeight="1">
      <c r="A14650" s="286"/>
    </row>
    <row r="14651" spans="1:1" s="287" customFormat="1" ht="12" hidden="1" customHeight="1">
      <c r="A14651" s="286"/>
    </row>
    <row r="14652" spans="1:1" s="287" customFormat="1" ht="12" hidden="1" customHeight="1">
      <c r="A14652" s="286"/>
    </row>
    <row r="14653" spans="1:1" s="287" customFormat="1" ht="12" hidden="1" customHeight="1">
      <c r="A14653" s="286"/>
    </row>
    <row r="14654" spans="1:1" s="287" customFormat="1" ht="12" hidden="1" customHeight="1">
      <c r="A14654" s="286"/>
    </row>
    <row r="14655" spans="1:1" s="287" customFormat="1" ht="12" hidden="1" customHeight="1">
      <c r="A14655" s="286"/>
    </row>
    <row r="14656" spans="1:1" s="287" customFormat="1" ht="12" hidden="1" customHeight="1">
      <c r="A14656" s="286"/>
    </row>
    <row r="14657" spans="1:1" s="287" customFormat="1" ht="12" hidden="1" customHeight="1">
      <c r="A14657" s="286"/>
    </row>
    <row r="14658" spans="1:1" s="287" customFormat="1" ht="12" hidden="1" customHeight="1">
      <c r="A14658" s="286"/>
    </row>
    <row r="14659" spans="1:1" s="287" customFormat="1" ht="12" hidden="1" customHeight="1">
      <c r="A14659" s="286"/>
    </row>
    <row r="14660" spans="1:1" s="287" customFormat="1" ht="12" hidden="1" customHeight="1">
      <c r="A14660" s="286"/>
    </row>
    <row r="14661" spans="1:1" s="287" customFormat="1" ht="12" hidden="1" customHeight="1">
      <c r="A14661" s="286"/>
    </row>
    <row r="14662" spans="1:1" s="287" customFormat="1" ht="12" hidden="1" customHeight="1">
      <c r="A14662" s="286"/>
    </row>
    <row r="14663" spans="1:1" s="287" customFormat="1" ht="12" hidden="1" customHeight="1">
      <c r="A14663" s="286"/>
    </row>
    <row r="14664" spans="1:1" s="287" customFormat="1" ht="12" hidden="1" customHeight="1">
      <c r="A14664" s="286"/>
    </row>
    <row r="14665" spans="1:1" s="287" customFormat="1" ht="12" hidden="1" customHeight="1">
      <c r="A14665" s="286"/>
    </row>
    <row r="14666" spans="1:1" s="287" customFormat="1" ht="12" hidden="1" customHeight="1">
      <c r="A14666" s="286"/>
    </row>
    <row r="14667" spans="1:1" s="287" customFormat="1" ht="12" hidden="1" customHeight="1">
      <c r="A14667" s="286"/>
    </row>
    <row r="14668" spans="1:1" s="287" customFormat="1" ht="12" hidden="1" customHeight="1">
      <c r="A14668" s="286"/>
    </row>
    <row r="14669" spans="1:1" s="287" customFormat="1" ht="12" hidden="1" customHeight="1">
      <c r="A14669" s="286"/>
    </row>
    <row r="14670" spans="1:1" s="287" customFormat="1" ht="12" hidden="1" customHeight="1">
      <c r="A14670" s="286"/>
    </row>
    <row r="14671" spans="1:1" s="287" customFormat="1" ht="12" hidden="1" customHeight="1">
      <c r="A14671" s="286"/>
    </row>
    <row r="14672" spans="1:1" s="287" customFormat="1" ht="12" hidden="1" customHeight="1">
      <c r="A14672" s="286"/>
    </row>
    <row r="14673" spans="1:1" s="287" customFormat="1" ht="12" hidden="1" customHeight="1">
      <c r="A14673" s="286"/>
    </row>
    <row r="14674" spans="1:1" s="287" customFormat="1" ht="12" hidden="1" customHeight="1">
      <c r="A14674" s="286"/>
    </row>
    <row r="14675" spans="1:1" s="287" customFormat="1" ht="12" hidden="1" customHeight="1">
      <c r="A14675" s="286"/>
    </row>
    <row r="14676" spans="1:1" s="287" customFormat="1" ht="12" hidden="1" customHeight="1">
      <c r="A14676" s="286"/>
    </row>
    <row r="14677" spans="1:1" s="287" customFormat="1" ht="12" hidden="1" customHeight="1">
      <c r="A14677" s="286"/>
    </row>
    <row r="14678" spans="1:1" s="287" customFormat="1" ht="12" hidden="1" customHeight="1">
      <c r="A14678" s="286"/>
    </row>
    <row r="14679" spans="1:1" s="287" customFormat="1" ht="12" hidden="1" customHeight="1">
      <c r="A14679" s="286"/>
    </row>
    <row r="14680" spans="1:1" s="287" customFormat="1" ht="12" hidden="1" customHeight="1">
      <c r="A14680" s="286"/>
    </row>
    <row r="14681" spans="1:1" s="287" customFormat="1" ht="12" hidden="1" customHeight="1">
      <c r="A14681" s="286"/>
    </row>
    <row r="14682" spans="1:1" s="287" customFormat="1" ht="12" hidden="1" customHeight="1">
      <c r="A14682" s="286"/>
    </row>
    <row r="14683" spans="1:1" s="287" customFormat="1" ht="12" hidden="1" customHeight="1">
      <c r="A14683" s="286"/>
    </row>
    <row r="14684" spans="1:1" s="287" customFormat="1" ht="12" hidden="1" customHeight="1">
      <c r="A14684" s="286"/>
    </row>
    <row r="14685" spans="1:1" s="287" customFormat="1" ht="12" hidden="1" customHeight="1">
      <c r="A14685" s="286"/>
    </row>
    <row r="14686" spans="1:1" s="287" customFormat="1" ht="12" hidden="1" customHeight="1">
      <c r="A14686" s="286"/>
    </row>
    <row r="14687" spans="1:1" s="287" customFormat="1" ht="12" hidden="1" customHeight="1">
      <c r="A14687" s="286"/>
    </row>
    <row r="14688" spans="1:1" s="287" customFormat="1" ht="12" hidden="1" customHeight="1">
      <c r="A14688" s="286"/>
    </row>
    <row r="14689" spans="1:1" s="287" customFormat="1" ht="12" hidden="1" customHeight="1">
      <c r="A14689" s="286"/>
    </row>
    <row r="14690" spans="1:1" s="287" customFormat="1" ht="12" hidden="1" customHeight="1">
      <c r="A14690" s="286"/>
    </row>
    <row r="14691" spans="1:1" s="287" customFormat="1" ht="12" hidden="1" customHeight="1">
      <c r="A14691" s="286"/>
    </row>
    <row r="14692" spans="1:1" s="287" customFormat="1" ht="12" hidden="1" customHeight="1">
      <c r="A14692" s="286"/>
    </row>
    <row r="14693" spans="1:1" s="287" customFormat="1" ht="12" hidden="1" customHeight="1">
      <c r="A14693" s="286"/>
    </row>
    <row r="14694" spans="1:1" s="287" customFormat="1" ht="12" hidden="1" customHeight="1">
      <c r="A14694" s="286"/>
    </row>
    <row r="14695" spans="1:1" s="287" customFormat="1" ht="12" hidden="1" customHeight="1">
      <c r="A14695" s="286"/>
    </row>
    <row r="14696" spans="1:1" s="287" customFormat="1" ht="12" hidden="1" customHeight="1">
      <c r="A14696" s="286"/>
    </row>
    <row r="14697" spans="1:1" s="287" customFormat="1" ht="12" hidden="1" customHeight="1">
      <c r="A14697" s="286"/>
    </row>
    <row r="14698" spans="1:1" s="287" customFormat="1" ht="12" hidden="1" customHeight="1">
      <c r="A14698" s="286"/>
    </row>
    <row r="14699" spans="1:1" s="287" customFormat="1" ht="12" hidden="1" customHeight="1">
      <c r="A14699" s="286"/>
    </row>
    <row r="14700" spans="1:1" s="287" customFormat="1" ht="12" hidden="1" customHeight="1">
      <c r="A14700" s="286"/>
    </row>
    <row r="14701" spans="1:1" s="287" customFormat="1" ht="12" hidden="1" customHeight="1">
      <c r="A14701" s="286"/>
    </row>
    <row r="14702" spans="1:1" s="287" customFormat="1" ht="12" hidden="1" customHeight="1">
      <c r="A14702" s="286"/>
    </row>
    <row r="14703" spans="1:1" s="287" customFormat="1" ht="12" hidden="1" customHeight="1">
      <c r="A14703" s="286"/>
    </row>
    <row r="14704" spans="1:1" s="287" customFormat="1" ht="12" hidden="1" customHeight="1">
      <c r="A14704" s="286"/>
    </row>
    <row r="14705" spans="1:1" s="287" customFormat="1" ht="12" hidden="1" customHeight="1">
      <c r="A14705" s="286"/>
    </row>
    <row r="14706" spans="1:1" s="287" customFormat="1" ht="12" hidden="1" customHeight="1">
      <c r="A14706" s="286"/>
    </row>
    <row r="14707" spans="1:1" s="287" customFormat="1" ht="12" hidden="1" customHeight="1">
      <c r="A14707" s="286"/>
    </row>
    <row r="14708" spans="1:1" s="287" customFormat="1" ht="12" hidden="1" customHeight="1">
      <c r="A14708" s="286"/>
    </row>
    <row r="14709" spans="1:1" s="287" customFormat="1" ht="12" hidden="1" customHeight="1">
      <c r="A14709" s="286"/>
    </row>
    <row r="14710" spans="1:1" s="287" customFormat="1" ht="12" hidden="1" customHeight="1">
      <c r="A14710" s="286"/>
    </row>
    <row r="14711" spans="1:1" s="287" customFormat="1" ht="12" hidden="1" customHeight="1">
      <c r="A14711" s="286"/>
    </row>
    <row r="14712" spans="1:1" s="287" customFormat="1" ht="12" hidden="1" customHeight="1">
      <c r="A14712" s="286"/>
    </row>
    <row r="14713" spans="1:1" s="287" customFormat="1" ht="12" hidden="1" customHeight="1">
      <c r="A14713" s="286"/>
    </row>
    <row r="14714" spans="1:1" s="287" customFormat="1" ht="12" hidden="1" customHeight="1">
      <c r="A14714" s="286"/>
    </row>
    <row r="14715" spans="1:1" s="287" customFormat="1" ht="12" hidden="1" customHeight="1">
      <c r="A14715" s="286"/>
    </row>
    <row r="14716" spans="1:1" s="287" customFormat="1" ht="12" hidden="1" customHeight="1">
      <c r="A14716" s="286"/>
    </row>
    <row r="14717" spans="1:1" s="287" customFormat="1" ht="12" hidden="1" customHeight="1">
      <c r="A14717" s="286"/>
    </row>
    <row r="14718" spans="1:1" s="287" customFormat="1" ht="12" hidden="1" customHeight="1">
      <c r="A14718" s="286"/>
    </row>
    <row r="14719" spans="1:1" s="287" customFormat="1" ht="12" hidden="1" customHeight="1">
      <c r="A14719" s="286"/>
    </row>
    <row r="14720" spans="1:1" s="287" customFormat="1" ht="12" hidden="1" customHeight="1">
      <c r="A14720" s="286"/>
    </row>
    <row r="14721" spans="1:1" s="287" customFormat="1" ht="12" hidden="1" customHeight="1">
      <c r="A14721" s="286"/>
    </row>
    <row r="14722" spans="1:1" s="287" customFormat="1" ht="12" hidden="1" customHeight="1">
      <c r="A14722" s="286"/>
    </row>
    <row r="14723" spans="1:1" s="287" customFormat="1" ht="12" hidden="1" customHeight="1">
      <c r="A14723" s="286"/>
    </row>
    <row r="14724" spans="1:1" s="287" customFormat="1" ht="12" hidden="1" customHeight="1">
      <c r="A14724" s="286"/>
    </row>
    <row r="14725" spans="1:1" s="287" customFormat="1" ht="12" hidden="1" customHeight="1">
      <c r="A14725" s="286"/>
    </row>
    <row r="14726" spans="1:1" s="287" customFormat="1" ht="12" hidden="1" customHeight="1">
      <c r="A14726" s="286"/>
    </row>
    <row r="14727" spans="1:1" s="287" customFormat="1" ht="12" hidden="1" customHeight="1">
      <c r="A14727" s="286"/>
    </row>
    <row r="14728" spans="1:1" s="287" customFormat="1" ht="12" hidden="1" customHeight="1">
      <c r="A14728" s="286"/>
    </row>
    <row r="14729" spans="1:1" s="287" customFormat="1" ht="12" hidden="1" customHeight="1">
      <c r="A14729" s="286"/>
    </row>
    <row r="14730" spans="1:1" s="287" customFormat="1" ht="12" hidden="1" customHeight="1">
      <c r="A14730" s="286"/>
    </row>
    <row r="14731" spans="1:1" s="287" customFormat="1" ht="12" hidden="1" customHeight="1">
      <c r="A14731" s="286"/>
    </row>
    <row r="14732" spans="1:1" s="287" customFormat="1" ht="12" hidden="1" customHeight="1">
      <c r="A14732" s="286"/>
    </row>
    <row r="14733" spans="1:1" s="287" customFormat="1" ht="12" hidden="1" customHeight="1">
      <c r="A14733" s="286"/>
    </row>
    <row r="14734" spans="1:1" s="287" customFormat="1" ht="12" hidden="1" customHeight="1">
      <c r="A14734" s="286"/>
    </row>
    <row r="14735" spans="1:1" s="287" customFormat="1" ht="12" hidden="1" customHeight="1">
      <c r="A14735" s="286"/>
    </row>
    <row r="14736" spans="1:1" s="287" customFormat="1" ht="12" hidden="1" customHeight="1">
      <c r="A14736" s="286"/>
    </row>
    <row r="14737" spans="1:1" s="287" customFormat="1" ht="12" hidden="1" customHeight="1">
      <c r="A14737" s="286"/>
    </row>
    <row r="14738" spans="1:1" s="287" customFormat="1" ht="12" hidden="1" customHeight="1">
      <c r="A14738" s="286"/>
    </row>
    <row r="14739" spans="1:1" s="287" customFormat="1" ht="12" hidden="1" customHeight="1">
      <c r="A14739" s="286"/>
    </row>
    <row r="14740" spans="1:1" s="287" customFormat="1" ht="12" hidden="1" customHeight="1">
      <c r="A14740" s="286"/>
    </row>
    <row r="14741" spans="1:1" s="287" customFormat="1" ht="12" hidden="1" customHeight="1">
      <c r="A14741" s="286"/>
    </row>
    <row r="14742" spans="1:1" s="287" customFormat="1" ht="12" hidden="1" customHeight="1">
      <c r="A14742" s="286"/>
    </row>
    <row r="14743" spans="1:1" s="287" customFormat="1" ht="12" hidden="1" customHeight="1">
      <c r="A14743" s="286"/>
    </row>
    <row r="14744" spans="1:1" s="287" customFormat="1" ht="12" hidden="1" customHeight="1">
      <c r="A14744" s="286"/>
    </row>
    <row r="14745" spans="1:1" s="287" customFormat="1" ht="12" hidden="1" customHeight="1">
      <c r="A14745" s="286"/>
    </row>
    <row r="14746" spans="1:1" s="287" customFormat="1" ht="12" hidden="1" customHeight="1">
      <c r="A14746" s="286"/>
    </row>
    <row r="14747" spans="1:1" s="287" customFormat="1" ht="12" hidden="1" customHeight="1">
      <c r="A14747" s="286"/>
    </row>
    <row r="14748" spans="1:1" s="287" customFormat="1" ht="12" hidden="1" customHeight="1">
      <c r="A14748" s="286"/>
    </row>
    <row r="14749" spans="1:1" s="287" customFormat="1" ht="12" hidden="1" customHeight="1">
      <c r="A14749" s="286"/>
    </row>
    <row r="14750" spans="1:1" s="287" customFormat="1" ht="12" hidden="1" customHeight="1">
      <c r="A14750" s="286"/>
    </row>
    <row r="14751" spans="1:1" s="287" customFormat="1" ht="12" hidden="1" customHeight="1">
      <c r="A14751" s="286"/>
    </row>
    <row r="14752" spans="1:1" s="287" customFormat="1" ht="12" hidden="1" customHeight="1">
      <c r="A14752" s="286"/>
    </row>
    <row r="14753" spans="1:1" s="287" customFormat="1" ht="12" hidden="1" customHeight="1">
      <c r="A14753" s="286"/>
    </row>
    <row r="14754" spans="1:1" s="287" customFormat="1" ht="12" hidden="1" customHeight="1">
      <c r="A14754" s="286"/>
    </row>
    <row r="14755" spans="1:1" s="287" customFormat="1" ht="12" hidden="1" customHeight="1">
      <c r="A14755" s="286"/>
    </row>
    <row r="14756" spans="1:1" s="287" customFormat="1" ht="12" hidden="1" customHeight="1">
      <c r="A14756" s="286"/>
    </row>
    <row r="14757" spans="1:1" s="287" customFormat="1" ht="12" hidden="1" customHeight="1">
      <c r="A14757" s="286"/>
    </row>
    <row r="14758" spans="1:1" s="287" customFormat="1" ht="12" hidden="1" customHeight="1">
      <c r="A14758" s="286"/>
    </row>
    <row r="14759" spans="1:1" s="287" customFormat="1" ht="12" hidden="1" customHeight="1">
      <c r="A14759" s="286"/>
    </row>
    <row r="14760" spans="1:1" s="287" customFormat="1" ht="12" hidden="1" customHeight="1">
      <c r="A14760" s="286"/>
    </row>
    <row r="14761" spans="1:1" s="287" customFormat="1" ht="12" hidden="1" customHeight="1">
      <c r="A14761" s="286"/>
    </row>
    <row r="14762" spans="1:1" s="287" customFormat="1" ht="12" hidden="1" customHeight="1">
      <c r="A14762" s="286"/>
    </row>
    <row r="14763" spans="1:1" s="287" customFormat="1" ht="12" hidden="1" customHeight="1">
      <c r="A14763" s="286"/>
    </row>
    <row r="14764" spans="1:1" s="287" customFormat="1" ht="12" hidden="1" customHeight="1">
      <c r="A14764" s="286"/>
    </row>
    <row r="14765" spans="1:1" s="287" customFormat="1" ht="12" hidden="1" customHeight="1">
      <c r="A14765" s="286"/>
    </row>
    <row r="14766" spans="1:1" s="287" customFormat="1" ht="12" hidden="1" customHeight="1">
      <c r="A14766" s="286"/>
    </row>
    <row r="14767" spans="1:1" s="287" customFormat="1" ht="12" hidden="1" customHeight="1">
      <c r="A14767" s="286"/>
    </row>
    <row r="14768" spans="1:1" s="287" customFormat="1" ht="12" hidden="1" customHeight="1">
      <c r="A14768" s="286"/>
    </row>
    <row r="14769" spans="1:1" s="287" customFormat="1" ht="12" hidden="1" customHeight="1">
      <c r="A14769" s="286"/>
    </row>
    <row r="14770" spans="1:1" s="287" customFormat="1" ht="12" hidden="1" customHeight="1">
      <c r="A14770" s="286"/>
    </row>
    <row r="14771" spans="1:1" s="287" customFormat="1" ht="12" hidden="1" customHeight="1">
      <c r="A14771" s="286"/>
    </row>
    <row r="14772" spans="1:1" s="287" customFormat="1" ht="12" hidden="1" customHeight="1">
      <c r="A14772" s="286"/>
    </row>
    <row r="14773" spans="1:1" s="287" customFormat="1" ht="12" hidden="1" customHeight="1">
      <c r="A14773" s="286"/>
    </row>
    <row r="14774" spans="1:1" s="287" customFormat="1" ht="12" hidden="1" customHeight="1">
      <c r="A14774" s="286"/>
    </row>
    <row r="14775" spans="1:1" s="287" customFormat="1" ht="12" hidden="1" customHeight="1">
      <c r="A14775" s="286"/>
    </row>
    <row r="14776" spans="1:1" s="287" customFormat="1" ht="12" hidden="1" customHeight="1">
      <c r="A14776" s="286"/>
    </row>
    <row r="14777" spans="1:1" s="287" customFormat="1" ht="12" hidden="1" customHeight="1">
      <c r="A14777" s="286"/>
    </row>
    <row r="14778" spans="1:1" s="287" customFormat="1" ht="12" hidden="1" customHeight="1">
      <c r="A14778" s="286"/>
    </row>
    <row r="14779" spans="1:1" s="287" customFormat="1" ht="12" hidden="1" customHeight="1">
      <c r="A14779" s="286"/>
    </row>
    <row r="14780" spans="1:1" s="287" customFormat="1" ht="12" hidden="1" customHeight="1">
      <c r="A14780" s="286"/>
    </row>
    <row r="14781" spans="1:1" s="287" customFormat="1" ht="12" hidden="1" customHeight="1">
      <c r="A14781" s="286"/>
    </row>
    <row r="14782" spans="1:1" s="287" customFormat="1" ht="12" hidden="1" customHeight="1">
      <c r="A14782" s="286"/>
    </row>
    <row r="14783" spans="1:1" s="287" customFormat="1" ht="12" hidden="1" customHeight="1">
      <c r="A14783" s="286"/>
    </row>
    <row r="14784" spans="1:1" s="287" customFormat="1" ht="12" hidden="1" customHeight="1">
      <c r="A14784" s="286"/>
    </row>
    <row r="14785" spans="1:1" s="287" customFormat="1" ht="12" hidden="1" customHeight="1">
      <c r="A14785" s="286"/>
    </row>
    <row r="14786" spans="1:1" s="287" customFormat="1" ht="12" hidden="1" customHeight="1">
      <c r="A14786" s="286"/>
    </row>
    <row r="14787" spans="1:1" s="287" customFormat="1" ht="12" hidden="1" customHeight="1">
      <c r="A14787" s="286"/>
    </row>
    <row r="14788" spans="1:1" s="287" customFormat="1" ht="12" hidden="1" customHeight="1">
      <c r="A14788" s="286"/>
    </row>
    <row r="14789" spans="1:1" s="287" customFormat="1" ht="12" hidden="1" customHeight="1">
      <c r="A14789" s="286"/>
    </row>
    <row r="14790" spans="1:1" s="287" customFormat="1" ht="12" hidden="1" customHeight="1">
      <c r="A14790" s="286"/>
    </row>
    <row r="14791" spans="1:1" s="287" customFormat="1" ht="12" hidden="1" customHeight="1">
      <c r="A14791" s="286"/>
    </row>
    <row r="14792" spans="1:1" s="287" customFormat="1" ht="12" hidden="1" customHeight="1">
      <c r="A14792" s="286"/>
    </row>
    <row r="14793" spans="1:1" s="287" customFormat="1" ht="12" hidden="1" customHeight="1">
      <c r="A14793" s="286"/>
    </row>
    <row r="14794" spans="1:1" s="287" customFormat="1" ht="12" hidden="1" customHeight="1">
      <c r="A14794" s="286"/>
    </row>
    <row r="14795" spans="1:1" s="287" customFormat="1" ht="12" hidden="1" customHeight="1">
      <c r="A14795" s="286"/>
    </row>
    <row r="14796" spans="1:1" s="287" customFormat="1" ht="12" hidden="1" customHeight="1">
      <c r="A14796" s="286"/>
    </row>
    <row r="14797" spans="1:1" s="287" customFormat="1" ht="12" hidden="1" customHeight="1">
      <c r="A14797" s="286"/>
    </row>
    <row r="14798" spans="1:1" s="287" customFormat="1" ht="12" hidden="1" customHeight="1">
      <c r="A14798" s="286"/>
    </row>
    <row r="14799" spans="1:1" s="287" customFormat="1" ht="12" hidden="1" customHeight="1">
      <c r="A14799" s="286"/>
    </row>
    <row r="14800" spans="1:1" s="287" customFormat="1" ht="12" hidden="1" customHeight="1">
      <c r="A14800" s="286"/>
    </row>
    <row r="14801" spans="1:1" s="287" customFormat="1" ht="12" hidden="1" customHeight="1">
      <c r="A14801" s="286"/>
    </row>
    <row r="14802" spans="1:1" s="287" customFormat="1" ht="12" hidden="1" customHeight="1">
      <c r="A14802" s="286"/>
    </row>
    <row r="14803" spans="1:1" s="287" customFormat="1" ht="12" hidden="1" customHeight="1">
      <c r="A14803" s="286"/>
    </row>
    <row r="14804" spans="1:1" s="287" customFormat="1" ht="12" hidden="1" customHeight="1">
      <c r="A14804" s="286"/>
    </row>
    <row r="14805" spans="1:1" s="287" customFormat="1" ht="12" hidden="1" customHeight="1">
      <c r="A14805" s="286"/>
    </row>
    <row r="14806" spans="1:1" s="287" customFormat="1" ht="12" hidden="1" customHeight="1">
      <c r="A14806" s="286"/>
    </row>
    <row r="14807" spans="1:1" s="287" customFormat="1" ht="12" hidden="1" customHeight="1">
      <c r="A14807" s="286"/>
    </row>
    <row r="14808" spans="1:1" s="287" customFormat="1" ht="12" hidden="1" customHeight="1">
      <c r="A14808" s="286"/>
    </row>
    <row r="14809" spans="1:1" s="287" customFormat="1" ht="12" hidden="1" customHeight="1">
      <c r="A14809" s="286"/>
    </row>
    <row r="14810" spans="1:1" s="287" customFormat="1" ht="12" hidden="1" customHeight="1">
      <c r="A14810" s="286"/>
    </row>
    <row r="14811" spans="1:1" s="287" customFormat="1" ht="12" hidden="1" customHeight="1">
      <c r="A14811" s="286"/>
    </row>
    <row r="14812" spans="1:1" s="287" customFormat="1" ht="12" hidden="1" customHeight="1">
      <c r="A14812" s="286"/>
    </row>
    <row r="14813" spans="1:1" s="287" customFormat="1" ht="12" hidden="1" customHeight="1">
      <c r="A14813" s="286"/>
    </row>
    <row r="14814" spans="1:1" s="287" customFormat="1" ht="12" hidden="1" customHeight="1">
      <c r="A14814" s="286"/>
    </row>
    <row r="14815" spans="1:1" s="287" customFormat="1" ht="12" hidden="1" customHeight="1">
      <c r="A14815" s="286"/>
    </row>
    <row r="14816" spans="1:1" s="287" customFormat="1" ht="12" hidden="1" customHeight="1">
      <c r="A14816" s="286"/>
    </row>
    <row r="14817" spans="1:1" s="287" customFormat="1" ht="12" hidden="1" customHeight="1">
      <c r="A14817" s="286"/>
    </row>
    <row r="14818" spans="1:1" s="287" customFormat="1" ht="12" hidden="1" customHeight="1">
      <c r="A14818" s="286"/>
    </row>
    <row r="14819" spans="1:1" s="287" customFormat="1" ht="12" hidden="1" customHeight="1">
      <c r="A14819" s="286"/>
    </row>
    <row r="14820" spans="1:1" s="287" customFormat="1" ht="12" hidden="1" customHeight="1">
      <c r="A14820" s="286"/>
    </row>
    <row r="14821" spans="1:1" s="287" customFormat="1" ht="12" hidden="1" customHeight="1">
      <c r="A14821" s="286"/>
    </row>
    <row r="14822" spans="1:1" s="287" customFormat="1" ht="12" hidden="1" customHeight="1">
      <c r="A14822" s="286"/>
    </row>
    <row r="14823" spans="1:1" s="287" customFormat="1" ht="12" hidden="1" customHeight="1">
      <c r="A14823" s="286"/>
    </row>
    <row r="14824" spans="1:1" s="287" customFormat="1" ht="12" hidden="1" customHeight="1">
      <c r="A14824" s="286"/>
    </row>
    <row r="14825" spans="1:1" s="287" customFormat="1" ht="12" hidden="1" customHeight="1">
      <c r="A14825" s="286"/>
    </row>
    <row r="14826" spans="1:1" s="287" customFormat="1" ht="12" hidden="1" customHeight="1">
      <c r="A14826" s="286"/>
    </row>
    <row r="14827" spans="1:1" s="287" customFormat="1" ht="12" hidden="1" customHeight="1">
      <c r="A14827" s="286"/>
    </row>
    <row r="14828" spans="1:1" s="287" customFormat="1" ht="12" hidden="1" customHeight="1">
      <c r="A14828" s="286"/>
    </row>
    <row r="14829" spans="1:1" s="287" customFormat="1" ht="12" hidden="1" customHeight="1">
      <c r="A14829" s="286"/>
    </row>
    <row r="14830" spans="1:1" s="287" customFormat="1" ht="12" hidden="1" customHeight="1">
      <c r="A14830" s="286"/>
    </row>
    <row r="14831" spans="1:1" s="287" customFormat="1" ht="12" hidden="1" customHeight="1">
      <c r="A14831" s="286"/>
    </row>
    <row r="14832" spans="1:1" s="287" customFormat="1" ht="12" hidden="1" customHeight="1">
      <c r="A14832" s="286"/>
    </row>
    <row r="14833" spans="1:1" s="287" customFormat="1" ht="12" hidden="1" customHeight="1">
      <c r="A14833" s="286"/>
    </row>
    <row r="14834" spans="1:1" s="287" customFormat="1" ht="12" hidden="1" customHeight="1">
      <c r="A14834" s="286"/>
    </row>
    <row r="14835" spans="1:1" s="287" customFormat="1" ht="12" hidden="1" customHeight="1">
      <c r="A14835" s="286"/>
    </row>
    <row r="14836" spans="1:1" s="287" customFormat="1" ht="12" hidden="1" customHeight="1">
      <c r="A14836" s="286"/>
    </row>
    <row r="14837" spans="1:1" s="287" customFormat="1" ht="12" hidden="1" customHeight="1">
      <c r="A14837" s="286"/>
    </row>
    <row r="14838" spans="1:1" s="287" customFormat="1" ht="12" hidden="1" customHeight="1">
      <c r="A14838" s="286"/>
    </row>
    <row r="14839" spans="1:1" s="287" customFormat="1" ht="12" hidden="1" customHeight="1">
      <c r="A14839" s="286"/>
    </row>
    <row r="14840" spans="1:1" s="287" customFormat="1" ht="12" hidden="1" customHeight="1">
      <c r="A14840" s="286"/>
    </row>
    <row r="14841" spans="1:1" s="287" customFormat="1" ht="12" hidden="1" customHeight="1">
      <c r="A14841" s="286"/>
    </row>
    <row r="14842" spans="1:1" s="287" customFormat="1" ht="12" hidden="1" customHeight="1">
      <c r="A14842" s="286"/>
    </row>
    <row r="14843" spans="1:1" s="287" customFormat="1" ht="12" hidden="1" customHeight="1">
      <c r="A14843" s="286"/>
    </row>
    <row r="14844" spans="1:1" s="287" customFormat="1" ht="12" hidden="1" customHeight="1">
      <c r="A14844" s="286"/>
    </row>
    <row r="14845" spans="1:1" s="287" customFormat="1" ht="12" hidden="1" customHeight="1">
      <c r="A14845" s="286"/>
    </row>
    <row r="14846" spans="1:1" s="287" customFormat="1" ht="12" hidden="1" customHeight="1">
      <c r="A14846" s="286"/>
    </row>
    <row r="14847" spans="1:1" s="287" customFormat="1" ht="12" hidden="1" customHeight="1">
      <c r="A14847" s="286"/>
    </row>
    <row r="14848" spans="1:1" s="287" customFormat="1" ht="12" hidden="1" customHeight="1">
      <c r="A14848" s="286"/>
    </row>
    <row r="14849" spans="1:1" s="287" customFormat="1" ht="12" hidden="1" customHeight="1">
      <c r="A14849" s="286"/>
    </row>
    <row r="14850" spans="1:1" s="287" customFormat="1" ht="12" hidden="1" customHeight="1">
      <c r="A14850" s="286"/>
    </row>
    <row r="14851" spans="1:1" s="287" customFormat="1" ht="12" hidden="1" customHeight="1">
      <c r="A14851" s="286"/>
    </row>
    <row r="14852" spans="1:1" s="287" customFormat="1" ht="12" hidden="1" customHeight="1">
      <c r="A14852" s="286"/>
    </row>
    <row r="14853" spans="1:1" s="287" customFormat="1" ht="12" hidden="1" customHeight="1">
      <c r="A14853" s="286"/>
    </row>
    <row r="14854" spans="1:1" s="287" customFormat="1" ht="12" hidden="1" customHeight="1">
      <c r="A14854" s="286"/>
    </row>
    <row r="14855" spans="1:1" s="287" customFormat="1" ht="12" hidden="1" customHeight="1">
      <c r="A14855" s="286"/>
    </row>
    <row r="14856" spans="1:1" s="287" customFormat="1" ht="12" hidden="1" customHeight="1">
      <c r="A14856" s="286"/>
    </row>
    <row r="14857" spans="1:1" s="287" customFormat="1" ht="12" hidden="1" customHeight="1">
      <c r="A14857" s="286"/>
    </row>
    <row r="14858" spans="1:1" s="287" customFormat="1" ht="12" hidden="1" customHeight="1">
      <c r="A14858" s="286"/>
    </row>
    <row r="14859" spans="1:1" s="287" customFormat="1" ht="12" hidden="1" customHeight="1">
      <c r="A14859" s="286"/>
    </row>
    <row r="14860" spans="1:1" s="287" customFormat="1" ht="12" hidden="1" customHeight="1">
      <c r="A14860" s="286"/>
    </row>
    <row r="14861" spans="1:1" s="287" customFormat="1" ht="12" hidden="1" customHeight="1">
      <c r="A14861" s="286"/>
    </row>
    <row r="14862" spans="1:1" s="287" customFormat="1" ht="12" hidden="1" customHeight="1">
      <c r="A14862" s="286"/>
    </row>
    <row r="14863" spans="1:1" s="287" customFormat="1" ht="12" hidden="1" customHeight="1">
      <c r="A14863" s="286"/>
    </row>
    <row r="14864" spans="1:1" s="287" customFormat="1" ht="12" hidden="1" customHeight="1">
      <c r="A14864" s="286"/>
    </row>
    <row r="14865" spans="1:1" s="287" customFormat="1" ht="12" hidden="1" customHeight="1">
      <c r="A14865" s="286"/>
    </row>
    <row r="14866" spans="1:1" s="287" customFormat="1" ht="12" hidden="1" customHeight="1">
      <c r="A14866" s="286"/>
    </row>
    <row r="14867" spans="1:1" s="287" customFormat="1" ht="12" hidden="1" customHeight="1">
      <c r="A14867" s="286"/>
    </row>
    <row r="14868" spans="1:1" s="287" customFormat="1" ht="12" hidden="1" customHeight="1">
      <c r="A14868" s="286"/>
    </row>
    <row r="14869" spans="1:1" s="287" customFormat="1" ht="12" hidden="1" customHeight="1">
      <c r="A14869" s="286"/>
    </row>
    <row r="14870" spans="1:1" s="287" customFormat="1" ht="12" hidden="1" customHeight="1">
      <c r="A14870" s="286"/>
    </row>
    <row r="14871" spans="1:1" s="287" customFormat="1" ht="12" hidden="1" customHeight="1">
      <c r="A14871" s="286"/>
    </row>
    <row r="14872" spans="1:1" s="287" customFormat="1" ht="12" hidden="1" customHeight="1">
      <c r="A14872" s="286"/>
    </row>
    <row r="14873" spans="1:1" s="287" customFormat="1" ht="12" hidden="1" customHeight="1">
      <c r="A14873" s="286"/>
    </row>
    <row r="14874" spans="1:1" s="287" customFormat="1" ht="12" hidden="1" customHeight="1">
      <c r="A14874" s="286"/>
    </row>
    <row r="14875" spans="1:1" s="287" customFormat="1" ht="12" hidden="1" customHeight="1">
      <c r="A14875" s="286"/>
    </row>
    <row r="14876" spans="1:1" s="287" customFormat="1" ht="12" hidden="1" customHeight="1">
      <c r="A14876" s="286"/>
    </row>
    <row r="14877" spans="1:1" s="287" customFormat="1" ht="12" hidden="1" customHeight="1">
      <c r="A14877" s="286"/>
    </row>
    <row r="14878" spans="1:1" s="287" customFormat="1" ht="12" hidden="1" customHeight="1">
      <c r="A14878" s="286"/>
    </row>
    <row r="14879" spans="1:1" s="287" customFormat="1" ht="12" hidden="1" customHeight="1">
      <c r="A14879" s="286"/>
    </row>
    <row r="14880" spans="1:1" s="287" customFormat="1" ht="12" hidden="1" customHeight="1">
      <c r="A14880" s="286"/>
    </row>
    <row r="14881" spans="1:1" s="287" customFormat="1" ht="12" hidden="1" customHeight="1">
      <c r="A14881" s="286"/>
    </row>
    <row r="14882" spans="1:1" s="287" customFormat="1" ht="12" hidden="1" customHeight="1">
      <c r="A14882" s="286"/>
    </row>
    <row r="14883" spans="1:1" s="287" customFormat="1" ht="12" hidden="1" customHeight="1">
      <c r="A14883" s="286"/>
    </row>
    <row r="14884" spans="1:1" s="287" customFormat="1" ht="12" hidden="1" customHeight="1">
      <c r="A14884" s="286"/>
    </row>
    <row r="14885" spans="1:1" s="287" customFormat="1" ht="12" hidden="1" customHeight="1">
      <c r="A14885" s="286"/>
    </row>
    <row r="14886" spans="1:1" s="287" customFormat="1" ht="12" hidden="1" customHeight="1">
      <c r="A14886" s="286"/>
    </row>
    <row r="14887" spans="1:1" s="287" customFormat="1" ht="12" hidden="1" customHeight="1">
      <c r="A14887" s="286"/>
    </row>
    <row r="14888" spans="1:1" s="287" customFormat="1" ht="12" hidden="1" customHeight="1">
      <c r="A14888" s="286"/>
    </row>
    <row r="14889" spans="1:1" s="287" customFormat="1" ht="12" hidden="1" customHeight="1">
      <c r="A14889" s="286"/>
    </row>
    <row r="14890" spans="1:1" s="287" customFormat="1" ht="12" hidden="1" customHeight="1">
      <c r="A14890" s="286"/>
    </row>
    <row r="14891" spans="1:1" s="287" customFormat="1" ht="12" hidden="1" customHeight="1">
      <c r="A14891" s="286"/>
    </row>
    <row r="14892" spans="1:1" s="287" customFormat="1" ht="12" hidden="1" customHeight="1">
      <c r="A14892" s="286"/>
    </row>
    <row r="14893" spans="1:1" s="287" customFormat="1" ht="12" hidden="1" customHeight="1">
      <c r="A14893" s="286"/>
    </row>
    <row r="14894" spans="1:1" s="287" customFormat="1" ht="12" hidden="1" customHeight="1">
      <c r="A14894" s="286"/>
    </row>
    <row r="14895" spans="1:1" s="287" customFormat="1" ht="12" hidden="1" customHeight="1">
      <c r="A14895" s="286"/>
    </row>
    <row r="14896" spans="1:1" s="287" customFormat="1" ht="12" hidden="1" customHeight="1">
      <c r="A14896" s="286"/>
    </row>
    <row r="14897" spans="1:1" s="287" customFormat="1" ht="12" hidden="1" customHeight="1">
      <c r="A14897" s="286"/>
    </row>
    <row r="14898" spans="1:1" s="287" customFormat="1" ht="12" hidden="1" customHeight="1">
      <c r="A14898" s="286"/>
    </row>
    <row r="14899" spans="1:1" s="287" customFormat="1" ht="12" hidden="1" customHeight="1">
      <c r="A14899" s="286"/>
    </row>
    <row r="14900" spans="1:1" s="287" customFormat="1" ht="12" hidden="1" customHeight="1">
      <c r="A14900" s="286"/>
    </row>
    <row r="14901" spans="1:1" s="287" customFormat="1" ht="12" hidden="1" customHeight="1">
      <c r="A14901" s="286"/>
    </row>
    <row r="14902" spans="1:1" s="287" customFormat="1" ht="12" hidden="1" customHeight="1">
      <c r="A14902" s="286"/>
    </row>
    <row r="14903" spans="1:1" s="287" customFormat="1" ht="12" hidden="1" customHeight="1">
      <c r="A14903" s="286"/>
    </row>
    <row r="14904" spans="1:1" s="287" customFormat="1" ht="12" hidden="1" customHeight="1">
      <c r="A14904" s="286"/>
    </row>
    <row r="14905" spans="1:1" s="287" customFormat="1" ht="12" hidden="1" customHeight="1">
      <c r="A14905" s="286"/>
    </row>
    <row r="14906" spans="1:1" s="287" customFormat="1" ht="12" hidden="1" customHeight="1">
      <c r="A14906" s="286"/>
    </row>
    <row r="14907" spans="1:1" s="287" customFormat="1" ht="12" hidden="1" customHeight="1">
      <c r="A14907" s="286"/>
    </row>
    <row r="14908" spans="1:1" s="287" customFormat="1" ht="12" hidden="1" customHeight="1">
      <c r="A14908" s="286"/>
    </row>
    <row r="14909" spans="1:1" s="287" customFormat="1" ht="12" hidden="1" customHeight="1">
      <c r="A14909" s="286"/>
    </row>
    <row r="14910" spans="1:1" s="287" customFormat="1" ht="12" hidden="1" customHeight="1">
      <c r="A14910" s="286"/>
    </row>
    <row r="14911" spans="1:1" s="287" customFormat="1" ht="12" hidden="1" customHeight="1">
      <c r="A14911" s="286"/>
    </row>
    <row r="14912" spans="1:1" s="287" customFormat="1" ht="12" hidden="1" customHeight="1">
      <c r="A14912" s="286"/>
    </row>
    <row r="14913" spans="1:1" s="287" customFormat="1" ht="12" hidden="1" customHeight="1">
      <c r="A14913" s="286"/>
    </row>
    <row r="14914" spans="1:1" s="287" customFormat="1" ht="12" hidden="1" customHeight="1">
      <c r="A14914" s="286"/>
    </row>
    <row r="14915" spans="1:1" s="287" customFormat="1" ht="12" hidden="1" customHeight="1">
      <c r="A14915" s="286"/>
    </row>
    <row r="14916" spans="1:1" s="287" customFormat="1" ht="12" hidden="1" customHeight="1">
      <c r="A14916" s="286"/>
    </row>
    <row r="14917" spans="1:1" s="287" customFormat="1" ht="12" hidden="1" customHeight="1">
      <c r="A14917" s="286"/>
    </row>
    <row r="14918" spans="1:1" s="287" customFormat="1" ht="12" hidden="1" customHeight="1">
      <c r="A14918" s="286"/>
    </row>
    <row r="14919" spans="1:1" s="287" customFormat="1" ht="12" hidden="1" customHeight="1">
      <c r="A14919" s="286"/>
    </row>
    <row r="14920" spans="1:1" s="287" customFormat="1" ht="12" hidden="1" customHeight="1">
      <c r="A14920" s="286"/>
    </row>
    <row r="14921" spans="1:1" s="287" customFormat="1" ht="12" hidden="1" customHeight="1">
      <c r="A14921" s="286"/>
    </row>
    <row r="14922" spans="1:1" s="287" customFormat="1" ht="12" hidden="1" customHeight="1">
      <c r="A14922" s="286"/>
    </row>
    <row r="14923" spans="1:1" s="287" customFormat="1" ht="12" hidden="1" customHeight="1">
      <c r="A14923" s="286"/>
    </row>
    <row r="14924" spans="1:1" s="287" customFormat="1" ht="12" hidden="1" customHeight="1">
      <c r="A14924" s="286"/>
    </row>
    <row r="14925" spans="1:1" s="287" customFormat="1" ht="12" hidden="1" customHeight="1">
      <c r="A14925" s="286"/>
    </row>
    <row r="14926" spans="1:1" s="287" customFormat="1" ht="12" hidden="1" customHeight="1">
      <c r="A14926" s="286"/>
    </row>
    <row r="14927" spans="1:1" s="287" customFormat="1" ht="12" hidden="1" customHeight="1">
      <c r="A14927" s="286"/>
    </row>
    <row r="14928" spans="1:1" s="287" customFormat="1" ht="12" hidden="1" customHeight="1">
      <c r="A14928" s="286"/>
    </row>
    <row r="14929" spans="1:1" s="287" customFormat="1" ht="12" hidden="1" customHeight="1">
      <c r="A14929" s="286"/>
    </row>
    <row r="14930" spans="1:1" s="287" customFormat="1" ht="12" hidden="1" customHeight="1">
      <c r="A14930" s="286"/>
    </row>
    <row r="14931" spans="1:1" s="287" customFormat="1" ht="12" hidden="1" customHeight="1">
      <c r="A14931" s="286"/>
    </row>
    <row r="14932" spans="1:1" s="287" customFormat="1" ht="12" hidden="1" customHeight="1">
      <c r="A14932" s="286"/>
    </row>
    <row r="14933" spans="1:1" s="287" customFormat="1" ht="12" hidden="1" customHeight="1">
      <c r="A14933" s="286"/>
    </row>
    <row r="14934" spans="1:1" s="287" customFormat="1" ht="12" hidden="1" customHeight="1">
      <c r="A14934" s="286"/>
    </row>
    <row r="14935" spans="1:1" s="287" customFormat="1" ht="12" hidden="1" customHeight="1">
      <c r="A14935" s="286"/>
    </row>
    <row r="14936" spans="1:1" s="287" customFormat="1" ht="12" hidden="1" customHeight="1">
      <c r="A14936" s="286"/>
    </row>
    <row r="14937" spans="1:1" s="287" customFormat="1" ht="12" hidden="1" customHeight="1">
      <c r="A14937" s="286"/>
    </row>
    <row r="14938" spans="1:1" s="287" customFormat="1" ht="12" hidden="1" customHeight="1">
      <c r="A14938" s="286"/>
    </row>
    <row r="14939" spans="1:1" s="287" customFormat="1" ht="12" hidden="1" customHeight="1">
      <c r="A14939" s="286"/>
    </row>
    <row r="14940" spans="1:1" s="287" customFormat="1" ht="12" hidden="1" customHeight="1">
      <c r="A14940" s="286"/>
    </row>
    <row r="14941" spans="1:1" s="287" customFormat="1" ht="12" hidden="1" customHeight="1">
      <c r="A14941" s="286"/>
    </row>
    <row r="14942" spans="1:1" s="287" customFormat="1" ht="12" hidden="1" customHeight="1">
      <c r="A14942" s="286"/>
    </row>
    <row r="14943" spans="1:1" s="287" customFormat="1" ht="12" hidden="1" customHeight="1">
      <c r="A14943" s="286"/>
    </row>
    <row r="14944" spans="1:1" s="287" customFormat="1" ht="12" hidden="1" customHeight="1">
      <c r="A14944" s="286"/>
    </row>
    <row r="14945" spans="1:1" s="287" customFormat="1" ht="12" hidden="1" customHeight="1">
      <c r="A14945" s="286"/>
    </row>
    <row r="14946" spans="1:1" s="287" customFormat="1" ht="12" hidden="1" customHeight="1">
      <c r="A14946" s="286"/>
    </row>
    <row r="14947" spans="1:1" s="287" customFormat="1" ht="12" hidden="1" customHeight="1">
      <c r="A14947" s="286"/>
    </row>
    <row r="14948" spans="1:1" s="287" customFormat="1" ht="12" hidden="1" customHeight="1">
      <c r="A14948" s="286"/>
    </row>
    <row r="14949" spans="1:1" s="287" customFormat="1" ht="12" hidden="1" customHeight="1">
      <c r="A14949" s="286"/>
    </row>
    <row r="14950" spans="1:1" s="287" customFormat="1" ht="12" hidden="1" customHeight="1">
      <c r="A14950" s="286"/>
    </row>
    <row r="14951" spans="1:1" s="287" customFormat="1" ht="12" hidden="1" customHeight="1">
      <c r="A14951" s="286"/>
    </row>
    <row r="14952" spans="1:1" s="287" customFormat="1" ht="12" hidden="1" customHeight="1">
      <c r="A14952" s="286"/>
    </row>
    <row r="14953" spans="1:1" s="287" customFormat="1" ht="12" hidden="1" customHeight="1">
      <c r="A14953" s="286"/>
    </row>
    <row r="14954" spans="1:1" s="287" customFormat="1" ht="12" hidden="1" customHeight="1">
      <c r="A14954" s="286"/>
    </row>
    <row r="14955" spans="1:1" s="287" customFormat="1" ht="12" hidden="1" customHeight="1">
      <c r="A14955" s="286"/>
    </row>
    <row r="14956" spans="1:1" s="287" customFormat="1" ht="12" hidden="1" customHeight="1">
      <c r="A14956" s="286"/>
    </row>
    <row r="14957" spans="1:1" s="287" customFormat="1" ht="12" hidden="1" customHeight="1">
      <c r="A14957" s="286"/>
    </row>
    <row r="14958" spans="1:1" s="287" customFormat="1" ht="12" hidden="1" customHeight="1">
      <c r="A14958" s="286"/>
    </row>
    <row r="14959" spans="1:1" s="287" customFormat="1" ht="12" hidden="1" customHeight="1">
      <c r="A14959" s="286"/>
    </row>
    <row r="14960" spans="1:1" s="287" customFormat="1" ht="12" hidden="1" customHeight="1">
      <c r="A14960" s="286"/>
    </row>
    <row r="14961" spans="1:1" s="287" customFormat="1" ht="12" hidden="1" customHeight="1">
      <c r="A14961" s="286"/>
    </row>
    <row r="14962" spans="1:1" s="287" customFormat="1" ht="12" hidden="1" customHeight="1">
      <c r="A14962" s="286"/>
    </row>
    <row r="14963" spans="1:1" s="287" customFormat="1" ht="12" hidden="1" customHeight="1">
      <c r="A14963" s="286"/>
    </row>
    <row r="14964" spans="1:1" s="287" customFormat="1" ht="12" hidden="1" customHeight="1">
      <c r="A14964" s="286"/>
    </row>
    <row r="14965" spans="1:1" s="287" customFormat="1" ht="12" hidden="1" customHeight="1">
      <c r="A14965" s="286"/>
    </row>
    <row r="14966" spans="1:1" s="287" customFormat="1" ht="12" hidden="1" customHeight="1">
      <c r="A14966" s="286"/>
    </row>
    <row r="14967" spans="1:1" s="287" customFormat="1" ht="12" hidden="1" customHeight="1">
      <c r="A14967" s="286"/>
    </row>
    <row r="14968" spans="1:1" s="287" customFormat="1" ht="12" hidden="1" customHeight="1">
      <c r="A14968" s="286"/>
    </row>
    <row r="14969" spans="1:1" s="287" customFormat="1" ht="12" hidden="1" customHeight="1">
      <c r="A14969" s="286"/>
    </row>
    <row r="14970" spans="1:1" s="287" customFormat="1" ht="12" hidden="1" customHeight="1">
      <c r="A14970" s="286"/>
    </row>
    <row r="14971" spans="1:1" s="287" customFormat="1" ht="12" hidden="1" customHeight="1">
      <c r="A14971" s="286"/>
    </row>
    <row r="14972" spans="1:1" s="287" customFormat="1" ht="12" hidden="1" customHeight="1">
      <c r="A14972" s="286"/>
    </row>
    <row r="14973" spans="1:1" s="287" customFormat="1" ht="12" hidden="1" customHeight="1">
      <c r="A14973" s="286"/>
    </row>
    <row r="14974" spans="1:1" s="287" customFormat="1" ht="12" hidden="1" customHeight="1">
      <c r="A14974" s="286"/>
    </row>
    <row r="14975" spans="1:1" s="287" customFormat="1" ht="12" hidden="1" customHeight="1">
      <c r="A14975" s="286"/>
    </row>
    <row r="14976" spans="1:1" s="287" customFormat="1" ht="12" hidden="1" customHeight="1">
      <c r="A14976" s="286"/>
    </row>
    <row r="14977" spans="1:1" s="287" customFormat="1" ht="12" hidden="1" customHeight="1">
      <c r="A14977" s="286"/>
    </row>
    <row r="14978" spans="1:1" s="287" customFormat="1" ht="12" hidden="1" customHeight="1">
      <c r="A14978" s="286"/>
    </row>
    <row r="14979" spans="1:1" s="287" customFormat="1" ht="12" hidden="1" customHeight="1">
      <c r="A14979" s="286"/>
    </row>
    <row r="14980" spans="1:1" s="287" customFormat="1" ht="12" hidden="1" customHeight="1">
      <c r="A14980" s="286"/>
    </row>
    <row r="14981" spans="1:1" s="287" customFormat="1" ht="12" hidden="1" customHeight="1">
      <c r="A14981" s="286"/>
    </row>
    <row r="14982" spans="1:1" s="287" customFormat="1" ht="12" hidden="1" customHeight="1">
      <c r="A14982" s="286"/>
    </row>
    <row r="14983" spans="1:1" s="287" customFormat="1" ht="12" hidden="1" customHeight="1">
      <c r="A14983" s="286"/>
    </row>
    <row r="14984" spans="1:1" s="287" customFormat="1" ht="12" hidden="1" customHeight="1">
      <c r="A14984" s="286"/>
    </row>
    <row r="14985" spans="1:1" s="287" customFormat="1" ht="12" hidden="1" customHeight="1">
      <c r="A14985" s="286"/>
    </row>
    <row r="14986" spans="1:1" s="287" customFormat="1" ht="12" hidden="1" customHeight="1">
      <c r="A14986" s="286"/>
    </row>
    <row r="14987" spans="1:1" s="287" customFormat="1" ht="12" hidden="1" customHeight="1">
      <c r="A14987" s="286"/>
    </row>
    <row r="14988" spans="1:1" s="287" customFormat="1" ht="12" hidden="1" customHeight="1">
      <c r="A14988" s="286"/>
    </row>
    <row r="14989" spans="1:1" s="287" customFormat="1" ht="12" hidden="1" customHeight="1">
      <c r="A14989" s="286"/>
    </row>
    <row r="14990" spans="1:1" s="287" customFormat="1" ht="12" hidden="1" customHeight="1">
      <c r="A14990" s="286"/>
    </row>
    <row r="14991" spans="1:1" s="287" customFormat="1" ht="12" hidden="1" customHeight="1">
      <c r="A14991" s="286"/>
    </row>
    <row r="14992" spans="1:1" s="287" customFormat="1" ht="12" hidden="1" customHeight="1">
      <c r="A14992" s="286"/>
    </row>
    <row r="14993" spans="1:1" s="287" customFormat="1" ht="12" hidden="1" customHeight="1">
      <c r="A14993" s="286"/>
    </row>
    <row r="14994" spans="1:1" s="287" customFormat="1" ht="12" hidden="1" customHeight="1">
      <c r="A14994" s="286"/>
    </row>
    <row r="14995" spans="1:1" s="287" customFormat="1" ht="12" hidden="1" customHeight="1">
      <c r="A14995" s="286"/>
    </row>
    <row r="14996" spans="1:1" s="287" customFormat="1" ht="12" hidden="1" customHeight="1">
      <c r="A14996" s="286"/>
    </row>
    <row r="14997" spans="1:1" s="287" customFormat="1" ht="12" hidden="1" customHeight="1">
      <c r="A14997" s="286"/>
    </row>
    <row r="14998" spans="1:1" s="287" customFormat="1" ht="12" hidden="1" customHeight="1">
      <c r="A14998" s="286"/>
    </row>
    <row r="14999" spans="1:1" s="287" customFormat="1" ht="12" hidden="1" customHeight="1">
      <c r="A14999" s="286"/>
    </row>
    <row r="15000" spans="1:1" s="287" customFormat="1" ht="12" hidden="1" customHeight="1">
      <c r="A15000" s="286"/>
    </row>
    <row r="15001" spans="1:1" s="287" customFormat="1" ht="12" hidden="1" customHeight="1">
      <c r="A15001" s="286"/>
    </row>
    <row r="15002" spans="1:1" s="287" customFormat="1" ht="12" hidden="1" customHeight="1">
      <c r="A15002" s="286"/>
    </row>
    <row r="15003" spans="1:1" s="287" customFormat="1" ht="12" hidden="1" customHeight="1">
      <c r="A15003" s="286"/>
    </row>
    <row r="15004" spans="1:1" s="287" customFormat="1" ht="12" hidden="1" customHeight="1">
      <c r="A15004" s="286"/>
    </row>
    <row r="15005" spans="1:1" s="287" customFormat="1" ht="12" hidden="1" customHeight="1">
      <c r="A15005" s="286"/>
    </row>
    <row r="15006" spans="1:1" s="287" customFormat="1" ht="12" hidden="1" customHeight="1">
      <c r="A15006" s="286"/>
    </row>
    <row r="15007" spans="1:1" s="287" customFormat="1" ht="12" hidden="1" customHeight="1">
      <c r="A15007" s="286"/>
    </row>
    <row r="15008" spans="1:1" s="287" customFormat="1" ht="12" hidden="1" customHeight="1">
      <c r="A15008" s="286"/>
    </row>
    <row r="15009" spans="1:1" s="287" customFormat="1" ht="12" hidden="1" customHeight="1">
      <c r="A15009" s="286"/>
    </row>
    <row r="15010" spans="1:1" s="287" customFormat="1" ht="12" hidden="1" customHeight="1">
      <c r="A15010" s="286"/>
    </row>
    <row r="15011" spans="1:1" s="287" customFormat="1" ht="12" hidden="1" customHeight="1">
      <c r="A15011" s="286"/>
    </row>
    <row r="15012" spans="1:1" s="287" customFormat="1" ht="12" hidden="1" customHeight="1">
      <c r="A15012" s="286"/>
    </row>
    <row r="15013" spans="1:1" s="287" customFormat="1" ht="12" hidden="1" customHeight="1">
      <c r="A15013" s="286"/>
    </row>
    <row r="15014" spans="1:1" s="287" customFormat="1" ht="12" hidden="1" customHeight="1">
      <c r="A15014" s="286"/>
    </row>
    <row r="15015" spans="1:1" s="287" customFormat="1" ht="12" hidden="1" customHeight="1">
      <c r="A15015" s="286"/>
    </row>
    <row r="15016" spans="1:1" s="287" customFormat="1" ht="12" hidden="1" customHeight="1">
      <c r="A15016" s="286"/>
    </row>
    <row r="15017" spans="1:1" s="287" customFormat="1" ht="12" hidden="1" customHeight="1">
      <c r="A15017" s="286"/>
    </row>
    <row r="15018" spans="1:1" s="287" customFormat="1" ht="12" hidden="1" customHeight="1">
      <c r="A15018" s="286"/>
    </row>
    <row r="15019" spans="1:1" s="287" customFormat="1" ht="12" hidden="1" customHeight="1">
      <c r="A15019" s="286"/>
    </row>
    <row r="15020" spans="1:1" s="287" customFormat="1" ht="12" hidden="1" customHeight="1">
      <c r="A15020" s="286"/>
    </row>
    <row r="15021" spans="1:1" s="287" customFormat="1" ht="12" hidden="1" customHeight="1">
      <c r="A15021" s="286"/>
    </row>
    <row r="15022" spans="1:1" s="287" customFormat="1" ht="12" hidden="1" customHeight="1">
      <c r="A15022" s="286"/>
    </row>
    <row r="15023" spans="1:1" s="287" customFormat="1" ht="12" hidden="1" customHeight="1">
      <c r="A15023" s="286"/>
    </row>
    <row r="15024" spans="1:1" s="287" customFormat="1" ht="12" hidden="1" customHeight="1">
      <c r="A15024" s="286"/>
    </row>
    <row r="15025" spans="1:1" s="287" customFormat="1" ht="12" hidden="1" customHeight="1">
      <c r="A15025" s="286"/>
    </row>
    <row r="15026" spans="1:1" s="287" customFormat="1" ht="12" hidden="1" customHeight="1">
      <c r="A15026" s="286"/>
    </row>
    <row r="15027" spans="1:1" s="287" customFormat="1" ht="12" hidden="1" customHeight="1">
      <c r="A15027" s="286"/>
    </row>
    <row r="15028" spans="1:1" s="287" customFormat="1" ht="12" hidden="1" customHeight="1">
      <c r="A15028" s="286"/>
    </row>
    <row r="15029" spans="1:1" s="287" customFormat="1" ht="12" hidden="1" customHeight="1">
      <c r="A15029" s="286"/>
    </row>
    <row r="15030" spans="1:1" s="287" customFormat="1" ht="12" hidden="1" customHeight="1">
      <c r="A15030" s="286"/>
    </row>
    <row r="15031" spans="1:1" s="287" customFormat="1" ht="12" hidden="1" customHeight="1">
      <c r="A15031" s="286"/>
    </row>
    <row r="15032" spans="1:1" s="287" customFormat="1" ht="12" hidden="1" customHeight="1">
      <c r="A15032" s="286"/>
    </row>
    <row r="15033" spans="1:1" s="287" customFormat="1" ht="12" hidden="1" customHeight="1">
      <c r="A15033" s="286"/>
    </row>
    <row r="15034" spans="1:1" s="287" customFormat="1" ht="12" hidden="1" customHeight="1">
      <c r="A15034" s="286"/>
    </row>
    <row r="15035" spans="1:1" s="287" customFormat="1" ht="12" hidden="1" customHeight="1">
      <c r="A15035" s="286"/>
    </row>
    <row r="15036" spans="1:1" s="287" customFormat="1" ht="12" hidden="1" customHeight="1">
      <c r="A15036" s="286"/>
    </row>
    <row r="15037" spans="1:1" s="287" customFormat="1" ht="12" hidden="1" customHeight="1">
      <c r="A15037" s="286"/>
    </row>
    <row r="15038" spans="1:1" s="287" customFormat="1" ht="12" hidden="1" customHeight="1">
      <c r="A15038" s="286"/>
    </row>
    <row r="15039" spans="1:1" s="287" customFormat="1" ht="12" hidden="1" customHeight="1">
      <c r="A15039" s="286"/>
    </row>
    <row r="15040" spans="1:1" s="287" customFormat="1" ht="12" hidden="1" customHeight="1">
      <c r="A15040" s="286"/>
    </row>
    <row r="15041" spans="1:1" s="287" customFormat="1" ht="12" hidden="1" customHeight="1">
      <c r="A15041" s="286"/>
    </row>
    <row r="15042" spans="1:1" s="287" customFormat="1" ht="12" hidden="1" customHeight="1">
      <c r="A15042" s="286"/>
    </row>
    <row r="15043" spans="1:1" s="287" customFormat="1" ht="12" hidden="1" customHeight="1">
      <c r="A15043" s="286"/>
    </row>
    <row r="15044" spans="1:1" s="287" customFormat="1" ht="12" hidden="1" customHeight="1">
      <c r="A15044" s="286"/>
    </row>
    <row r="15045" spans="1:1" s="287" customFormat="1" ht="12" hidden="1" customHeight="1">
      <c r="A15045" s="286"/>
    </row>
    <row r="15046" spans="1:1" s="287" customFormat="1" ht="12" hidden="1" customHeight="1">
      <c r="A15046" s="286"/>
    </row>
    <row r="15047" spans="1:1" s="287" customFormat="1" ht="12" hidden="1" customHeight="1">
      <c r="A15047" s="286"/>
    </row>
    <row r="15048" spans="1:1" s="287" customFormat="1" ht="12" hidden="1" customHeight="1">
      <c r="A15048" s="286"/>
    </row>
    <row r="15049" spans="1:1" s="287" customFormat="1" ht="12" hidden="1" customHeight="1">
      <c r="A15049" s="286"/>
    </row>
    <row r="15050" spans="1:1" s="287" customFormat="1" ht="12" hidden="1" customHeight="1">
      <c r="A15050" s="286"/>
    </row>
    <row r="15051" spans="1:1" s="287" customFormat="1" ht="12" hidden="1" customHeight="1">
      <c r="A15051" s="286"/>
    </row>
    <row r="15052" spans="1:1" s="287" customFormat="1" ht="12" hidden="1" customHeight="1">
      <c r="A15052" s="286"/>
    </row>
    <row r="15053" spans="1:1" s="287" customFormat="1" ht="12" hidden="1" customHeight="1">
      <c r="A15053" s="286"/>
    </row>
    <row r="15054" spans="1:1" s="287" customFormat="1" ht="12" hidden="1" customHeight="1">
      <c r="A15054" s="286"/>
    </row>
    <row r="15055" spans="1:1" s="287" customFormat="1" ht="12" hidden="1" customHeight="1">
      <c r="A15055" s="286"/>
    </row>
    <row r="15056" spans="1:1" s="287" customFormat="1" ht="12" hidden="1" customHeight="1">
      <c r="A15056" s="286"/>
    </row>
    <row r="15057" spans="1:1" s="287" customFormat="1" ht="12" hidden="1" customHeight="1">
      <c r="A15057" s="286"/>
    </row>
    <row r="15058" spans="1:1" s="287" customFormat="1" ht="12" hidden="1" customHeight="1">
      <c r="A15058" s="286"/>
    </row>
    <row r="15059" spans="1:1" s="287" customFormat="1" ht="12" hidden="1" customHeight="1">
      <c r="A15059" s="286"/>
    </row>
    <row r="15060" spans="1:1" s="287" customFormat="1" ht="12" hidden="1" customHeight="1">
      <c r="A15060" s="286"/>
    </row>
    <row r="15061" spans="1:1" s="287" customFormat="1" ht="12" hidden="1" customHeight="1">
      <c r="A15061" s="286"/>
    </row>
    <row r="15062" spans="1:1" s="287" customFormat="1" ht="12" hidden="1" customHeight="1">
      <c r="A15062" s="286"/>
    </row>
    <row r="15063" spans="1:1" s="287" customFormat="1" ht="12" hidden="1" customHeight="1">
      <c r="A15063" s="286"/>
    </row>
    <row r="15064" spans="1:1" s="287" customFormat="1" ht="12" hidden="1" customHeight="1">
      <c r="A15064" s="286"/>
    </row>
    <row r="15065" spans="1:1" s="287" customFormat="1" ht="12" hidden="1" customHeight="1">
      <c r="A15065" s="286"/>
    </row>
    <row r="15066" spans="1:1" s="287" customFormat="1" ht="12" hidden="1" customHeight="1">
      <c r="A15066" s="286"/>
    </row>
    <row r="15067" spans="1:1" s="287" customFormat="1" ht="12" hidden="1" customHeight="1">
      <c r="A15067" s="286"/>
    </row>
    <row r="15068" spans="1:1" s="287" customFormat="1" ht="12" hidden="1" customHeight="1">
      <c r="A15068" s="286"/>
    </row>
    <row r="15069" spans="1:1" s="287" customFormat="1" ht="12" hidden="1" customHeight="1">
      <c r="A15069" s="286"/>
    </row>
    <row r="15070" spans="1:1" s="287" customFormat="1" ht="12" hidden="1" customHeight="1">
      <c r="A15070" s="286"/>
    </row>
    <row r="15071" spans="1:1" s="287" customFormat="1" ht="12" hidden="1" customHeight="1">
      <c r="A15071" s="286"/>
    </row>
    <row r="15072" spans="1:1" s="287" customFormat="1" ht="12" hidden="1" customHeight="1">
      <c r="A15072" s="286"/>
    </row>
    <row r="15073" spans="1:1" s="287" customFormat="1" ht="12" hidden="1" customHeight="1">
      <c r="A15073" s="286"/>
    </row>
    <row r="15074" spans="1:1" s="287" customFormat="1" ht="12" hidden="1" customHeight="1">
      <c r="A15074" s="286"/>
    </row>
    <row r="15075" spans="1:1" s="287" customFormat="1" ht="12" hidden="1" customHeight="1">
      <c r="A15075" s="286"/>
    </row>
    <row r="15076" spans="1:1" s="287" customFormat="1" ht="12" hidden="1" customHeight="1">
      <c r="A15076" s="286"/>
    </row>
    <row r="15077" spans="1:1" s="287" customFormat="1" ht="12" hidden="1" customHeight="1">
      <c r="A15077" s="286"/>
    </row>
    <row r="15078" spans="1:1" s="287" customFormat="1" ht="12" hidden="1" customHeight="1">
      <c r="A15078" s="286"/>
    </row>
    <row r="15079" spans="1:1" s="287" customFormat="1" ht="12" hidden="1" customHeight="1">
      <c r="A15079" s="286"/>
    </row>
    <row r="15080" spans="1:1" s="287" customFormat="1" ht="12" hidden="1" customHeight="1">
      <c r="A15080" s="286"/>
    </row>
    <row r="15081" spans="1:1" s="287" customFormat="1" ht="12" hidden="1" customHeight="1">
      <c r="A15081" s="286"/>
    </row>
    <row r="15082" spans="1:1" s="287" customFormat="1" ht="12" hidden="1" customHeight="1">
      <c r="A15082" s="286"/>
    </row>
    <row r="15083" spans="1:1" s="287" customFormat="1" ht="12" hidden="1" customHeight="1">
      <c r="A15083" s="286"/>
    </row>
    <row r="15084" spans="1:1" s="287" customFormat="1" ht="12" hidden="1" customHeight="1">
      <c r="A15084" s="286"/>
    </row>
    <row r="15085" spans="1:1" s="287" customFormat="1" ht="12" hidden="1" customHeight="1">
      <c r="A15085" s="286"/>
    </row>
    <row r="15086" spans="1:1" s="287" customFormat="1" ht="12" hidden="1" customHeight="1">
      <c r="A15086" s="286"/>
    </row>
    <row r="15087" spans="1:1" s="287" customFormat="1" ht="12" hidden="1" customHeight="1">
      <c r="A15087" s="286"/>
    </row>
    <row r="15088" spans="1:1" s="287" customFormat="1" ht="12" hidden="1" customHeight="1">
      <c r="A15088" s="286"/>
    </row>
    <row r="15089" spans="1:1" s="287" customFormat="1" ht="12" hidden="1" customHeight="1">
      <c r="A15089" s="286"/>
    </row>
    <row r="15090" spans="1:1" s="287" customFormat="1" ht="12" hidden="1" customHeight="1">
      <c r="A15090" s="286"/>
    </row>
    <row r="15091" spans="1:1" s="287" customFormat="1" ht="12" hidden="1" customHeight="1">
      <c r="A15091" s="286"/>
    </row>
    <row r="15092" spans="1:1" s="287" customFormat="1" ht="12" hidden="1" customHeight="1">
      <c r="A15092" s="286"/>
    </row>
    <row r="15093" spans="1:1" s="287" customFormat="1" ht="12" hidden="1" customHeight="1">
      <c r="A15093" s="286"/>
    </row>
    <row r="15094" spans="1:1" s="287" customFormat="1" ht="12" hidden="1" customHeight="1">
      <c r="A15094" s="286"/>
    </row>
    <row r="15095" spans="1:1" s="287" customFormat="1" ht="12" hidden="1" customHeight="1">
      <c r="A15095" s="286"/>
    </row>
    <row r="15096" spans="1:1" s="287" customFormat="1" ht="12" hidden="1" customHeight="1">
      <c r="A15096" s="286"/>
    </row>
    <row r="15097" spans="1:1" s="287" customFormat="1" ht="12" hidden="1" customHeight="1">
      <c r="A15097" s="286"/>
    </row>
    <row r="15098" spans="1:1" s="287" customFormat="1" ht="12" hidden="1" customHeight="1">
      <c r="A15098" s="286"/>
    </row>
    <row r="15099" spans="1:1" s="287" customFormat="1" ht="12" hidden="1" customHeight="1">
      <c r="A15099" s="286"/>
    </row>
    <row r="15100" spans="1:1" s="287" customFormat="1" ht="12" hidden="1" customHeight="1">
      <c r="A15100" s="286"/>
    </row>
    <row r="15101" spans="1:1" s="287" customFormat="1" ht="12" hidden="1" customHeight="1">
      <c r="A15101" s="286"/>
    </row>
    <row r="15102" spans="1:1" s="287" customFormat="1" ht="12" hidden="1" customHeight="1">
      <c r="A15102" s="286"/>
    </row>
    <row r="15103" spans="1:1" s="287" customFormat="1" ht="12" hidden="1" customHeight="1">
      <c r="A15103" s="286"/>
    </row>
    <row r="15104" spans="1:1" s="287" customFormat="1" ht="12" hidden="1" customHeight="1">
      <c r="A15104" s="286"/>
    </row>
    <row r="15105" spans="1:1" s="287" customFormat="1" ht="12" hidden="1" customHeight="1">
      <c r="A15105" s="286"/>
    </row>
    <row r="15106" spans="1:1" s="287" customFormat="1" ht="12" hidden="1" customHeight="1">
      <c r="A15106" s="286"/>
    </row>
    <row r="15107" spans="1:1" s="287" customFormat="1" ht="12" hidden="1" customHeight="1">
      <c r="A15107" s="286"/>
    </row>
    <row r="15108" spans="1:1" s="287" customFormat="1" ht="12" hidden="1" customHeight="1">
      <c r="A15108" s="286"/>
    </row>
    <row r="15109" spans="1:1" s="287" customFormat="1" ht="12" hidden="1" customHeight="1">
      <c r="A15109" s="286"/>
    </row>
    <row r="15110" spans="1:1" s="287" customFormat="1" ht="12" hidden="1" customHeight="1">
      <c r="A15110" s="286"/>
    </row>
    <row r="15111" spans="1:1" s="287" customFormat="1" ht="12" hidden="1" customHeight="1">
      <c r="A15111" s="286"/>
    </row>
    <row r="15112" spans="1:1" s="287" customFormat="1" ht="12" hidden="1" customHeight="1">
      <c r="A15112" s="286"/>
    </row>
    <row r="15113" spans="1:1" s="287" customFormat="1" ht="12" hidden="1" customHeight="1">
      <c r="A15113" s="286"/>
    </row>
    <row r="15114" spans="1:1" s="287" customFormat="1" ht="12" hidden="1" customHeight="1">
      <c r="A15114" s="286"/>
    </row>
    <row r="15115" spans="1:1" s="287" customFormat="1" ht="12" hidden="1" customHeight="1">
      <c r="A15115" s="286"/>
    </row>
    <row r="15116" spans="1:1" s="287" customFormat="1" ht="12" hidden="1" customHeight="1">
      <c r="A15116" s="286"/>
    </row>
    <row r="15117" spans="1:1" s="287" customFormat="1" ht="12" hidden="1" customHeight="1">
      <c r="A15117" s="286"/>
    </row>
    <row r="15118" spans="1:1" s="287" customFormat="1" ht="12" hidden="1" customHeight="1">
      <c r="A15118" s="286"/>
    </row>
    <row r="15119" spans="1:1" s="287" customFormat="1" ht="12" hidden="1" customHeight="1">
      <c r="A15119" s="286"/>
    </row>
    <row r="15120" spans="1:1" s="287" customFormat="1" ht="12" hidden="1" customHeight="1">
      <c r="A15120" s="286"/>
    </row>
    <row r="15121" spans="1:1" s="287" customFormat="1" ht="12" hidden="1" customHeight="1">
      <c r="A15121" s="286"/>
    </row>
    <row r="15122" spans="1:1" s="287" customFormat="1" ht="12" hidden="1" customHeight="1">
      <c r="A15122" s="286"/>
    </row>
    <row r="15123" spans="1:1" s="287" customFormat="1" ht="12" hidden="1" customHeight="1">
      <c r="A15123" s="286"/>
    </row>
    <row r="15124" spans="1:1" s="287" customFormat="1" ht="12" hidden="1" customHeight="1">
      <c r="A15124" s="286"/>
    </row>
    <row r="15125" spans="1:1" s="287" customFormat="1" ht="12" hidden="1" customHeight="1">
      <c r="A15125" s="286"/>
    </row>
    <row r="15126" spans="1:1" s="287" customFormat="1" ht="12" hidden="1" customHeight="1">
      <c r="A15126" s="286"/>
    </row>
    <row r="15127" spans="1:1" s="287" customFormat="1" ht="12" hidden="1" customHeight="1">
      <c r="A15127" s="286"/>
    </row>
    <row r="15128" spans="1:1" s="287" customFormat="1" ht="12" hidden="1" customHeight="1">
      <c r="A15128" s="286"/>
    </row>
    <row r="15129" spans="1:1" s="287" customFormat="1" ht="12" hidden="1" customHeight="1">
      <c r="A15129" s="286"/>
    </row>
    <row r="15130" spans="1:1" s="287" customFormat="1" ht="12" hidden="1" customHeight="1">
      <c r="A15130" s="286"/>
    </row>
    <row r="15131" spans="1:1" s="287" customFormat="1" ht="12" hidden="1" customHeight="1">
      <c r="A15131" s="286"/>
    </row>
    <row r="15132" spans="1:1" s="287" customFormat="1" ht="12" hidden="1" customHeight="1">
      <c r="A15132" s="286"/>
    </row>
    <row r="15133" spans="1:1" s="287" customFormat="1" ht="12" hidden="1" customHeight="1">
      <c r="A15133" s="286"/>
    </row>
    <row r="15134" spans="1:1" s="287" customFormat="1" ht="12" hidden="1" customHeight="1">
      <c r="A15134" s="286"/>
    </row>
    <row r="15135" spans="1:1" s="287" customFormat="1" ht="12" hidden="1" customHeight="1">
      <c r="A15135" s="286"/>
    </row>
    <row r="15136" spans="1:1" s="287" customFormat="1" ht="12" hidden="1" customHeight="1">
      <c r="A15136" s="286"/>
    </row>
    <row r="15137" spans="1:1" s="287" customFormat="1" ht="12" hidden="1" customHeight="1">
      <c r="A15137" s="286"/>
    </row>
    <row r="15138" spans="1:1" s="287" customFormat="1" ht="12" hidden="1" customHeight="1">
      <c r="A15138" s="286"/>
    </row>
    <row r="15139" spans="1:1" s="287" customFormat="1" ht="12" hidden="1" customHeight="1">
      <c r="A15139" s="286"/>
    </row>
    <row r="15140" spans="1:1" s="287" customFormat="1" ht="12" hidden="1" customHeight="1">
      <c r="A15140" s="286"/>
    </row>
    <row r="15141" spans="1:1" s="287" customFormat="1" ht="12" hidden="1" customHeight="1">
      <c r="A15141" s="286"/>
    </row>
    <row r="15142" spans="1:1" s="287" customFormat="1" ht="12" hidden="1" customHeight="1">
      <c r="A15142" s="286"/>
    </row>
    <row r="15143" spans="1:1" s="287" customFormat="1" ht="12" hidden="1" customHeight="1">
      <c r="A15143" s="286"/>
    </row>
    <row r="15144" spans="1:1" s="287" customFormat="1" ht="12" hidden="1" customHeight="1">
      <c r="A15144" s="286"/>
    </row>
    <row r="15145" spans="1:1" s="287" customFormat="1" ht="12" hidden="1" customHeight="1">
      <c r="A15145" s="286"/>
    </row>
    <row r="15146" spans="1:1" s="287" customFormat="1" ht="12" hidden="1" customHeight="1">
      <c r="A15146" s="286"/>
    </row>
    <row r="15147" spans="1:1" s="287" customFormat="1" ht="12" hidden="1" customHeight="1">
      <c r="A15147" s="286"/>
    </row>
    <row r="15148" spans="1:1" s="287" customFormat="1" ht="12" hidden="1" customHeight="1">
      <c r="A15148" s="286"/>
    </row>
    <row r="15149" spans="1:1" s="287" customFormat="1" ht="12" hidden="1" customHeight="1">
      <c r="A15149" s="286"/>
    </row>
    <row r="15150" spans="1:1" s="287" customFormat="1" ht="12" hidden="1" customHeight="1">
      <c r="A15150" s="286"/>
    </row>
    <row r="15151" spans="1:1" s="287" customFormat="1" ht="12" hidden="1" customHeight="1">
      <c r="A15151" s="286"/>
    </row>
    <row r="15152" spans="1:1" s="287" customFormat="1" ht="12" hidden="1" customHeight="1">
      <c r="A15152" s="286"/>
    </row>
    <row r="15153" spans="1:1" s="287" customFormat="1" ht="12" hidden="1" customHeight="1">
      <c r="A15153" s="286"/>
    </row>
    <row r="15154" spans="1:1" s="287" customFormat="1" ht="12" hidden="1" customHeight="1">
      <c r="A15154" s="286"/>
    </row>
    <row r="15155" spans="1:1" s="287" customFormat="1" ht="12" hidden="1" customHeight="1">
      <c r="A15155" s="286"/>
    </row>
    <row r="15156" spans="1:1" s="287" customFormat="1" ht="12" hidden="1" customHeight="1">
      <c r="A15156" s="286"/>
    </row>
    <row r="15157" spans="1:1" s="287" customFormat="1" ht="12" hidden="1" customHeight="1">
      <c r="A15157" s="286"/>
    </row>
    <row r="15158" spans="1:1" s="287" customFormat="1" ht="12" hidden="1" customHeight="1">
      <c r="A15158" s="286"/>
    </row>
    <row r="15159" spans="1:1" s="287" customFormat="1" ht="12" hidden="1" customHeight="1">
      <c r="A15159" s="286"/>
    </row>
    <row r="15160" spans="1:1" s="287" customFormat="1" ht="12" hidden="1" customHeight="1">
      <c r="A15160" s="286"/>
    </row>
    <row r="15161" spans="1:1" s="287" customFormat="1" ht="12" hidden="1" customHeight="1">
      <c r="A15161" s="286"/>
    </row>
    <row r="15162" spans="1:1" s="287" customFormat="1" ht="12" hidden="1" customHeight="1">
      <c r="A15162" s="286"/>
    </row>
    <row r="15163" spans="1:1" s="287" customFormat="1" ht="12" hidden="1" customHeight="1">
      <c r="A15163" s="286"/>
    </row>
    <row r="15164" spans="1:1" s="287" customFormat="1" ht="12" hidden="1" customHeight="1">
      <c r="A15164" s="286"/>
    </row>
    <row r="15165" spans="1:1" s="287" customFormat="1" ht="12" hidden="1" customHeight="1">
      <c r="A15165" s="286"/>
    </row>
    <row r="15166" spans="1:1" s="287" customFormat="1" ht="12" hidden="1" customHeight="1">
      <c r="A15166" s="286"/>
    </row>
    <row r="15167" spans="1:1" s="287" customFormat="1" ht="12" hidden="1" customHeight="1">
      <c r="A15167" s="286"/>
    </row>
    <row r="15168" spans="1:1" s="287" customFormat="1" ht="12" hidden="1" customHeight="1">
      <c r="A15168" s="286"/>
    </row>
    <row r="15169" spans="1:1" s="287" customFormat="1" ht="12" hidden="1" customHeight="1">
      <c r="A15169" s="286"/>
    </row>
    <row r="15170" spans="1:1" s="287" customFormat="1" ht="12" hidden="1" customHeight="1">
      <c r="A15170" s="286"/>
    </row>
    <row r="15171" spans="1:1" s="287" customFormat="1" ht="12" hidden="1" customHeight="1">
      <c r="A15171" s="286"/>
    </row>
    <row r="15172" spans="1:1" s="287" customFormat="1" ht="12" hidden="1" customHeight="1">
      <c r="A15172" s="286"/>
    </row>
    <row r="15173" spans="1:1" s="287" customFormat="1" ht="12" hidden="1" customHeight="1">
      <c r="A15173" s="286"/>
    </row>
    <row r="15174" spans="1:1" s="287" customFormat="1" ht="12" hidden="1" customHeight="1">
      <c r="A15174" s="286"/>
    </row>
    <row r="15175" spans="1:1" s="287" customFormat="1" ht="12" hidden="1" customHeight="1">
      <c r="A15175" s="286"/>
    </row>
    <row r="15176" spans="1:1" s="287" customFormat="1" ht="12" hidden="1" customHeight="1">
      <c r="A15176" s="286"/>
    </row>
    <row r="15177" spans="1:1" s="287" customFormat="1" ht="12" hidden="1" customHeight="1">
      <c r="A15177" s="286"/>
    </row>
    <row r="15178" spans="1:1" s="287" customFormat="1" ht="12" hidden="1" customHeight="1">
      <c r="A15178" s="286"/>
    </row>
    <row r="15179" spans="1:1" s="287" customFormat="1" ht="12" hidden="1" customHeight="1">
      <c r="A15179" s="286"/>
    </row>
    <row r="15180" spans="1:1" s="287" customFormat="1" ht="12" hidden="1" customHeight="1">
      <c r="A15180" s="286"/>
    </row>
    <row r="15181" spans="1:1" s="287" customFormat="1" ht="12" hidden="1" customHeight="1">
      <c r="A15181" s="286"/>
    </row>
    <row r="15182" spans="1:1" s="287" customFormat="1" ht="12" hidden="1" customHeight="1">
      <c r="A15182" s="286"/>
    </row>
    <row r="15183" spans="1:1" s="287" customFormat="1" ht="12" hidden="1" customHeight="1">
      <c r="A15183" s="286"/>
    </row>
    <row r="15184" spans="1:1" s="287" customFormat="1" ht="12" hidden="1" customHeight="1">
      <c r="A15184" s="286"/>
    </row>
    <row r="15185" spans="1:1" s="287" customFormat="1" ht="12" hidden="1" customHeight="1">
      <c r="A15185" s="286"/>
    </row>
    <row r="15186" spans="1:1" s="287" customFormat="1" ht="12" hidden="1" customHeight="1">
      <c r="A15186" s="286"/>
    </row>
    <row r="15187" spans="1:1" s="287" customFormat="1" ht="12" hidden="1" customHeight="1">
      <c r="A15187" s="286"/>
    </row>
    <row r="15188" spans="1:1" s="287" customFormat="1" ht="12" hidden="1" customHeight="1">
      <c r="A15188" s="286"/>
    </row>
    <row r="15189" spans="1:1" s="287" customFormat="1" ht="12" hidden="1" customHeight="1">
      <c r="A15189" s="286"/>
    </row>
    <row r="15190" spans="1:1" s="287" customFormat="1" ht="12" hidden="1" customHeight="1">
      <c r="A15190" s="286"/>
    </row>
    <row r="15191" spans="1:1" s="287" customFormat="1" ht="12" hidden="1" customHeight="1">
      <c r="A15191" s="286"/>
    </row>
    <row r="15192" spans="1:1" s="287" customFormat="1" ht="12" hidden="1" customHeight="1">
      <c r="A15192" s="286"/>
    </row>
    <row r="15193" spans="1:1" s="287" customFormat="1" ht="12" hidden="1" customHeight="1">
      <c r="A15193" s="286"/>
    </row>
    <row r="15194" spans="1:1" s="287" customFormat="1" ht="12" hidden="1" customHeight="1">
      <c r="A15194" s="286"/>
    </row>
    <row r="15195" spans="1:1" s="287" customFormat="1" ht="12" hidden="1" customHeight="1">
      <c r="A15195" s="286"/>
    </row>
    <row r="15196" spans="1:1" s="287" customFormat="1" ht="12" hidden="1" customHeight="1">
      <c r="A15196" s="286"/>
    </row>
    <row r="15197" spans="1:1" s="287" customFormat="1" ht="12" hidden="1" customHeight="1">
      <c r="A15197" s="286"/>
    </row>
    <row r="15198" spans="1:1" s="287" customFormat="1" ht="12" hidden="1" customHeight="1">
      <c r="A15198" s="286"/>
    </row>
    <row r="15199" spans="1:1" s="287" customFormat="1" ht="12" hidden="1" customHeight="1">
      <c r="A15199" s="286"/>
    </row>
    <row r="15200" spans="1:1" s="287" customFormat="1" ht="12" hidden="1" customHeight="1">
      <c r="A15200" s="286"/>
    </row>
    <row r="15201" spans="1:1" s="287" customFormat="1" ht="12" hidden="1" customHeight="1">
      <c r="A15201" s="286"/>
    </row>
    <row r="15202" spans="1:1" s="287" customFormat="1" ht="12" hidden="1" customHeight="1">
      <c r="A15202" s="286"/>
    </row>
    <row r="15203" spans="1:1" s="287" customFormat="1" ht="12" hidden="1" customHeight="1">
      <c r="A15203" s="286"/>
    </row>
    <row r="15204" spans="1:1" s="287" customFormat="1" ht="12" hidden="1" customHeight="1">
      <c r="A15204" s="286"/>
    </row>
    <row r="15205" spans="1:1" s="287" customFormat="1" ht="12" hidden="1" customHeight="1">
      <c r="A15205" s="286"/>
    </row>
    <row r="15206" spans="1:1" s="287" customFormat="1" ht="12" hidden="1" customHeight="1">
      <c r="A15206" s="286"/>
    </row>
    <row r="15207" spans="1:1" s="287" customFormat="1" ht="12" hidden="1" customHeight="1">
      <c r="A15207" s="286"/>
    </row>
    <row r="15208" spans="1:1" s="287" customFormat="1" ht="12" hidden="1" customHeight="1">
      <c r="A15208" s="286"/>
    </row>
    <row r="15209" spans="1:1" s="287" customFormat="1" ht="12" hidden="1" customHeight="1">
      <c r="A15209" s="286"/>
    </row>
    <row r="15210" spans="1:1" s="287" customFormat="1" ht="12" hidden="1" customHeight="1">
      <c r="A15210" s="286"/>
    </row>
    <row r="15211" spans="1:1" s="287" customFormat="1" ht="12" hidden="1" customHeight="1">
      <c r="A15211" s="286"/>
    </row>
    <row r="15212" spans="1:1" s="287" customFormat="1" ht="12" hidden="1" customHeight="1">
      <c r="A15212" s="286"/>
    </row>
    <row r="15213" spans="1:1" s="287" customFormat="1" ht="12" hidden="1" customHeight="1">
      <c r="A15213" s="286"/>
    </row>
    <row r="15214" spans="1:1" s="287" customFormat="1" ht="12" hidden="1" customHeight="1">
      <c r="A15214" s="286"/>
    </row>
    <row r="15215" spans="1:1" s="287" customFormat="1" ht="12" hidden="1" customHeight="1">
      <c r="A15215" s="286"/>
    </row>
    <row r="15216" spans="1:1" s="287" customFormat="1" ht="12" hidden="1" customHeight="1">
      <c r="A15216" s="286"/>
    </row>
    <row r="15217" spans="1:1" s="287" customFormat="1" ht="12" hidden="1" customHeight="1">
      <c r="A15217" s="286"/>
    </row>
    <row r="15218" spans="1:1" s="287" customFormat="1" ht="12" hidden="1" customHeight="1">
      <c r="A15218" s="286"/>
    </row>
    <row r="15219" spans="1:1" s="287" customFormat="1" ht="12" hidden="1" customHeight="1">
      <c r="A15219" s="286"/>
    </row>
    <row r="15220" spans="1:1" s="287" customFormat="1" ht="12" hidden="1" customHeight="1">
      <c r="A15220" s="286"/>
    </row>
    <row r="15221" spans="1:1" s="287" customFormat="1" ht="12" hidden="1" customHeight="1">
      <c r="A15221" s="286"/>
    </row>
    <row r="15222" spans="1:1" s="287" customFormat="1" ht="12" hidden="1" customHeight="1">
      <c r="A15222" s="286"/>
    </row>
    <row r="15223" spans="1:1" s="287" customFormat="1" ht="12" hidden="1" customHeight="1">
      <c r="A15223" s="286"/>
    </row>
    <row r="15224" spans="1:1" s="287" customFormat="1" ht="12" hidden="1" customHeight="1">
      <c r="A15224" s="286"/>
    </row>
    <row r="15225" spans="1:1" s="287" customFormat="1" ht="12" hidden="1" customHeight="1">
      <c r="A15225" s="286"/>
    </row>
    <row r="15226" spans="1:1" s="287" customFormat="1" ht="12" hidden="1" customHeight="1">
      <c r="A15226" s="286"/>
    </row>
    <row r="15227" spans="1:1" s="287" customFormat="1" ht="12" hidden="1" customHeight="1">
      <c r="A15227" s="286"/>
    </row>
    <row r="15228" spans="1:1" s="287" customFormat="1" ht="12" hidden="1" customHeight="1">
      <c r="A15228" s="286"/>
    </row>
    <row r="15229" spans="1:1" s="287" customFormat="1" ht="12" hidden="1" customHeight="1">
      <c r="A15229" s="286"/>
    </row>
    <row r="15230" spans="1:1" s="287" customFormat="1" ht="12" hidden="1" customHeight="1">
      <c r="A15230" s="286"/>
    </row>
    <row r="15231" spans="1:1" s="287" customFormat="1" ht="12" hidden="1" customHeight="1">
      <c r="A15231" s="286"/>
    </row>
    <row r="15232" spans="1:1" s="287" customFormat="1" ht="12" hidden="1" customHeight="1">
      <c r="A15232" s="286"/>
    </row>
    <row r="15233" spans="1:1" s="287" customFormat="1" ht="12" hidden="1" customHeight="1">
      <c r="A15233" s="286"/>
    </row>
    <row r="15234" spans="1:1" s="287" customFormat="1" ht="12" hidden="1" customHeight="1">
      <c r="A15234" s="286"/>
    </row>
    <row r="15235" spans="1:1" s="287" customFormat="1" ht="12" hidden="1" customHeight="1">
      <c r="A15235" s="286"/>
    </row>
    <row r="15236" spans="1:1" s="287" customFormat="1" ht="12" hidden="1" customHeight="1">
      <c r="A15236" s="286"/>
    </row>
    <row r="15237" spans="1:1" s="287" customFormat="1" ht="12" hidden="1" customHeight="1">
      <c r="A15237" s="286"/>
    </row>
    <row r="15238" spans="1:1" s="287" customFormat="1" ht="12" hidden="1" customHeight="1">
      <c r="A15238" s="286"/>
    </row>
    <row r="15239" spans="1:1" s="287" customFormat="1" ht="12" hidden="1" customHeight="1">
      <c r="A15239" s="286"/>
    </row>
    <row r="15240" spans="1:1" s="287" customFormat="1" ht="12" hidden="1" customHeight="1">
      <c r="A15240" s="286"/>
    </row>
    <row r="15241" spans="1:1" s="287" customFormat="1" ht="12" hidden="1" customHeight="1">
      <c r="A15241" s="286"/>
    </row>
    <row r="15242" spans="1:1" s="287" customFormat="1" ht="12" hidden="1" customHeight="1">
      <c r="A15242" s="286"/>
    </row>
    <row r="15243" spans="1:1" s="287" customFormat="1" ht="12" hidden="1" customHeight="1">
      <c r="A15243" s="286"/>
    </row>
    <row r="15244" spans="1:1" s="287" customFormat="1" ht="12" hidden="1" customHeight="1">
      <c r="A15244" s="286"/>
    </row>
    <row r="15245" spans="1:1" s="287" customFormat="1" ht="12" hidden="1" customHeight="1">
      <c r="A15245" s="286"/>
    </row>
    <row r="15246" spans="1:1" s="287" customFormat="1" ht="12" hidden="1" customHeight="1">
      <c r="A15246" s="286"/>
    </row>
    <row r="15247" spans="1:1" s="287" customFormat="1" ht="12" hidden="1" customHeight="1">
      <c r="A15247" s="286"/>
    </row>
    <row r="15248" spans="1:1" s="287" customFormat="1" ht="12" hidden="1" customHeight="1">
      <c r="A15248" s="286"/>
    </row>
    <row r="15249" spans="1:1" s="287" customFormat="1" ht="12" hidden="1" customHeight="1">
      <c r="A15249" s="286"/>
    </row>
    <row r="15250" spans="1:1" s="287" customFormat="1" ht="12" hidden="1" customHeight="1">
      <c r="A15250" s="286"/>
    </row>
    <row r="15251" spans="1:1" s="287" customFormat="1" ht="12" hidden="1" customHeight="1">
      <c r="A15251" s="286"/>
    </row>
    <row r="15252" spans="1:1" s="287" customFormat="1" ht="12" hidden="1" customHeight="1">
      <c r="A15252" s="286"/>
    </row>
    <row r="15253" spans="1:1" s="287" customFormat="1" ht="12" hidden="1" customHeight="1">
      <c r="A15253" s="286"/>
    </row>
    <row r="15254" spans="1:1" s="287" customFormat="1" ht="12" hidden="1" customHeight="1">
      <c r="A15254" s="286"/>
    </row>
    <row r="15255" spans="1:1" s="287" customFormat="1" ht="12" hidden="1" customHeight="1">
      <c r="A15255" s="286"/>
    </row>
    <row r="15256" spans="1:1" s="287" customFormat="1" ht="12" hidden="1" customHeight="1">
      <c r="A15256" s="286"/>
    </row>
    <row r="15257" spans="1:1" s="287" customFormat="1" ht="12" hidden="1" customHeight="1">
      <c r="A15257" s="286"/>
    </row>
    <row r="15258" spans="1:1" s="287" customFormat="1" ht="12" hidden="1" customHeight="1">
      <c r="A15258" s="286"/>
    </row>
    <row r="15259" spans="1:1" s="287" customFormat="1" ht="12" hidden="1" customHeight="1">
      <c r="A15259" s="286"/>
    </row>
    <row r="15260" spans="1:1" s="287" customFormat="1" ht="12" hidden="1" customHeight="1">
      <c r="A15260" s="286"/>
    </row>
    <row r="15261" spans="1:1" s="287" customFormat="1" ht="12" hidden="1" customHeight="1">
      <c r="A15261" s="286"/>
    </row>
    <row r="15262" spans="1:1" s="287" customFormat="1" ht="12" hidden="1" customHeight="1">
      <c r="A15262" s="286"/>
    </row>
    <row r="15263" spans="1:1" s="287" customFormat="1" ht="12" hidden="1" customHeight="1">
      <c r="A15263" s="286"/>
    </row>
    <row r="15264" spans="1:1" s="287" customFormat="1" ht="12" hidden="1" customHeight="1">
      <c r="A15264" s="286"/>
    </row>
    <row r="15265" spans="1:1" s="287" customFormat="1" ht="12" hidden="1" customHeight="1">
      <c r="A15265" s="286"/>
    </row>
    <row r="15266" spans="1:1" s="287" customFormat="1" ht="12" hidden="1" customHeight="1">
      <c r="A15266" s="286"/>
    </row>
    <row r="15267" spans="1:1" s="287" customFormat="1" ht="12" hidden="1" customHeight="1">
      <c r="A15267" s="286"/>
    </row>
    <row r="15268" spans="1:1" s="287" customFormat="1" ht="12" hidden="1" customHeight="1">
      <c r="A15268" s="286"/>
    </row>
    <row r="15269" spans="1:1" s="287" customFormat="1" ht="12" hidden="1" customHeight="1">
      <c r="A15269" s="286"/>
    </row>
    <row r="15270" spans="1:1" s="287" customFormat="1" ht="12" hidden="1" customHeight="1">
      <c r="A15270" s="286"/>
    </row>
    <row r="15271" spans="1:1" s="287" customFormat="1" ht="12" hidden="1" customHeight="1">
      <c r="A15271" s="286"/>
    </row>
    <row r="15272" spans="1:1" s="287" customFormat="1" ht="12" hidden="1" customHeight="1">
      <c r="A15272" s="286"/>
    </row>
    <row r="15273" spans="1:1" s="287" customFormat="1" ht="12" hidden="1" customHeight="1">
      <c r="A15273" s="286"/>
    </row>
    <row r="15274" spans="1:1" s="287" customFormat="1" ht="12" hidden="1" customHeight="1">
      <c r="A15274" s="286"/>
    </row>
    <row r="15275" spans="1:1" s="287" customFormat="1" ht="12" hidden="1" customHeight="1">
      <c r="A15275" s="286"/>
    </row>
    <row r="15276" spans="1:1" s="287" customFormat="1" ht="12" hidden="1" customHeight="1">
      <c r="A15276" s="286"/>
    </row>
    <row r="15277" spans="1:1" s="287" customFormat="1" ht="12" hidden="1" customHeight="1">
      <c r="A15277" s="286"/>
    </row>
    <row r="15278" spans="1:1" s="287" customFormat="1" ht="12" hidden="1" customHeight="1">
      <c r="A15278" s="286"/>
    </row>
    <row r="15279" spans="1:1" s="287" customFormat="1" ht="12" hidden="1" customHeight="1">
      <c r="A15279" s="286"/>
    </row>
    <row r="15280" spans="1:1" s="287" customFormat="1" ht="12" hidden="1" customHeight="1">
      <c r="A15280" s="286"/>
    </row>
    <row r="15281" spans="1:1" s="287" customFormat="1" ht="12" hidden="1" customHeight="1">
      <c r="A15281" s="286"/>
    </row>
    <row r="15282" spans="1:1" s="287" customFormat="1" ht="12" hidden="1" customHeight="1">
      <c r="A15282" s="286"/>
    </row>
    <row r="15283" spans="1:1" s="287" customFormat="1" ht="12" hidden="1" customHeight="1">
      <c r="A15283" s="286"/>
    </row>
    <row r="15284" spans="1:1" s="287" customFormat="1" ht="12" hidden="1" customHeight="1">
      <c r="A15284" s="286"/>
    </row>
    <row r="15285" spans="1:1" s="287" customFormat="1" ht="12" hidden="1" customHeight="1">
      <c r="A15285" s="286"/>
    </row>
    <row r="15286" spans="1:1" s="287" customFormat="1" ht="12" hidden="1" customHeight="1">
      <c r="A15286" s="286"/>
    </row>
    <row r="15287" spans="1:1" s="287" customFormat="1" ht="12" hidden="1" customHeight="1">
      <c r="A15287" s="286"/>
    </row>
    <row r="15288" spans="1:1" s="287" customFormat="1" ht="12" hidden="1" customHeight="1">
      <c r="A15288" s="286"/>
    </row>
    <row r="15289" spans="1:1" s="287" customFormat="1" ht="12" hidden="1" customHeight="1">
      <c r="A15289" s="286"/>
    </row>
    <row r="15290" spans="1:1" s="287" customFormat="1" ht="12" hidden="1" customHeight="1">
      <c r="A15290" s="286"/>
    </row>
    <row r="15291" spans="1:1" s="287" customFormat="1" ht="12" hidden="1" customHeight="1">
      <c r="A15291" s="286"/>
    </row>
    <row r="15292" spans="1:1" s="287" customFormat="1" ht="12" hidden="1" customHeight="1">
      <c r="A15292" s="286"/>
    </row>
    <row r="15293" spans="1:1" s="287" customFormat="1" ht="12" hidden="1" customHeight="1">
      <c r="A15293" s="286"/>
    </row>
    <row r="15294" spans="1:1" s="287" customFormat="1" ht="12" hidden="1" customHeight="1">
      <c r="A15294" s="286"/>
    </row>
    <row r="15295" spans="1:1" s="287" customFormat="1" ht="12" hidden="1" customHeight="1">
      <c r="A15295" s="286"/>
    </row>
    <row r="15296" spans="1:1" s="287" customFormat="1" ht="12" hidden="1" customHeight="1">
      <c r="A15296" s="286"/>
    </row>
    <row r="15297" spans="1:1" s="287" customFormat="1" ht="12" hidden="1" customHeight="1">
      <c r="A15297" s="286"/>
    </row>
    <row r="15298" spans="1:1" s="287" customFormat="1" ht="12" hidden="1" customHeight="1">
      <c r="A15298" s="286"/>
    </row>
    <row r="15299" spans="1:1" s="287" customFormat="1" ht="12" hidden="1" customHeight="1">
      <c r="A15299" s="286"/>
    </row>
    <row r="15300" spans="1:1" s="287" customFormat="1" ht="12" hidden="1" customHeight="1">
      <c r="A15300" s="286"/>
    </row>
    <row r="15301" spans="1:1" s="287" customFormat="1" ht="12" hidden="1" customHeight="1">
      <c r="A15301" s="286"/>
    </row>
    <row r="15302" spans="1:1" s="287" customFormat="1" ht="12" hidden="1" customHeight="1">
      <c r="A15302" s="286"/>
    </row>
    <row r="15303" spans="1:1" s="287" customFormat="1" ht="12" hidden="1" customHeight="1">
      <c r="A15303" s="286"/>
    </row>
    <row r="15304" spans="1:1" s="287" customFormat="1" ht="12" hidden="1" customHeight="1">
      <c r="A15304" s="286"/>
    </row>
    <row r="15305" spans="1:1" s="287" customFormat="1" ht="12" hidden="1" customHeight="1">
      <c r="A15305" s="286"/>
    </row>
    <row r="15306" spans="1:1" s="287" customFormat="1" ht="12" hidden="1" customHeight="1">
      <c r="A15306" s="286"/>
    </row>
    <row r="15307" spans="1:1" s="287" customFormat="1" ht="12" hidden="1" customHeight="1">
      <c r="A15307" s="286"/>
    </row>
    <row r="15308" spans="1:1" s="287" customFormat="1" ht="12" hidden="1" customHeight="1">
      <c r="A15308" s="286"/>
    </row>
    <row r="15309" spans="1:1" s="287" customFormat="1" ht="12" hidden="1" customHeight="1">
      <c r="A15309" s="286"/>
    </row>
    <row r="15310" spans="1:1" s="287" customFormat="1" ht="12" hidden="1" customHeight="1">
      <c r="A15310" s="286"/>
    </row>
    <row r="15311" spans="1:1" s="287" customFormat="1" ht="12" hidden="1" customHeight="1">
      <c r="A15311" s="286"/>
    </row>
    <row r="15312" spans="1:1" s="287" customFormat="1" ht="12" hidden="1" customHeight="1">
      <c r="A15312" s="286"/>
    </row>
    <row r="15313" spans="1:1" s="287" customFormat="1" ht="12" hidden="1" customHeight="1">
      <c r="A15313" s="286"/>
    </row>
    <row r="15314" spans="1:1" s="287" customFormat="1" ht="12" hidden="1" customHeight="1">
      <c r="A15314" s="286"/>
    </row>
    <row r="15315" spans="1:1" s="287" customFormat="1" ht="12" hidden="1" customHeight="1">
      <c r="A15315" s="286"/>
    </row>
    <row r="15316" spans="1:1" s="287" customFormat="1" ht="12" hidden="1" customHeight="1">
      <c r="A15316" s="286"/>
    </row>
    <row r="15317" spans="1:1" s="287" customFormat="1" ht="12" hidden="1" customHeight="1">
      <c r="A15317" s="286"/>
    </row>
    <row r="15318" spans="1:1" s="287" customFormat="1" ht="12" hidden="1" customHeight="1">
      <c r="A15318" s="286"/>
    </row>
    <row r="15319" spans="1:1" s="287" customFormat="1" ht="12" hidden="1" customHeight="1">
      <c r="A15319" s="286"/>
    </row>
    <row r="15320" spans="1:1" s="287" customFormat="1" ht="12" hidden="1" customHeight="1">
      <c r="A15320" s="286"/>
    </row>
    <row r="15321" spans="1:1" s="287" customFormat="1" ht="12" hidden="1" customHeight="1">
      <c r="A15321" s="286"/>
    </row>
    <row r="15322" spans="1:1" s="287" customFormat="1" ht="12" hidden="1" customHeight="1">
      <c r="A15322" s="286"/>
    </row>
    <row r="15323" spans="1:1" s="287" customFormat="1" ht="12" hidden="1" customHeight="1">
      <c r="A15323" s="286"/>
    </row>
    <row r="15324" spans="1:1" s="287" customFormat="1" ht="12" hidden="1" customHeight="1">
      <c r="A15324" s="286"/>
    </row>
    <row r="15325" spans="1:1" s="287" customFormat="1" ht="12" hidden="1" customHeight="1">
      <c r="A15325" s="286"/>
    </row>
    <row r="15326" spans="1:1" s="287" customFormat="1" ht="12" hidden="1" customHeight="1">
      <c r="A15326" s="286"/>
    </row>
    <row r="15327" spans="1:1" s="287" customFormat="1" ht="12" hidden="1" customHeight="1">
      <c r="A15327" s="286"/>
    </row>
    <row r="15328" spans="1:1" s="287" customFormat="1" ht="12" hidden="1" customHeight="1">
      <c r="A15328" s="286"/>
    </row>
    <row r="15329" spans="1:1" s="287" customFormat="1" ht="12" hidden="1" customHeight="1">
      <c r="A15329" s="286"/>
    </row>
    <row r="15330" spans="1:1" s="287" customFormat="1" ht="12" hidden="1" customHeight="1">
      <c r="A15330" s="286"/>
    </row>
    <row r="15331" spans="1:1" s="287" customFormat="1" ht="12" hidden="1" customHeight="1">
      <c r="A15331" s="286"/>
    </row>
    <row r="15332" spans="1:1" s="287" customFormat="1" ht="12" hidden="1" customHeight="1">
      <c r="A15332" s="286"/>
    </row>
    <row r="15333" spans="1:1" s="287" customFormat="1" ht="12" hidden="1" customHeight="1">
      <c r="A15333" s="286"/>
    </row>
    <row r="15334" spans="1:1" s="287" customFormat="1" ht="12" hidden="1" customHeight="1">
      <c r="A15334" s="286"/>
    </row>
    <row r="15335" spans="1:1" s="287" customFormat="1" ht="12" hidden="1" customHeight="1">
      <c r="A15335" s="286"/>
    </row>
    <row r="15336" spans="1:1" s="287" customFormat="1" ht="12" hidden="1" customHeight="1">
      <c r="A15336" s="286"/>
    </row>
    <row r="15337" spans="1:1" s="287" customFormat="1" ht="12" hidden="1" customHeight="1">
      <c r="A15337" s="286"/>
    </row>
    <row r="15338" spans="1:1" s="287" customFormat="1" ht="12" hidden="1" customHeight="1">
      <c r="A15338" s="286"/>
    </row>
    <row r="15339" spans="1:1" s="287" customFormat="1" ht="12" hidden="1" customHeight="1">
      <c r="A15339" s="286"/>
    </row>
    <row r="15340" spans="1:1" s="287" customFormat="1" ht="12" hidden="1" customHeight="1">
      <c r="A15340" s="286"/>
    </row>
    <row r="15341" spans="1:1" s="287" customFormat="1" ht="12" hidden="1" customHeight="1">
      <c r="A15341" s="286"/>
    </row>
    <row r="15342" spans="1:1" s="287" customFormat="1" ht="12" hidden="1" customHeight="1">
      <c r="A15342" s="286"/>
    </row>
    <row r="15343" spans="1:1" s="287" customFormat="1" ht="12" hidden="1" customHeight="1">
      <c r="A15343" s="286"/>
    </row>
    <row r="15344" spans="1:1" s="287" customFormat="1" ht="12" hidden="1" customHeight="1">
      <c r="A15344" s="286"/>
    </row>
    <row r="15345" spans="1:1" s="287" customFormat="1" ht="12" hidden="1" customHeight="1">
      <c r="A15345" s="286"/>
    </row>
    <row r="15346" spans="1:1" s="287" customFormat="1" ht="12" hidden="1" customHeight="1">
      <c r="A15346" s="286"/>
    </row>
    <row r="15347" spans="1:1" s="287" customFormat="1" ht="12" hidden="1" customHeight="1">
      <c r="A15347" s="286"/>
    </row>
    <row r="15348" spans="1:1" s="287" customFormat="1" ht="12" hidden="1" customHeight="1">
      <c r="A15348" s="286"/>
    </row>
    <row r="15349" spans="1:1" s="287" customFormat="1" ht="12" hidden="1" customHeight="1">
      <c r="A15349" s="286"/>
    </row>
    <row r="15350" spans="1:1" s="287" customFormat="1" ht="12" hidden="1" customHeight="1">
      <c r="A15350" s="286"/>
    </row>
    <row r="15351" spans="1:1" s="287" customFormat="1" ht="12" hidden="1" customHeight="1">
      <c r="A15351" s="286"/>
    </row>
    <row r="15352" spans="1:1" s="287" customFormat="1" ht="12" hidden="1" customHeight="1">
      <c r="A15352" s="286"/>
    </row>
    <row r="15353" spans="1:1" s="287" customFormat="1" ht="12" hidden="1" customHeight="1">
      <c r="A15353" s="286"/>
    </row>
    <row r="15354" spans="1:1" s="287" customFormat="1" ht="12" hidden="1" customHeight="1">
      <c r="A15354" s="286"/>
    </row>
    <row r="15355" spans="1:1" s="287" customFormat="1" ht="12" hidden="1" customHeight="1">
      <c r="A15355" s="286"/>
    </row>
    <row r="15356" spans="1:1" s="287" customFormat="1" ht="12" hidden="1" customHeight="1">
      <c r="A15356" s="286"/>
    </row>
    <row r="15357" spans="1:1" s="287" customFormat="1" ht="12" hidden="1" customHeight="1">
      <c r="A15357" s="286"/>
    </row>
    <row r="15358" spans="1:1" s="287" customFormat="1" ht="12" hidden="1" customHeight="1">
      <c r="A15358" s="286"/>
    </row>
    <row r="15359" spans="1:1" s="287" customFormat="1" ht="12" hidden="1" customHeight="1">
      <c r="A15359" s="286"/>
    </row>
    <row r="15360" spans="1:1" s="287" customFormat="1" ht="12" hidden="1" customHeight="1">
      <c r="A15360" s="286"/>
    </row>
    <row r="15361" spans="1:1" s="287" customFormat="1" ht="12" hidden="1" customHeight="1">
      <c r="A15361" s="286"/>
    </row>
    <row r="15362" spans="1:1" s="287" customFormat="1" ht="12" hidden="1" customHeight="1">
      <c r="A15362" s="286"/>
    </row>
    <row r="15363" spans="1:1" s="287" customFormat="1" ht="12" hidden="1" customHeight="1">
      <c r="A15363" s="286"/>
    </row>
    <row r="15364" spans="1:1" s="287" customFormat="1" ht="12" hidden="1" customHeight="1">
      <c r="A15364" s="286"/>
    </row>
    <row r="15365" spans="1:1" s="287" customFormat="1" ht="12" hidden="1" customHeight="1">
      <c r="A15365" s="286"/>
    </row>
    <row r="15366" spans="1:1" s="287" customFormat="1" ht="12" hidden="1" customHeight="1">
      <c r="A15366" s="286"/>
    </row>
    <row r="15367" spans="1:1" s="287" customFormat="1" ht="12" hidden="1" customHeight="1">
      <c r="A15367" s="286"/>
    </row>
    <row r="15368" spans="1:1" s="287" customFormat="1" ht="12" hidden="1" customHeight="1">
      <c r="A15368" s="286"/>
    </row>
    <row r="15369" spans="1:1" s="287" customFormat="1" ht="12" hidden="1" customHeight="1">
      <c r="A15369" s="286"/>
    </row>
    <row r="15370" spans="1:1" s="287" customFormat="1" ht="12" hidden="1" customHeight="1">
      <c r="A15370" s="286"/>
    </row>
    <row r="15371" spans="1:1" s="287" customFormat="1" ht="12" hidden="1" customHeight="1">
      <c r="A15371" s="286"/>
    </row>
    <row r="15372" spans="1:1" s="287" customFormat="1" ht="12" hidden="1" customHeight="1">
      <c r="A15372" s="286"/>
    </row>
    <row r="15373" spans="1:1" s="287" customFormat="1" ht="12" hidden="1" customHeight="1">
      <c r="A15373" s="286"/>
    </row>
    <row r="15374" spans="1:1" s="287" customFormat="1" ht="12" hidden="1" customHeight="1">
      <c r="A15374" s="286"/>
    </row>
    <row r="15375" spans="1:1" s="287" customFormat="1" ht="12" hidden="1" customHeight="1">
      <c r="A15375" s="286"/>
    </row>
    <row r="15376" spans="1:1" s="287" customFormat="1" ht="12" hidden="1" customHeight="1">
      <c r="A15376" s="286"/>
    </row>
    <row r="15377" spans="1:1" s="287" customFormat="1" ht="12" hidden="1" customHeight="1">
      <c r="A15377" s="286"/>
    </row>
    <row r="15378" spans="1:1" s="287" customFormat="1" ht="12" hidden="1" customHeight="1">
      <c r="A15378" s="286"/>
    </row>
    <row r="15379" spans="1:1" s="287" customFormat="1" ht="12" hidden="1" customHeight="1">
      <c r="A15379" s="286"/>
    </row>
    <row r="15380" spans="1:1" s="287" customFormat="1" ht="12" hidden="1" customHeight="1">
      <c r="A15380" s="286"/>
    </row>
    <row r="15381" spans="1:1" s="287" customFormat="1" ht="12" hidden="1" customHeight="1">
      <c r="A15381" s="286"/>
    </row>
    <row r="15382" spans="1:1" s="287" customFormat="1" ht="12" hidden="1" customHeight="1">
      <c r="A15382" s="286"/>
    </row>
    <row r="15383" spans="1:1" s="287" customFormat="1" ht="12" hidden="1" customHeight="1">
      <c r="A15383" s="286"/>
    </row>
    <row r="15384" spans="1:1" s="287" customFormat="1" ht="12" hidden="1" customHeight="1">
      <c r="A15384" s="286"/>
    </row>
    <row r="15385" spans="1:1" s="287" customFormat="1" ht="12" hidden="1" customHeight="1">
      <c r="A15385" s="286"/>
    </row>
    <row r="15386" spans="1:1" s="287" customFormat="1" ht="12" hidden="1" customHeight="1">
      <c r="A15386" s="286"/>
    </row>
    <row r="15387" spans="1:1" s="287" customFormat="1" ht="12" hidden="1" customHeight="1">
      <c r="A15387" s="286"/>
    </row>
    <row r="15388" spans="1:1" s="287" customFormat="1" ht="12" hidden="1" customHeight="1">
      <c r="A15388" s="286"/>
    </row>
    <row r="15389" spans="1:1" s="287" customFormat="1" ht="12" hidden="1" customHeight="1">
      <c r="A15389" s="286"/>
    </row>
    <row r="15390" spans="1:1" s="287" customFormat="1" ht="12" hidden="1" customHeight="1">
      <c r="A15390" s="286"/>
    </row>
    <row r="15391" spans="1:1" s="287" customFormat="1" ht="12" hidden="1" customHeight="1">
      <c r="A15391" s="286"/>
    </row>
    <row r="15392" spans="1:1" s="287" customFormat="1" ht="12" hidden="1" customHeight="1">
      <c r="A15392" s="286"/>
    </row>
    <row r="15393" spans="1:1" s="287" customFormat="1" ht="12" hidden="1" customHeight="1">
      <c r="A15393" s="286"/>
    </row>
    <row r="15394" spans="1:1" s="287" customFormat="1" ht="12" hidden="1" customHeight="1">
      <c r="A15394" s="286"/>
    </row>
    <row r="15395" spans="1:1" s="287" customFormat="1" ht="12" hidden="1" customHeight="1">
      <c r="A15395" s="286"/>
    </row>
    <row r="15396" spans="1:1" s="287" customFormat="1" ht="12" hidden="1" customHeight="1">
      <c r="A15396" s="286"/>
    </row>
    <row r="15397" spans="1:1" s="287" customFormat="1" ht="12" hidden="1" customHeight="1">
      <c r="A15397" s="286"/>
    </row>
    <row r="15398" spans="1:1" s="287" customFormat="1" ht="12" hidden="1" customHeight="1">
      <c r="A15398" s="286"/>
    </row>
    <row r="15399" spans="1:1" s="287" customFormat="1" ht="12" hidden="1" customHeight="1">
      <c r="A15399" s="286"/>
    </row>
    <row r="15400" spans="1:1" s="287" customFormat="1" ht="12" hidden="1" customHeight="1">
      <c r="A15400" s="286"/>
    </row>
    <row r="15401" spans="1:1" s="287" customFormat="1" ht="12" hidden="1" customHeight="1">
      <c r="A15401" s="286"/>
    </row>
    <row r="15402" spans="1:1" s="287" customFormat="1" ht="12" hidden="1" customHeight="1">
      <c r="A15402" s="286"/>
    </row>
    <row r="15403" spans="1:1" s="287" customFormat="1" ht="12" hidden="1" customHeight="1">
      <c r="A15403" s="286"/>
    </row>
    <row r="15404" spans="1:1" s="287" customFormat="1" ht="12" hidden="1" customHeight="1">
      <c r="A15404" s="286"/>
    </row>
    <row r="15405" spans="1:1" s="287" customFormat="1" ht="12" hidden="1" customHeight="1">
      <c r="A15405" s="286"/>
    </row>
    <row r="15406" spans="1:1" s="287" customFormat="1" ht="12" hidden="1" customHeight="1">
      <c r="A15406" s="286"/>
    </row>
    <row r="15407" spans="1:1" s="287" customFormat="1" ht="12" hidden="1" customHeight="1">
      <c r="A15407" s="286"/>
    </row>
    <row r="15408" spans="1:1" s="287" customFormat="1" ht="12" hidden="1" customHeight="1">
      <c r="A15408" s="286"/>
    </row>
    <row r="15409" spans="1:1" s="287" customFormat="1" ht="12" hidden="1" customHeight="1">
      <c r="A15409" s="286"/>
    </row>
    <row r="15410" spans="1:1" s="287" customFormat="1" ht="12" hidden="1" customHeight="1">
      <c r="A15410" s="286"/>
    </row>
    <row r="15411" spans="1:1" s="287" customFormat="1" ht="12" hidden="1" customHeight="1">
      <c r="A15411" s="286"/>
    </row>
    <row r="15412" spans="1:1" s="287" customFormat="1" ht="12" hidden="1" customHeight="1">
      <c r="A15412" s="286"/>
    </row>
    <row r="15413" spans="1:1" s="287" customFormat="1" ht="12" hidden="1" customHeight="1">
      <c r="A15413" s="286"/>
    </row>
    <row r="15414" spans="1:1" s="287" customFormat="1" ht="12" hidden="1" customHeight="1">
      <c r="A15414" s="286"/>
    </row>
    <row r="15415" spans="1:1" s="287" customFormat="1" ht="12" hidden="1" customHeight="1">
      <c r="A15415" s="286"/>
    </row>
    <row r="15416" spans="1:1" s="287" customFormat="1" ht="12" hidden="1" customHeight="1">
      <c r="A15416" s="286"/>
    </row>
    <row r="15417" spans="1:1" s="287" customFormat="1" ht="12" hidden="1" customHeight="1">
      <c r="A15417" s="286"/>
    </row>
    <row r="15418" spans="1:1" s="287" customFormat="1" ht="12" hidden="1" customHeight="1">
      <c r="A15418" s="286"/>
    </row>
    <row r="15419" spans="1:1" s="287" customFormat="1" ht="12" hidden="1" customHeight="1">
      <c r="A15419" s="286"/>
    </row>
    <row r="15420" spans="1:1" s="287" customFormat="1" ht="12" hidden="1" customHeight="1">
      <c r="A15420" s="286"/>
    </row>
    <row r="15421" spans="1:1" s="287" customFormat="1" ht="12" hidden="1" customHeight="1">
      <c r="A15421" s="286"/>
    </row>
    <row r="15422" spans="1:1" s="287" customFormat="1" ht="12" hidden="1" customHeight="1">
      <c r="A15422" s="286"/>
    </row>
    <row r="15423" spans="1:1" s="287" customFormat="1" ht="12" hidden="1" customHeight="1">
      <c r="A15423" s="286"/>
    </row>
    <row r="15424" spans="1:1" s="287" customFormat="1" ht="12" hidden="1" customHeight="1">
      <c r="A15424" s="286"/>
    </row>
    <row r="15425" spans="1:1" s="287" customFormat="1" ht="12" hidden="1" customHeight="1">
      <c r="A15425" s="286"/>
    </row>
    <row r="15426" spans="1:1" s="287" customFormat="1" ht="12" hidden="1" customHeight="1">
      <c r="A15426" s="286"/>
    </row>
    <row r="15427" spans="1:1" s="287" customFormat="1" ht="12" hidden="1" customHeight="1">
      <c r="A15427" s="286"/>
    </row>
    <row r="15428" spans="1:1" s="287" customFormat="1" ht="12" hidden="1" customHeight="1">
      <c r="A15428" s="286"/>
    </row>
    <row r="15429" spans="1:1" s="287" customFormat="1" ht="12" hidden="1" customHeight="1">
      <c r="A15429" s="286"/>
    </row>
    <row r="15430" spans="1:1" s="287" customFormat="1" ht="12" hidden="1" customHeight="1">
      <c r="A15430" s="286"/>
    </row>
    <row r="15431" spans="1:1" s="287" customFormat="1" ht="12" hidden="1" customHeight="1">
      <c r="A15431" s="286"/>
    </row>
    <row r="15432" spans="1:1" s="287" customFormat="1" ht="12" hidden="1" customHeight="1">
      <c r="A15432" s="286"/>
    </row>
    <row r="15433" spans="1:1" s="287" customFormat="1" ht="12" hidden="1" customHeight="1">
      <c r="A15433" s="286"/>
    </row>
    <row r="15434" spans="1:1" s="287" customFormat="1" ht="12" hidden="1" customHeight="1">
      <c r="A15434" s="286"/>
    </row>
    <row r="15435" spans="1:1" s="287" customFormat="1" ht="12" hidden="1" customHeight="1">
      <c r="A15435" s="286"/>
    </row>
    <row r="15436" spans="1:1" s="287" customFormat="1" ht="12" hidden="1" customHeight="1">
      <c r="A15436" s="286"/>
    </row>
    <row r="15437" spans="1:1" s="287" customFormat="1" ht="12" hidden="1" customHeight="1">
      <c r="A15437" s="286"/>
    </row>
    <row r="15438" spans="1:1" s="287" customFormat="1" ht="12" hidden="1" customHeight="1">
      <c r="A15438" s="286"/>
    </row>
    <row r="15439" spans="1:1" s="287" customFormat="1" ht="12" hidden="1" customHeight="1">
      <c r="A15439" s="286"/>
    </row>
    <row r="15440" spans="1:1" s="287" customFormat="1" ht="12" hidden="1" customHeight="1">
      <c r="A15440" s="286"/>
    </row>
    <row r="15441" spans="1:1" s="287" customFormat="1" ht="12" hidden="1" customHeight="1">
      <c r="A15441" s="286"/>
    </row>
    <row r="15442" spans="1:1" s="287" customFormat="1" ht="12" hidden="1" customHeight="1">
      <c r="A15442" s="286"/>
    </row>
    <row r="15443" spans="1:1" s="287" customFormat="1" ht="12" hidden="1" customHeight="1">
      <c r="A15443" s="286"/>
    </row>
    <row r="15444" spans="1:1" s="287" customFormat="1" ht="12" hidden="1" customHeight="1">
      <c r="A15444" s="286"/>
    </row>
    <row r="15445" spans="1:1" s="287" customFormat="1" ht="12" hidden="1" customHeight="1">
      <c r="A15445" s="286"/>
    </row>
    <row r="15446" spans="1:1" s="287" customFormat="1" ht="12" hidden="1" customHeight="1">
      <c r="A15446" s="286"/>
    </row>
    <row r="15447" spans="1:1" s="287" customFormat="1" ht="12" hidden="1" customHeight="1">
      <c r="A15447" s="286"/>
    </row>
    <row r="15448" spans="1:1" s="287" customFormat="1" ht="12" hidden="1" customHeight="1">
      <c r="A15448" s="286"/>
    </row>
    <row r="15449" spans="1:1" s="287" customFormat="1" ht="12" hidden="1" customHeight="1">
      <c r="A15449" s="286"/>
    </row>
    <row r="15450" spans="1:1" s="287" customFormat="1" ht="12" hidden="1" customHeight="1">
      <c r="A15450" s="286"/>
    </row>
    <row r="15451" spans="1:1" s="287" customFormat="1" ht="12" hidden="1" customHeight="1">
      <c r="A15451" s="286"/>
    </row>
    <row r="15452" spans="1:1" s="287" customFormat="1" ht="12" hidden="1" customHeight="1">
      <c r="A15452" s="286"/>
    </row>
    <row r="15453" spans="1:1" s="287" customFormat="1" ht="12" hidden="1" customHeight="1">
      <c r="A15453" s="286"/>
    </row>
    <row r="15454" spans="1:1" s="287" customFormat="1" ht="12" hidden="1" customHeight="1">
      <c r="A15454" s="286"/>
    </row>
    <row r="15455" spans="1:1" s="287" customFormat="1" ht="12" hidden="1" customHeight="1">
      <c r="A15455" s="286"/>
    </row>
    <row r="15456" spans="1:1" s="287" customFormat="1" ht="12" hidden="1" customHeight="1">
      <c r="A15456" s="286"/>
    </row>
    <row r="15457" spans="1:1" s="287" customFormat="1" ht="12" hidden="1" customHeight="1">
      <c r="A15457" s="286"/>
    </row>
    <row r="15458" spans="1:1" s="287" customFormat="1" ht="12" hidden="1" customHeight="1">
      <c r="A15458" s="286"/>
    </row>
    <row r="15459" spans="1:1" s="287" customFormat="1" ht="12" hidden="1" customHeight="1">
      <c r="A15459" s="286"/>
    </row>
    <row r="15460" spans="1:1" s="287" customFormat="1" ht="12" hidden="1" customHeight="1">
      <c r="A15460" s="286"/>
    </row>
    <row r="15461" spans="1:1" s="287" customFormat="1" ht="12" hidden="1" customHeight="1">
      <c r="A15461" s="286"/>
    </row>
    <row r="15462" spans="1:1" s="287" customFormat="1" ht="12" hidden="1" customHeight="1">
      <c r="A15462" s="286"/>
    </row>
    <row r="15463" spans="1:1" s="287" customFormat="1" ht="12" hidden="1" customHeight="1">
      <c r="A15463" s="286"/>
    </row>
    <row r="15464" spans="1:1" s="287" customFormat="1" ht="12" hidden="1" customHeight="1">
      <c r="A15464" s="286"/>
    </row>
    <row r="15465" spans="1:1" s="287" customFormat="1" ht="12" hidden="1" customHeight="1">
      <c r="A15465" s="286"/>
    </row>
    <row r="15466" spans="1:1" s="287" customFormat="1" ht="12" hidden="1" customHeight="1">
      <c r="A15466" s="286"/>
    </row>
    <row r="15467" spans="1:1" s="287" customFormat="1" ht="12" hidden="1" customHeight="1">
      <c r="A15467" s="286"/>
    </row>
    <row r="15468" spans="1:1" s="287" customFormat="1" ht="12" hidden="1" customHeight="1">
      <c r="A15468" s="286"/>
    </row>
    <row r="15469" spans="1:1" s="287" customFormat="1" ht="12" hidden="1" customHeight="1">
      <c r="A15469" s="286"/>
    </row>
    <row r="15470" spans="1:1" s="287" customFormat="1" ht="12" hidden="1" customHeight="1">
      <c r="A15470" s="286"/>
    </row>
    <row r="15471" spans="1:1" s="287" customFormat="1" ht="12" hidden="1" customHeight="1">
      <c r="A15471" s="286"/>
    </row>
    <row r="15472" spans="1:1" s="287" customFormat="1" ht="12" hidden="1" customHeight="1">
      <c r="A15472" s="286"/>
    </row>
    <row r="15473" spans="1:1" s="287" customFormat="1" ht="12" hidden="1" customHeight="1">
      <c r="A15473" s="286"/>
    </row>
    <row r="15474" spans="1:1" s="287" customFormat="1" ht="12" hidden="1" customHeight="1">
      <c r="A15474" s="286"/>
    </row>
    <row r="15475" spans="1:1" s="287" customFormat="1" ht="12" hidden="1" customHeight="1">
      <c r="A15475" s="286"/>
    </row>
    <row r="15476" spans="1:1" s="287" customFormat="1" ht="12" hidden="1" customHeight="1">
      <c r="A15476" s="286"/>
    </row>
    <row r="15477" spans="1:1" s="287" customFormat="1" ht="12" hidden="1" customHeight="1">
      <c r="A15477" s="286"/>
    </row>
    <row r="15478" spans="1:1" s="287" customFormat="1" ht="12" hidden="1" customHeight="1">
      <c r="A15478" s="286"/>
    </row>
    <row r="15479" spans="1:1" s="287" customFormat="1" ht="12" hidden="1" customHeight="1">
      <c r="A15479" s="286"/>
    </row>
    <row r="15480" spans="1:1" s="287" customFormat="1" ht="12" hidden="1" customHeight="1">
      <c r="A15480" s="286"/>
    </row>
    <row r="15481" spans="1:1" s="287" customFormat="1" ht="12" hidden="1" customHeight="1">
      <c r="A15481" s="286"/>
    </row>
    <row r="15482" spans="1:1" s="287" customFormat="1" ht="12" hidden="1" customHeight="1">
      <c r="A15482" s="286"/>
    </row>
    <row r="15483" spans="1:1" s="287" customFormat="1" ht="12" hidden="1" customHeight="1">
      <c r="A15483" s="286"/>
    </row>
    <row r="15484" spans="1:1" s="287" customFormat="1" ht="12" hidden="1" customHeight="1">
      <c r="A15484" s="286"/>
    </row>
    <row r="15485" spans="1:1" s="287" customFormat="1" ht="12" hidden="1" customHeight="1">
      <c r="A15485" s="286"/>
    </row>
    <row r="15486" spans="1:1" s="287" customFormat="1" ht="12" hidden="1" customHeight="1">
      <c r="A15486" s="286"/>
    </row>
    <row r="15487" spans="1:1" s="287" customFormat="1" ht="12" hidden="1" customHeight="1">
      <c r="A15487" s="286"/>
    </row>
    <row r="15488" spans="1:1" s="287" customFormat="1" ht="12" hidden="1" customHeight="1">
      <c r="A15488" s="286"/>
    </row>
    <row r="15489" spans="1:1" s="287" customFormat="1" ht="12" hidden="1" customHeight="1">
      <c r="A15489" s="286"/>
    </row>
    <row r="15490" spans="1:1" s="287" customFormat="1" ht="12" hidden="1" customHeight="1">
      <c r="A15490" s="286"/>
    </row>
    <row r="15491" spans="1:1" s="287" customFormat="1" ht="12" hidden="1" customHeight="1">
      <c r="A15491" s="286"/>
    </row>
    <row r="15492" spans="1:1" s="287" customFormat="1" ht="12" hidden="1" customHeight="1">
      <c r="A15492" s="286"/>
    </row>
    <row r="15493" spans="1:1" s="287" customFormat="1" ht="12" hidden="1" customHeight="1">
      <c r="A15493" s="286"/>
    </row>
    <row r="15494" spans="1:1" s="287" customFormat="1" ht="12" hidden="1" customHeight="1">
      <c r="A15494" s="286"/>
    </row>
    <row r="15495" spans="1:1" s="287" customFormat="1" ht="12" hidden="1" customHeight="1">
      <c r="A15495" s="286"/>
    </row>
    <row r="15496" spans="1:1" s="287" customFormat="1" ht="12" hidden="1" customHeight="1">
      <c r="A15496" s="286"/>
    </row>
    <row r="15497" spans="1:1" s="287" customFormat="1" ht="12" hidden="1" customHeight="1">
      <c r="A15497" s="286"/>
    </row>
    <row r="15498" spans="1:1" s="287" customFormat="1" ht="12" hidden="1" customHeight="1">
      <c r="A15498" s="286"/>
    </row>
    <row r="15499" spans="1:1" s="287" customFormat="1" ht="12" hidden="1" customHeight="1">
      <c r="A15499" s="286"/>
    </row>
    <row r="15500" spans="1:1" s="287" customFormat="1" ht="12" hidden="1" customHeight="1">
      <c r="A15500" s="286"/>
    </row>
    <row r="15501" spans="1:1" s="287" customFormat="1" ht="12" hidden="1" customHeight="1">
      <c r="A15501" s="286"/>
    </row>
    <row r="15502" spans="1:1" s="287" customFormat="1" ht="12" hidden="1" customHeight="1">
      <c r="A15502" s="286"/>
    </row>
    <row r="15503" spans="1:1" s="287" customFormat="1" ht="12" hidden="1" customHeight="1">
      <c r="A15503" s="286"/>
    </row>
    <row r="15504" spans="1:1" s="287" customFormat="1" ht="12" hidden="1" customHeight="1">
      <c r="A15504" s="286"/>
    </row>
    <row r="15505" spans="1:1" s="287" customFormat="1" ht="12" hidden="1" customHeight="1">
      <c r="A15505" s="286"/>
    </row>
    <row r="15506" spans="1:1" s="287" customFormat="1" ht="12" hidden="1" customHeight="1">
      <c r="A15506" s="286"/>
    </row>
    <row r="15507" spans="1:1" s="287" customFormat="1" ht="12" hidden="1" customHeight="1">
      <c r="A15507" s="286"/>
    </row>
    <row r="15508" spans="1:1" s="287" customFormat="1" ht="12" hidden="1" customHeight="1">
      <c r="A15508" s="286"/>
    </row>
    <row r="15509" spans="1:1" s="287" customFormat="1" ht="12" hidden="1" customHeight="1">
      <c r="A15509" s="286"/>
    </row>
    <row r="15510" spans="1:1" s="287" customFormat="1" ht="12" hidden="1" customHeight="1">
      <c r="A15510" s="286"/>
    </row>
    <row r="15511" spans="1:1" s="287" customFormat="1" ht="12" hidden="1" customHeight="1">
      <c r="A15511" s="286"/>
    </row>
    <row r="15512" spans="1:1" s="287" customFormat="1" ht="12" hidden="1" customHeight="1">
      <c r="A15512" s="286"/>
    </row>
    <row r="15513" spans="1:1" s="287" customFormat="1" ht="12" hidden="1" customHeight="1">
      <c r="A15513" s="286"/>
    </row>
    <row r="15514" spans="1:1" s="287" customFormat="1" ht="12" hidden="1" customHeight="1">
      <c r="A15514" s="286"/>
    </row>
    <row r="15515" spans="1:1" s="287" customFormat="1" ht="12" hidden="1" customHeight="1">
      <c r="A15515" s="286"/>
    </row>
    <row r="15516" spans="1:1" s="287" customFormat="1" ht="12" hidden="1" customHeight="1">
      <c r="A15516" s="286"/>
    </row>
    <row r="15517" spans="1:1" s="287" customFormat="1" ht="12" hidden="1" customHeight="1">
      <c r="A15517" s="286"/>
    </row>
    <row r="15518" spans="1:1" s="287" customFormat="1" ht="12" hidden="1" customHeight="1">
      <c r="A15518" s="286"/>
    </row>
    <row r="15519" spans="1:1" s="287" customFormat="1" ht="12" hidden="1" customHeight="1">
      <c r="A15519" s="286"/>
    </row>
    <row r="15520" spans="1:1" s="287" customFormat="1" ht="12" hidden="1" customHeight="1">
      <c r="A15520" s="286"/>
    </row>
    <row r="15521" spans="1:1" s="287" customFormat="1" ht="12" hidden="1" customHeight="1">
      <c r="A15521" s="286"/>
    </row>
    <row r="15522" spans="1:1" s="287" customFormat="1" ht="12" hidden="1" customHeight="1">
      <c r="A15522" s="286"/>
    </row>
    <row r="15523" spans="1:1" s="287" customFormat="1" ht="12" hidden="1" customHeight="1">
      <c r="A15523" s="286"/>
    </row>
    <row r="15524" spans="1:1" s="287" customFormat="1" ht="12" hidden="1" customHeight="1">
      <c r="A15524" s="286"/>
    </row>
    <row r="15525" spans="1:1" s="287" customFormat="1" ht="12" hidden="1" customHeight="1">
      <c r="A15525" s="286"/>
    </row>
    <row r="15526" spans="1:1" s="287" customFormat="1" ht="12" hidden="1" customHeight="1">
      <c r="A15526" s="286"/>
    </row>
    <row r="15527" spans="1:1" s="287" customFormat="1" ht="12" hidden="1" customHeight="1">
      <c r="A15527" s="286"/>
    </row>
    <row r="15528" spans="1:1" s="287" customFormat="1" ht="12" hidden="1" customHeight="1">
      <c r="A15528" s="286"/>
    </row>
    <row r="15529" spans="1:1" s="287" customFormat="1" ht="12" hidden="1" customHeight="1">
      <c r="A15529" s="286"/>
    </row>
    <row r="15530" spans="1:1" s="287" customFormat="1" ht="12" hidden="1" customHeight="1">
      <c r="A15530" s="286"/>
    </row>
    <row r="15531" spans="1:1" s="287" customFormat="1" ht="12" hidden="1" customHeight="1">
      <c r="A15531" s="286"/>
    </row>
    <row r="15532" spans="1:1" s="287" customFormat="1" ht="12" hidden="1" customHeight="1">
      <c r="A15532" s="286"/>
    </row>
    <row r="15533" spans="1:1" s="287" customFormat="1" ht="12" hidden="1" customHeight="1">
      <c r="A15533" s="286"/>
    </row>
    <row r="15534" spans="1:1" s="287" customFormat="1" ht="12" hidden="1" customHeight="1">
      <c r="A15534" s="286"/>
    </row>
    <row r="15535" spans="1:1" s="287" customFormat="1" ht="12" hidden="1" customHeight="1">
      <c r="A15535" s="286"/>
    </row>
    <row r="15536" spans="1:1" s="287" customFormat="1" ht="12" hidden="1" customHeight="1">
      <c r="A15536" s="286"/>
    </row>
    <row r="15537" spans="1:1" s="287" customFormat="1" ht="12" hidden="1" customHeight="1">
      <c r="A15537" s="286"/>
    </row>
    <row r="15538" spans="1:1" s="287" customFormat="1" ht="12" hidden="1" customHeight="1">
      <c r="A15538" s="286"/>
    </row>
    <row r="15539" spans="1:1" s="287" customFormat="1" ht="12" hidden="1" customHeight="1">
      <c r="A15539" s="286"/>
    </row>
    <row r="15540" spans="1:1" s="287" customFormat="1" ht="12" hidden="1" customHeight="1">
      <c r="A15540" s="286"/>
    </row>
    <row r="15541" spans="1:1" s="287" customFormat="1" ht="12" hidden="1" customHeight="1">
      <c r="A15541" s="286"/>
    </row>
    <row r="15542" spans="1:1" s="287" customFormat="1" ht="12" hidden="1" customHeight="1">
      <c r="A15542" s="286"/>
    </row>
    <row r="15543" spans="1:1" s="287" customFormat="1" ht="12" hidden="1" customHeight="1">
      <c r="A15543" s="286"/>
    </row>
    <row r="15544" spans="1:1" s="287" customFormat="1" ht="12" hidden="1" customHeight="1">
      <c r="A15544" s="286"/>
    </row>
    <row r="15545" spans="1:1" s="287" customFormat="1" ht="12" hidden="1" customHeight="1">
      <c r="A15545" s="286"/>
    </row>
    <row r="15546" spans="1:1" s="287" customFormat="1" ht="12" hidden="1" customHeight="1">
      <c r="A15546" s="286"/>
    </row>
    <row r="15547" spans="1:1" s="287" customFormat="1" ht="12" hidden="1" customHeight="1">
      <c r="A15547" s="286"/>
    </row>
    <row r="15548" spans="1:1" s="287" customFormat="1" ht="12" hidden="1" customHeight="1">
      <c r="A15548" s="286"/>
    </row>
    <row r="15549" spans="1:1" s="287" customFormat="1" ht="12" hidden="1" customHeight="1">
      <c r="A15549" s="286"/>
    </row>
    <row r="15550" spans="1:1" s="287" customFormat="1" ht="12" hidden="1" customHeight="1">
      <c r="A15550" s="286"/>
    </row>
    <row r="15551" spans="1:1" s="287" customFormat="1" ht="12" hidden="1" customHeight="1">
      <c r="A15551" s="286"/>
    </row>
    <row r="15552" spans="1:1" s="287" customFormat="1" ht="12" hidden="1" customHeight="1">
      <c r="A15552" s="286"/>
    </row>
    <row r="15553" spans="1:1" s="287" customFormat="1" ht="12" hidden="1" customHeight="1">
      <c r="A15553" s="286"/>
    </row>
    <row r="15554" spans="1:1" s="287" customFormat="1" ht="12" hidden="1" customHeight="1">
      <c r="A15554" s="286"/>
    </row>
    <row r="15555" spans="1:1" s="287" customFormat="1" ht="12" hidden="1" customHeight="1">
      <c r="A15555" s="286"/>
    </row>
    <row r="15556" spans="1:1" s="287" customFormat="1" ht="12" hidden="1" customHeight="1">
      <c r="A15556" s="286"/>
    </row>
    <row r="15557" spans="1:1" s="287" customFormat="1" ht="12" hidden="1" customHeight="1">
      <c r="A15557" s="286"/>
    </row>
    <row r="15558" spans="1:1" s="287" customFormat="1" ht="12" hidden="1" customHeight="1">
      <c r="A15558" s="286"/>
    </row>
    <row r="15559" spans="1:1" s="287" customFormat="1" ht="12" hidden="1" customHeight="1">
      <c r="A15559" s="286"/>
    </row>
    <row r="15560" spans="1:1" s="287" customFormat="1" ht="12" hidden="1" customHeight="1">
      <c r="A15560" s="286"/>
    </row>
    <row r="15561" spans="1:1" s="287" customFormat="1" ht="12" hidden="1" customHeight="1">
      <c r="A15561" s="286"/>
    </row>
    <row r="15562" spans="1:1" s="287" customFormat="1" ht="12" hidden="1" customHeight="1">
      <c r="A15562" s="286"/>
    </row>
    <row r="15563" spans="1:1" s="287" customFormat="1" ht="12" hidden="1" customHeight="1">
      <c r="A15563" s="286"/>
    </row>
    <row r="15564" spans="1:1" s="287" customFormat="1" ht="12" hidden="1" customHeight="1">
      <c r="A15564" s="286"/>
    </row>
    <row r="15565" spans="1:1" s="287" customFormat="1" ht="12" hidden="1" customHeight="1">
      <c r="A15565" s="286"/>
    </row>
    <row r="15566" spans="1:1" s="287" customFormat="1" ht="12" hidden="1" customHeight="1">
      <c r="A15566" s="286"/>
    </row>
    <row r="15567" spans="1:1" s="287" customFormat="1" ht="12" hidden="1" customHeight="1">
      <c r="A15567" s="286"/>
    </row>
    <row r="15568" spans="1:1" s="287" customFormat="1" ht="12" hidden="1" customHeight="1">
      <c r="A15568" s="286"/>
    </row>
    <row r="15569" spans="1:1" s="287" customFormat="1" ht="12" hidden="1" customHeight="1">
      <c r="A15569" s="286"/>
    </row>
    <row r="15570" spans="1:1" s="287" customFormat="1" ht="12" hidden="1" customHeight="1">
      <c r="A15570" s="286"/>
    </row>
    <row r="15571" spans="1:1" s="287" customFormat="1" ht="12" hidden="1" customHeight="1">
      <c r="A15571" s="286"/>
    </row>
    <row r="15572" spans="1:1" s="287" customFormat="1" ht="12" hidden="1" customHeight="1">
      <c r="A15572" s="286"/>
    </row>
    <row r="15573" spans="1:1" s="287" customFormat="1" ht="12" hidden="1" customHeight="1">
      <c r="A15573" s="286"/>
    </row>
    <row r="15574" spans="1:1" s="287" customFormat="1" ht="12" hidden="1" customHeight="1">
      <c r="A15574" s="286"/>
    </row>
    <row r="15575" spans="1:1" s="287" customFormat="1" ht="12" hidden="1" customHeight="1">
      <c r="A15575" s="286"/>
    </row>
    <row r="15576" spans="1:1" s="287" customFormat="1" ht="12" hidden="1" customHeight="1">
      <c r="A15576" s="286"/>
    </row>
    <row r="15577" spans="1:1" s="287" customFormat="1" ht="12" hidden="1" customHeight="1">
      <c r="A15577" s="286"/>
    </row>
    <row r="15578" spans="1:1" s="287" customFormat="1" ht="12" hidden="1" customHeight="1">
      <c r="A15578" s="286"/>
    </row>
    <row r="15579" spans="1:1" s="287" customFormat="1" ht="12" hidden="1" customHeight="1">
      <c r="A15579" s="286"/>
    </row>
    <row r="15580" spans="1:1" s="287" customFormat="1" ht="12" hidden="1" customHeight="1">
      <c r="A15580" s="286"/>
    </row>
    <row r="15581" spans="1:1" s="287" customFormat="1" ht="12" hidden="1" customHeight="1">
      <c r="A15581" s="286"/>
    </row>
    <row r="15582" spans="1:1" s="287" customFormat="1" ht="12" hidden="1" customHeight="1">
      <c r="A15582" s="286"/>
    </row>
    <row r="15583" spans="1:1" s="287" customFormat="1" ht="12" hidden="1" customHeight="1">
      <c r="A15583" s="286"/>
    </row>
    <row r="15584" spans="1:1" s="287" customFormat="1" ht="12" hidden="1" customHeight="1">
      <c r="A15584" s="286"/>
    </row>
    <row r="15585" spans="1:1" s="287" customFormat="1" ht="12" hidden="1" customHeight="1">
      <c r="A15585" s="286"/>
    </row>
    <row r="15586" spans="1:1" s="287" customFormat="1" ht="12" hidden="1" customHeight="1">
      <c r="A15586" s="286"/>
    </row>
    <row r="15587" spans="1:1" s="287" customFormat="1" ht="12" hidden="1" customHeight="1">
      <c r="A15587" s="286"/>
    </row>
    <row r="15588" spans="1:1" s="287" customFormat="1" ht="12" hidden="1" customHeight="1">
      <c r="A15588" s="286"/>
    </row>
    <row r="15589" spans="1:1" s="287" customFormat="1" ht="12" hidden="1" customHeight="1">
      <c r="A15589" s="286"/>
    </row>
    <row r="15590" spans="1:1" s="287" customFormat="1" ht="12" hidden="1" customHeight="1">
      <c r="A15590" s="286"/>
    </row>
    <row r="15591" spans="1:1" s="287" customFormat="1" ht="12" hidden="1" customHeight="1">
      <c r="A15591" s="286"/>
    </row>
    <row r="15592" spans="1:1" s="287" customFormat="1" ht="12" hidden="1" customHeight="1">
      <c r="A15592" s="286"/>
    </row>
    <row r="15593" spans="1:1" s="287" customFormat="1" ht="12" hidden="1" customHeight="1">
      <c r="A15593" s="286"/>
    </row>
    <row r="15594" spans="1:1" s="287" customFormat="1" ht="12" hidden="1" customHeight="1">
      <c r="A15594" s="286"/>
    </row>
    <row r="15595" spans="1:1" s="287" customFormat="1" ht="12" hidden="1" customHeight="1">
      <c r="A15595" s="286"/>
    </row>
    <row r="15596" spans="1:1" s="287" customFormat="1" ht="12" hidden="1" customHeight="1">
      <c r="A15596" s="286"/>
    </row>
    <row r="15597" spans="1:1" s="287" customFormat="1" ht="12" hidden="1" customHeight="1">
      <c r="A15597" s="286"/>
    </row>
    <row r="15598" spans="1:1" s="287" customFormat="1" ht="12" hidden="1" customHeight="1">
      <c r="A15598" s="286"/>
    </row>
    <row r="15599" spans="1:1" s="287" customFormat="1" ht="12" hidden="1" customHeight="1">
      <c r="A15599" s="286"/>
    </row>
    <row r="15600" spans="1:1" s="287" customFormat="1" ht="12" hidden="1" customHeight="1">
      <c r="A15600" s="286"/>
    </row>
    <row r="15601" spans="1:1" s="287" customFormat="1" ht="12" hidden="1" customHeight="1">
      <c r="A15601" s="286"/>
    </row>
    <row r="15602" spans="1:1" s="287" customFormat="1" ht="12" hidden="1" customHeight="1">
      <c r="A15602" s="286"/>
    </row>
    <row r="15603" spans="1:1" s="287" customFormat="1" ht="12" hidden="1" customHeight="1">
      <c r="A15603" s="286"/>
    </row>
    <row r="15604" spans="1:1" s="287" customFormat="1" ht="12" hidden="1" customHeight="1">
      <c r="A15604" s="286"/>
    </row>
    <row r="15605" spans="1:1" s="287" customFormat="1" ht="12" hidden="1" customHeight="1">
      <c r="A15605" s="286"/>
    </row>
    <row r="15606" spans="1:1" s="287" customFormat="1" ht="12" hidden="1" customHeight="1">
      <c r="A15606" s="286"/>
    </row>
    <row r="15607" spans="1:1" s="287" customFormat="1" ht="12" hidden="1" customHeight="1">
      <c r="A15607" s="286"/>
    </row>
    <row r="15608" spans="1:1" s="287" customFormat="1" ht="12" hidden="1" customHeight="1">
      <c r="A15608" s="286"/>
    </row>
    <row r="15609" spans="1:1" s="287" customFormat="1" ht="12" hidden="1" customHeight="1">
      <c r="A15609" s="286"/>
    </row>
    <row r="15610" spans="1:1" s="287" customFormat="1" ht="12" hidden="1" customHeight="1">
      <c r="A15610" s="286"/>
    </row>
    <row r="15611" spans="1:1" s="287" customFormat="1" ht="12" hidden="1" customHeight="1">
      <c r="A15611" s="286"/>
    </row>
    <row r="15612" spans="1:1" s="287" customFormat="1" ht="12" hidden="1" customHeight="1">
      <c r="A15612" s="286"/>
    </row>
    <row r="15613" spans="1:1" s="287" customFormat="1" ht="12" hidden="1" customHeight="1">
      <c r="A15613" s="286"/>
    </row>
    <row r="15614" spans="1:1" s="287" customFormat="1" ht="12" hidden="1" customHeight="1">
      <c r="A15614" s="286"/>
    </row>
    <row r="15615" spans="1:1" s="287" customFormat="1" ht="12" hidden="1" customHeight="1">
      <c r="A15615" s="286"/>
    </row>
    <row r="15616" spans="1:1" s="287" customFormat="1" ht="12" hidden="1" customHeight="1">
      <c r="A15616" s="286"/>
    </row>
    <row r="15617" spans="1:1" s="287" customFormat="1" ht="12" hidden="1" customHeight="1">
      <c r="A15617" s="286"/>
    </row>
    <row r="15618" spans="1:1" s="287" customFormat="1" ht="12" hidden="1" customHeight="1">
      <c r="A15618" s="286"/>
    </row>
    <row r="15619" spans="1:1" s="287" customFormat="1" ht="12" hidden="1" customHeight="1">
      <c r="A15619" s="286"/>
    </row>
    <row r="15620" spans="1:1" s="287" customFormat="1" ht="12" hidden="1" customHeight="1">
      <c r="A15620" s="286"/>
    </row>
    <row r="15621" spans="1:1" s="287" customFormat="1" ht="12" hidden="1" customHeight="1">
      <c r="A15621" s="286"/>
    </row>
    <row r="15622" spans="1:1" s="287" customFormat="1" ht="12" hidden="1" customHeight="1">
      <c r="A15622" s="286"/>
    </row>
    <row r="15623" spans="1:1" s="287" customFormat="1" ht="12" hidden="1" customHeight="1">
      <c r="A15623" s="286"/>
    </row>
    <row r="15624" spans="1:1" s="287" customFormat="1" ht="12" hidden="1" customHeight="1">
      <c r="A15624" s="286"/>
    </row>
    <row r="15625" spans="1:1" s="287" customFormat="1" ht="12" hidden="1" customHeight="1">
      <c r="A15625" s="286"/>
    </row>
    <row r="15626" spans="1:1" s="287" customFormat="1" ht="12" hidden="1" customHeight="1">
      <c r="A15626" s="286"/>
    </row>
    <row r="15627" spans="1:1" s="287" customFormat="1" ht="12" hidden="1" customHeight="1">
      <c r="A15627" s="286"/>
    </row>
    <row r="15628" spans="1:1" s="287" customFormat="1" ht="12" hidden="1" customHeight="1">
      <c r="A15628" s="286"/>
    </row>
    <row r="15629" spans="1:1" s="287" customFormat="1" ht="12" hidden="1" customHeight="1">
      <c r="A15629" s="286"/>
    </row>
    <row r="15630" spans="1:1" s="287" customFormat="1" ht="12" hidden="1" customHeight="1">
      <c r="A15630" s="286"/>
    </row>
    <row r="15631" spans="1:1" s="287" customFormat="1" ht="12" hidden="1" customHeight="1">
      <c r="A15631" s="286"/>
    </row>
    <row r="15632" spans="1:1" s="287" customFormat="1" ht="12" hidden="1" customHeight="1">
      <c r="A15632" s="286"/>
    </row>
    <row r="15633" spans="1:1" s="287" customFormat="1" ht="12" hidden="1" customHeight="1">
      <c r="A15633" s="286"/>
    </row>
    <row r="15634" spans="1:1" s="287" customFormat="1" ht="12" hidden="1" customHeight="1">
      <c r="A15634" s="286"/>
    </row>
    <row r="15635" spans="1:1" s="287" customFormat="1" ht="12" hidden="1" customHeight="1">
      <c r="A15635" s="286"/>
    </row>
    <row r="15636" spans="1:1" s="287" customFormat="1" ht="12" hidden="1" customHeight="1">
      <c r="A15636" s="286"/>
    </row>
    <row r="15637" spans="1:1" s="287" customFormat="1" ht="12" hidden="1" customHeight="1">
      <c r="A15637" s="286"/>
    </row>
    <row r="15638" spans="1:1" s="287" customFormat="1" ht="12" hidden="1" customHeight="1">
      <c r="A15638" s="286"/>
    </row>
    <row r="15639" spans="1:1" s="287" customFormat="1" ht="12" hidden="1" customHeight="1">
      <c r="A15639" s="286"/>
    </row>
    <row r="15640" spans="1:1" s="287" customFormat="1" ht="12" hidden="1" customHeight="1">
      <c r="A15640" s="286"/>
    </row>
    <row r="15641" spans="1:1" s="287" customFormat="1" ht="12" hidden="1" customHeight="1">
      <c r="A15641" s="286"/>
    </row>
    <row r="15642" spans="1:1" s="287" customFormat="1" ht="12" hidden="1" customHeight="1">
      <c r="A15642" s="286"/>
    </row>
    <row r="15643" spans="1:1" s="287" customFormat="1" ht="12" hidden="1" customHeight="1">
      <c r="A15643" s="286"/>
    </row>
    <row r="15644" spans="1:1" s="287" customFormat="1" ht="12" hidden="1" customHeight="1">
      <c r="A15644" s="286"/>
    </row>
    <row r="15645" spans="1:1" s="287" customFormat="1" ht="12" hidden="1" customHeight="1">
      <c r="A15645" s="286"/>
    </row>
    <row r="15646" spans="1:1" s="287" customFormat="1" ht="12" hidden="1" customHeight="1">
      <c r="A15646" s="286"/>
    </row>
    <row r="15647" spans="1:1" s="287" customFormat="1" ht="12" hidden="1" customHeight="1">
      <c r="A15647" s="286"/>
    </row>
    <row r="15648" spans="1:1" s="287" customFormat="1" ht="12" hidden="1" customHeight="1">
      <c r="A15648" s="286"/>
    </row>
    <row r="15649" spans="1:1" s="287" customFormat="1" ht="12" hidden="1" customHeight="1">
      <c r="A15649" s="286"/>
    </row>
    <row r="15650" spans="1:1" s="287" customFormat="1" ht="12" hidden="1" customHeight="1">
      <c r="A15650" s="286"/>
    </row>
    <row r="15651" spans="1:1" s="287" customFormat="1" ht="12" hidden="1" customHeight="1">
      <c r="A15651" s="286"/>
    </row>
    <row r="15652" spans="1:1" s="287" customFormat="1" ht="12" hidden="1" customHeight="1">
      <c r="A15652" s="286"/>
    </row>
    <row r="15653" spans="1:1" s="287" customFormat="1" ht="12" hidden="1" customHeight="1">
      <c r="A15653" s="286"/>
    </row>
    <row r="15654" spans="1:1" s="287" customFormat="1" ht="12" hidden="1" customHeight="1">
      <c r="A15654" s="286"/>
    </row>
    <row r="15655" spans="1:1" s="287" customFormat="1" ht="12" hidden="1" customHeight="1">
      <c r="A15655" s="286"/>
    </row>
    <row r="15656" spans="1:1" s="287" customFormat="1" ht="12" hidden="1" customHeight="1">
      <c r="A15656" s="286"/>
    </row>
    <row r="15657" spans="1:1" s="287" customFormat="1" ht="12" hidden="1" customHeight="1">
      <c r="A15657" s="286"/>
    </row>
    <row r="15658" spans="1:1" s="287" customFormat="1" ht="12" hidden="1" customHeight="1">
      <c r="A15658" s="286"/>
    </row>
    <row r="15659" spans="1:1" s="287" customFormat="1" ht="12" hidden="1" customHeight="1">
      <c r="A15659" s="286"/>
    </row>
    <row r="15660" spans="1:1" s="287" customFormat="1" ht="12" hidden="1" customHeight="1">
      <c r="A15660" s="286"/>
    </row>
    <row r="15661" spans="1:1" s="287" customFormat="1" ht="12" hidden="1" customHeight="1">
      <c r="A15661" s="286"/>
    </row>
    <row r="15662" spans="1:1" s="287" customFormat="1" ht="12" hidden="1" customHeight="1">
      <c r="A15662" s="286"/>
    </row>
    <row r="15663" spans="1:1" s="287" customFormat="1" ht="12" hidden="1" customHeight="1">
      <c r="A15663" s="286"/>
    </row>
    <row r="15664" spans="1:1" s="287" customFormat="1" ht="12" hidden="1" customHeight="1">
      <c r="A15664" s="286"/>
    </row>
    <row r="15665" spans="1:1" s="287" customFormat="1" ht="12" hidden="1" customHeight="1">
      <c r="A15665" s="286"/>
    </row>
    <row r="15666" spans="1:1" s="287" customFormat="1" ht="12" hidden="1" customHeight="1">
      <c r="A15666" s="286"/>
    </row>
    <row r="15667" spans="1:1" s="287" customFormat="1" ht="12" hidden="1" customHeight="1">
      <c r="A15667" s="286"/>
    </row>
    <row r="15668" spans="1:1" s="287" customFormat="1" ht="12" hidden="1" customHeight="1">
      <c r="A15668" s="286"/>
    </row>
    <row r="15669" spans="1:1" s="287" customFormat="1" ht="12" hidden="1" customHeight="1">
      <c r="A15669" s="286"/>
    </row>
    <row r="15670" spans="1:1" s="287" customFormat="1" ht="12" hidden="1" customHeight="1">
      <c r="A15670" s="286"/>
    </row>
    <row r="15671" spans="1:1" s="287" customFormat="1" ht="12" hidden="1" customHeight="1">
      <c r="A15671" s="286"/>
    </row>
    <row r="15672" spans="1:1" s="287" customFormat="1" ht="12" hidden="1" customHeight="1">
      <c r="A15672" s="286"/>
    </row>
    <row r="15673" spans="1:1" s="287" customFormat="1" ht="12" hidden="1" customHeight="1">
      <c r="A15673" s="286"/>
    </row>
    <row r="15674" spans="1:1" s="287" customFormat="1" ht="12" hidden="1" customHeight="1">
      <c r="A15674" s="286"/>
    </row>
    <row r="15675" spans="1:1" s="287" customFormat="1" ht="12" hidden="1" customHeight="1">
      <c r="A15675" s="286"/>
    </row>
    <row r="15676" spans="1:1" s="287" customFormat="1" ht="12" hidden="1" customHeight="1">
      <c r="A15676" s="286"/>
    </row>
    <row r="15677" spans="1:1" s="287" customFormat="1" ht="12" hidden="1" customHeight="1">
      <c r="A15677" s="286"/>
    </row>
    <row r="15678" spans="1:1" s="287" customFormat="1" ht="12" hidden="1" customHeight="1">
      <c r="A15678" s="286"/>
    </row>
    <row r="15679" spans="1:1" s="287" customFormat="1" ht="12" hidden="1" customHeight="1">
      <c r="A15679" s="286"/>
    </row>
    <row r="15680" spans="1:1" s="287" customFormat="1" ht="12" hidden="1" customHeight="1">
      <c r="A15680" s="286"/>
    </row>
    <row r="15681" spans="1:1" s="287" customFormat="1" ht="12" hidden="1" customHeight="1">
      <c r="A15681" s="286"/>
    </row>
    <row r="15682" spans="1:1" s="287" customFormat="1" ht="12" hidden="1" customHeight="1">
      <c r="A15682" s="286"/>
    </row>
    <row r="15683" spans="1:1" s="287" customFormat="1" ht="12" hidden="1" customHeight="1">
      <c r="A15683" s="286"/>
    </row>
    <row r="15684" spans="1:1" s="287" customFormat="1" ht="12" hidden="1" customHeight="1">
      <c r="A15684" s="286"/>
    </row>
    <row r="15685" spans="1:1" s="287" customFormat="1" ht="12" hidden="1" customHeight="1">
      <c r="A15685" s="286"/>
    </row>
    <row r="15686" spans="1:1" s="287" customFormat="1" ht="12" hidden="1" customHeight="1">
      <c r="A15686" s="286"/>
    </row>
    <row r="15687" spans="1:1" s="287" customFormat="1" ht="12" hidden="1" customHeight="1">
      <c r="A15687" s="286"/>
    </row>
    <row r="15688" spans="1:1" s="287" customFormat="1" ht="12" hidden="1" customHeight="1">
      <c r="A15688" s="286"/>
    </row>
    <row r="15689" spans="1:1" s="287" customFormat="1" ht="12" hidden="1" customHeight="1">
      <c r="A15689" s="286"/>
    </row>
    <row r="15690" spans="1:1" s="287" customFormat="1" ht="12" hidden="1" customHeight="1">
      <c r="A15690" s="286"/>
    </row>
    <row r="15691" spans="1:1" s="287" customFormat="1" ht="12" hidden="1" customHeight="1">
      <c r="A15691" s="286"/>
    </row>
    <row r="15692" spans="1:1" s="287" customFormat="1" ht="12" hidden="1" customHeight="1">
      <c r="A15692" s="286"/>
    </row>
    <row r="15693" spans="1:1" s="287" customFormat="1" ht="12" hidden="1" customHeight="1">
      <c r="A15693" s="286"/>
    </row>
    <row r="15694" spans="1:1" s="287" customFormat="1" ht="12" hidden="1" customHeight="1">
      <c r="A15694" s="286"/>
    </row>
    <row r="15695" spans="1:1" s="287" customFormat="1" ht="12" hidden="1" customHeight="1">
      <c r="A15695" s="286"/>
    </row>
    <row r="15696" spans="1:1" s="287" customFormat="1" ht="12" hidden="1" customHeight="1">
      <c r="A15696" s="286"/>
    </row>
    <row r="15697" spans="1:1" s="287" customFormat="1" ht="12" hidden="1" customHeight="1">
      <c r="A15697" s="286"/>
    </row>
    <row r="15698" spans="1:1" s="287" customFormat="1" ht="12" hidden="1" customHeight="1">
      <c r="A15698" s="286"/>
    </row>
    <row r="15699" spans="1:1" s="287" customFormat="1" ht="12" hidden="1" customHeight="1">
      <c r="A15699" s="286"/>
    </row>
    <row r="15700" spans="1:1" s="287" customFormat="1" ht="12" hidden="1" customHeight="1">
      <c r="A15700" s="286"/>
    </row>
    <row r="15701" spans="1:1" s="287" customFormat="1" ht="12" hidden="1" customHeight="1">
      <c r="A15701" s="286"/>
    </row>
    <row r="15702" spans="1:1" s="287" customFormat="1" ht="12" hidden="1" customHeight="1">
      <c r="A15702" s="286"/>
    </row>
    <row r="15703" spans="1:1" s="287" customFormat="1" ht="12" hidden="1" customHeight="1">
      <c r="A15703" s="286"/>
    </row>
    <row r="15704" spans="1:1" s="287" customFormat="1" ht="12" hidden="1" customHeight="1">
      <c r="A15704" s="286"/>
    </row>
    <row r="15705" spans="1:1" s="287" customFormat="1" ht="12" hidden="1" customHeight="1">
      <c r="A15705" s="286"/>
    </row>
    <row r="15706" spans="1:1" s="287" customFormat="1" ht="12" hidden="1" customHeight="1">
      <c r="A15706" s="286"/>
    </row>
    <row r="15707" spans="1:1" s="287" customFormat="1" ht="12" hidden="1" customHeight="1">
      <c r="A15707" s="286"/>
    </row>
    <row r="15708" spans="1:1" s="287" customFormat="1" ht="12" hidden="1" customHeight="1">
      <c r="A15708" s="286"/>
    </row>
    <row r="15709" spans="1:1" s="287" customFormat="1" ht="12" hidden="1" customHeight="1">
      <c r="A15709" s="286"/>
    </row>
    <row r="15710" spans="1:1" s="287" customFormat="1" ht="12" hidden="1" customHeight="1">
      <c r="A15710" s="286"/>
    </row>
    <row r="15711" spans="1:1" s="287" customFormat="1" ht="12" hidden="1" customHeight="1">
      <c r="A15711" s="286"/>
    </row>
    <row r="15712" spans="1:1" s="287" customFormat="1" ht="12" hidden="1" customHeight="1">
      <c r="A15712" s="286"/>
    </row>
    <row r="15713" spans="1:1" s="287" customFormat="1" ht="12" hidden="1" customHeight="1">
      <c r="A15713" s="286"/>
    </row>
    <row r="15714" spans="1:1" s="287" customFormat="1" ht="12" hidden="1" customHeight="1">
      <c r="A15714" s="286"/>
    </row>
    <row r="15715" spans="1:1" s="287" customFormat="1" ht="12" hidden="1" customHeight="1">
      <c r="A15715" s="286"/>
    </row>
    <row r="15716" spans="1:1" s="287" customFormat="1" ht="12" hidden="1" customHeight="1">
      <c r="A15716" s="286"/>
    </row>
    <row r="15717" spans="1:1" s="287" customFormat="1" ht="12" hidden="1" customHeight="1">
      <c r="A15717" s="286"/>
    </row>
    <row r="15718" spans="1:1" s="287" customFormat="1" ht="12" hidden="1" customHeight="1">
      <c r="A15718" s="286"/>
    </row>
    <row r="15719" spans="1:1" s="287" customFormat="1" ht="12" hidden="1" customHeight="1">
      <c r="A15719" s="286"/>
    </row>
    <row r="15720" spans="1:1" s="287" customFormat="1" ht="12" hidden="1" customHeight="1">
      <c r="A15720" s="286"/>
    </row>
    <row r="15721" spans="1:1" s="287" customFormat="1" ht="12" hidden="1" customHeight="1">
      <c r="A15721" s="286"/>
    </row>
    <row r="15722" spans="1:1" s="287" customFormat="1" ht="12" hidden="1" customHeight="1">
      <c r="A15722" s="286"/>
    </row>
    <row r="15723" spans="1:1" s="287" customFormat="1" ht="12" hidden="1" customHeight="1">
      <c r="A15723" s="286"/>
    </row>
    <row r="15724" spans="1:1" s="287" customFormat="1" ht="12" hidden="1" customHeight="1">
      <c r="A15724" s="286"/>
    </row>
    <row r="15725" spans="1:1" s="287" customFormat="1" ht="12" hidden="1" customHeight="1">
      <c r="A15725" s="286"/>
    </row>
    <row r="15726" spans="1:1" s="287" customFormat="1" ht="12" hidden="1" customHeight="1">
      <c r="A15726" s="286"/>
    </row>
    <row r="15727" spans="1:1" s="287" customFormat="1" ht="12" hidden="1" customHeight="1">
      <c r="A15727" s="286"/>
    </row>
    <row r="15728" spans="1:1" s="287" customFormat="1" ht="12" hidden="1" customHeight="1">
      <c r="A15728" s="286"/>
    </row>
    <row r="15729" spans="1:1" s="287" customFormat="1" ht="12" hidden="1" customHeight="1">
      <c r="A15729" s="286"/>
    </row>
    <row r="15730" spans="1:1" s="287" customFormat="1" ht="12" hidden="1" customHeight="1">
      <c r="A15730" s="286"/>
    </row>
    <row r="15731" spans="1:1" s="287" customFormat="1" ht="12" hidden="1" customHeight="1">
      <c r="A15731" s="286"/>
    </row>
    <row r="15732" spans="1:1" s="287" customFormat="1" ht="12" hidden="1" customHeight="1">
      <c r="A15732" s="286"/>
    </row>
    <row r="15733" spans="1:1" s="287" customFormat="1" ht="12" hidden="1" customHeight="1">
      <c r="A15733" s="286"/>
    </row>
    <row r="15734" spans="1:1" s="287" customFormat="1" ht="12" hidden="1" customHeight="1">
      <c r="A15734" s="286"/>
    </row>
    <row r="15735" spans="1:1" s="287" customFormat="1" ht="12" hidden="1" customHeight="1">
      <c r="A15735" s="286"/>
    </row>
    <row r="15736" spans="1:1" s="287" customFormat="1" ht="12" hidden="1" customHeight="1">
      <c r="A15736" s="286"/>
    </row>
    <row r="15737" spans="1:1" s="287" customFormat="1" ht="12" hidden="1" customHeight="1">
      <c r="A15737" s="286"/>
    </row>
    <row r="15738" spans="1:1" s="287" customFormat="1" ht="12" hidden="1" customHeight="1">
      <c r="A15738" s="286"/>
    </row>
    <row r="15739" spans="1:1" s="287" customFormat="1" ht="12" hidden="1" customHeight="1">
      <c r="A15739" s="286"/>
    </row>
    <row r="15740" spans="1:1" s="287" customFormat="1" ht="12" hidden="1" customHeight="1">
      <c r="A15740" s="286"/>
    </row>
    <row r="15741" spans="1:1" s="287" customFormat="1" ht="12" hidden="1" customHeight="1">
      <c r="A15741" s="286"/>
    </row>
    <row r="15742" spans="1:1" s="287" customFormat="1" ht="12" hidden="1" customHeight="1">
      <c r="A15742" s="286"/>
    </row>
    <row r="15743" spans="1:1" s="287" customFormat="1" ht="12" hidden="1" customHeight="1">
      <c r="A15743" s="286"/>
    </row>
    <row r="15744" spans="1:1" s="287" customFormat="1" ht="12" hidden="1" customHeight="1">
      <c r="A15744" s="286"/>
    </row>
    <row r="15745" spans="1:1" s="287" customFormat="1" ht="12" hidden="1" customHeight="1">
      <c r="A15745" s="286"/>
    </row>
    <row r="15746" spans="1:1" s="287" customFormat="1" ht="12" hidden="1" customHeight="1">
      <c r="A15746" s="286"/>
    </row>
    <row r="15747" spans="1:1" s="287" customFormat="1" ht="12" hidden="1" customHeight="1">
      <c r="A15747" s="286"/>
    </row>
    <row r="15748" spans="1:1" s="287" customFormat="1" ht="12" hidden="1" customHeight="1">
      <c r="A15748" s="286"/>
    </row>
    <row r="15749" spans="1:1" s="287" customFormat="1" ht="12" hidden="1" customHeight="1">
      <c r="A15749" s="286"/>
    </row>
    <row r="15750" spans="1:1" s="287" customFormat="1" ht="12" hidden="1" customHeight="1">
      <c r="A15750" s="286"/>
    </row>
    <row r="15751" spans="1:1" s="287" customFormat="1" ht="12" hidden="1" customHeight="1">
      <c r="A15751" s="286"/>
    </row>
    <row r="15752" spans="1:1" s="287" customFormat="1" ht="12" hidden="1" customHeight="1">
      <c r="A15752" s="286"/>
    </row>
    <row r="15753" spans="1:1" s="287" customFormat="1" ht="12" hidden="1" customHeight="1">
      <c r="A15753" s="286"/>
    </row>
    <row r="15754" spans="1:1" s="287" customFormat="1" ht="12" hidden="1" customHeight="1">
      <c r="A15754" s="286"/>
    </row>
    <row r="15755" spans="1:1" s="287" customFormat="1" ht="12" hidden="1" customHeight="1">
      <c r="A15755" s="286"/>
    </row>
    <row r="15756" spans="1:1" s="287" customFormat="1" ht="12" hidden="1" customHeight="1">
      <c r="A15756" s="286"/>
    </row>
    <row r="15757" spans="1:1" s="287" customFormat="1" ht="12" hidden="1" customHeight="1">
      <c r="A15757" s="286"/>
    </row>
    <row r="15758" spans="1:1" s="287" customFormat="1" ht="12" hidden="1" customHeight="1">
      <c r="A15758" s="286"/>
    </row>
    <row r="15759" spans="1:1" s="287" customFormat="1" ht="12" hidden="1" customHeight="1">
      <c r="A15759" s="286"/>
    </row>
    <row r="15760" spans="1:1" s="287" customFormat="1" ht="12" hidden="1" customHeight="1">
      <c r="A15760" s="286"/>
    </row>
    <row r="15761" spans="1:1" s="287" customFormat="1" ht="12" hidden="1" customHeight="1">
      <c r="A15761" s="286"/>
    </row>
    <row r="15762" spans="1:1" s="287" customFormat="1" ht="12" hidden="1" customHeight="1">
      <c r="A15762" s="286"/>
    </row>
    <row r="15763" spans="1:1" s="287" customFormat="1" ht="12" hidden="1" customHeight="1">
      <c r="A15763" s="286"/>
    </row>
    <row r="15764" spans="1:1" s="287" customFormat="1" ht="12" hidden="1" customHeight="1">
      <c r="A15764" s="286"/>
    </row>
    <row r="15765" spans="1:1" s="287" customFormat="1" ht="12" hidden="1" customHeight="1">
      <c r="A15765" s="286"/>
    </row>
    <row r="15766" spans="1:1" s="287" customFormat="1" ht="12" hidden="1" customHeight="1">
      <c r="A15766" s="286"/>
    </row>
    <row r="15767" spans="1:1" s="287" customFormat="1" ht="12" hidden="1" customHeight="1">
      <c r="A15767" s="286"/>
    </row>
    <row r="15768" spans="1:1" s="287" customFormat="1" ht="12" hidden="1" customHeight="1">
      <c r="A15768" s="286"/>
    </row>
    <row r="15769" spans="1:1" s="287" customFormat="1" ht="12" hidden="1" customHeight="1">
      <c r="A15769" s="286"/>
    </row>
    <row r="15770" spans="1:1" s="287" customFormat="1" ht="12" hidden="1" customHeight="1">
      <c r="A15770" s="286"/>
    </row>
    <row r="15771" spans="1:1" s="287" customFormat="1" ht="12" hidden="1" customHeight="1">
      <c r="A15771" s="286"/>
    </row>
    <row r="15772" spans="1:1" s="287" customFormat="1" ht="12" hidden="1" customHeight="1">
      <c r="A15772" s="286"/>
    </row>
    <row r="15773" spans="1:1" s="287" customFormat="1" ht="12" hidden="1" customHeight="1">
      <c r="A15773" s="286"/>
    </row>
    <row r="15774" spans="1:1" s="287" customFormat="1" ht="12" hidden="1" customHeight="1">
      <c r="A15774" s="286"/>
    </row>
    <row r="15775" spans="1:1" s="287" customFormat="1" ht="12" hidden="1" customHeight="1">
      <c r="A15775" s="286"/>
    </row>
    <row r="15776" spans="1:1" s="287" customFormat="1" ht="12" hidden="1" customHeight="1">
      <c r="A15776" s="286"/>
    </row>
    <row r="15777" spans="1:1" s="287" customFormat="1" ht="12" hidden="1" customHeight="1">
      <c r="A15777" s="286"/>
    </row>
    <row r="15778" spans="1:1" s="287" customFormat="1" ht="12" hidden="1" customHeight="1">
      <c r="A15778" s="286"/>
    </row>
    <row r="15779" spans="1:1" s="287" customFormat="1" ht="12" hidden="1" customHeight="1">
      <c r="A15779" s="286"/>
    </row>
    <row r="15780" spans="1:1" s="287" customFormat="1" ht="12" hidden="1" customHeight="1">
      <c r="A15780" s="286"/>
    </row>
    <row r="15781" spans="1:1" s="287" customFormat="1" ht="12" hidden="1" customHeight="1">
      <c r="A15781" s="286"/>
    </row>
    <row r="15782" spans="1:1" s="287" customFormat="1" ht="12" hidden="1" customHeight="1">
      <c r="A15782" s="286"/>
    </row>
    <row r="15783" spans="1:1" s="287" customFormat="1" ht="12" hidden="1" customHeight="1">
      <c r="A15783" s="286"/>
    </row>
    <row r="15784" spans="1:1" s="287" customFormat="1" ht="12" hidden="1" customHeight="1">
      <c r="A15784" s="286"/>
    </row>
    <row r="15785" spans="1:1" s="287" customFormat="1" ht="12" hidden="1" customHeight="1">
      <c r="A15785" s="286"/>
    </row>
    <row r="15786" spans="1:1" s="287" customFormat="1" ht="12" hidden="1" customHeight="1">
      <c r="A15786" s="286"/>
    </row>
    <row r="15787" spans="1:1" s="287" customFormat="1" ht="12" hidden="1" customHeight="1">
      <c r="A15787" s="286"/>
    </row>
    <row r="15788" spans="1:1" s="287" customFormat="1" ht="12" hidden="1" customHeight="1">
      <c r="A15788" s="286"/>
    </row>
    <row r="15789" spans="1:1" s="287" customFormat="1" ht="12" hidden="1" customHeight="1">
      <c r="A15789" s="286"/>
    </row>
    <row r="15790" spans="1:1" s="287" customFormat="1" ht="12" hidden="1" customHeight="1">
      <c r="A15790" s="286"/>
    </row>
    <row r="15791" spans="1:1" s="287" customFormat="1" ht="12" hidden="1" customHeight="1">
      <c r="A15791" s="286"/>
    </row>
    <row r="15792" spans="1:1" s="287" customFormat="1" ht="12" hidden="1" customHeight="1">
      <c r="A15792" s="286"/>
    </row>
    <row r="15793" spans="1:1" s="287" customFormat="1" ht="12" hidden="1" customHeight="1">
      <c r="A15793" s="286"/>
    </row>
    <row r="15794" spans="1:1" s="287" customFormat="1" ht="12" hidden="1" customHeight="1">
      <c r="A15794" s="286"/>
    </row>
    <row r="15795" spans="1:1" s="287" customFormat="1" ht="12" hidden="1" customHeight="1">
      <c r="A15795" s="286"/>
    </row>
    <row r="15796" spans="1:1" s="287" customFormat="1" ht="12" hidden="1" customHeight="1">
      <c r="A15796" s="286"/>
    </row>
    <row r="15797" spans="1:1" s="287" customFormat="1" ht="12" hidden="1" customHeight="1">
      <c r="A15797" s="286"/>
    </row>
    <row r="15798" spans="1:1" s="287" customFormat="1" ht="12" hidden="1" customHeight="1">
      <c r="A15798" s="286"/>
    </row>
    <row r="15799" spans="1:1" s="287" customFormat="1" ht="12" hidden="1" customHeight="1">
      <c r="A15799" s="286"/>
    </row>
    <row r="15800" spans="1:1" s="287" customFormat="1" ht="12" hidden="1" customHeight="1">
      <c r="A15800" s="286"/>
    </row>
    <row r="15801" spans="1:1" s="287" customFormat="1" ht="12" hidden="1" customHeight="1">
      <c r="A15801" s="286"/>
    </row>
    <row r="15802" spans="1:1" s="287" customFormat="1" ht="12" hidden="1" customHeight="1">
      <c r="A15802" s="286"/>
    </row>
    <row r="15803" spans="1:1" s="287" customFormat="1" ht="12" hidden="1" customHeight="1">
      <c r="A15803" s="286"/>
    </row>
    <row r="15804" spans="1:1" s="287" customFormat="1" ht="12" hidden="1" customHeight="1">
      <c r="A15804" s="286"/>
    </row>
    <row r="15805" spans="1:1" s="287" customFormat="1" ht="12" hidden="1" customHeight="1">
      <c r="A15805" s="286"/>
    </row>
    <row r="15806" spans="1:1" s="287" customFormat="1" ht="12" hidden="1" customHeight="1">
      <c r="A15806" s="286"/>
    </row>
    <row r="15807" spans="1:1" s="287" customFormat="1" ht="12" hidden="1" customHeight="1">
      <c r="A15807" s="286"/>
    </row>
    <row r="15808" spans="1:1" s="287" customFormat="1" ht="12" hidden="1" customHeight="1">
      <c r="A15808" s="286"/>
    </row>
    <row r="15809" spans="1:1" s="287" customFormat="1" ht="12" hidden="1" customHeight="1">
      <c r="A15809" s="286"/>
    </row>
    <row r="15810" spans="1:1" s="287" customFormat="1" ht="12" hidden="1" customHeight="1">
      <c r="A15810" s="286"/>
    </row>
    <row r="15811" spans="1:1" s="287" customFormat="1" ht="12" hidden="1" customHeight="1">
      <c r="A15811" s="286"/>
    </row>
    <row r="15812" spans="1:1" s="287" customFormat="1" ht="12" hidden="1" customHeight="1">
      <c r="A15812" s="286"/>
    </row>
    <row r="15813" spans="1:1" s="287" customFormat="1" ht="12" hidden="1" customHeight="1">
      <c r="A15813" s="286"/>
    </row>
    <row r="15814" spans="1:1" s="287" customFormat="1" ht="12" hidden="1" customHeight="1">
      <c r="A15814" s="286"/>
    </row>
    <row r="15815" spans="1:1" s="287" customFormat="1" ht="12" hidden="1" customHeight="1">
      <c r="A15815" s="286"/>
    </row>
    <row r="15816" spans="1:1" s="287" customFormat="1" ht="12" hidden="1" customHeight="1">
      <c r="A15816" s="286"/>
    </row>
    <row r="15817" spans="1:1" s="287" customFormat="1" ht="12" hidden="1" customHeight="1">
      <c r="A15817" s="286"/>
    </row>
    <row r="15818" spans="1:1" s="287" customFormat="1" ht="12" hidden="1" customHeight="1">
      <c r="A15818" s="286"/>
    </row>
    <row r="15819" spans="1:1" s="287" customFormat="1" ht="12" hidden="1" customHeight="1">
      <c r="A15819" s="286"/>
    </row>
    <row r="15820" spans="1:1" s="287" customFormat="1" ht="12" hidden="1" customHeight="1">
      <c r="A15820" s="286"/>
    </row>
    <row r="15821" spans="1:1" s="287" customFormat="1" ht="12" hidden="1" customHeight="1">
      <c r="A15821" s="286"/>
    </row>
    <row r="15822" spans="1:1" s="287" customFormat="1" ht="12" hidden="1" customHeight="1">
      <c r="A15822" s="286"/>
    </row>
    <row r="15823" spans="1:1" s="287" customFormat="1" ht="12" hidden="1" customHeight="1">
      <c r="A15823" s="286"/>
    </row>
    <row r="15824" spans="1:1" s="287" customFormat="1" ht="12" hidden="1" customHeight="1">
      <c r="A15824" s="286"/>
    </row>
    <row r="15825" spans="1:1" s="287" customFormat="1" ht="12" hidden="1" customHeight="1">
      <c r="A15825" s="286"/>
    </row>
    <row r="15826" spans="1:1" s="287" customFormat="1" ht="12" hidden="1" customHeight="1">
      <c r="A15826" s="286"/>
    </row>
    <row r="15827" spans="1:1" s="287" customFormat="1" ht="12" hidden="1" customHeight="1">
      <c r="A15827" s="286"/>
    </row>
    <row r="15828" spans="1:1" s="287" customFormat="1" ht="12" hidden="1" customHeight="1">
      <c r="A15828" s="286"/>
    </row>
    <row r="15829" spans="1:1" s="287" customFormat="1" ht="12" hidden="1" customHeight="1">
      <c r="A15829" s="286"/>
    </row>
    <row r="15830" spans="1:1" s="287" customFormat="1" ht="12" hidden="1" customHeight="1">
      <c r="A15830" s="286"/>
    </row>
    <row r="15831" spans="1:1" s="287" customFormat="1" ht="12" hidden="1" customHeight="1">
      <c r="A15831" s="286"/>
    </row>
    <row r="15832" spans="1:1" s="287" customFormat="1" ht="12" hidden="1" customHeight="1">
      <c r="A15832" s="286"/>
    </row>
    <row r="15833" spans="1:1" s="287" customFormat="1" ht="12" hidden="1" customHeight="1">
      <c r="A15833" s="286"/>
    </row>
    <row r="15834" spans="1:1" s="287" customFormat="1" ht="12" hidden="1" customHeight="1">
      <c r="A15834" s="286"/>
    </row>
    <row r="15835" spans="1:1" s="287" customFormat="1" ht="12" hidden="1" customHeight="1">
      <c r="A15835" s="286"/>
    </row>
    <row r="15836" spans="1:1" s="287" customFormat="1" ht="12" hidden="1" customHeight="1">
      <c r="A15836" s="286"/>
    </row>
    <row r="15837" spans="1:1" s="287" customFormat="1" ht="12" hidden="1" customHeight="1">
      <c r="A15837" s="286"/>
    </row>
    <row r="15838" spans="1:1" s="287" customFormat="1" ht="12" hidden="1" customHeight="1">
      <c r="A15838" s="286"/>
    </row>
    <row r="15839" spans="1:1" s="287" customFormat="1" ht="12" hidden="1" customHeight="1">
      <c r="A15839" s="286"/>
    </row>
    <row r="15840" spans="1:1" s="287" customFormat="1" ht="12" hidden="1" customHeight="1">
      <c r="A15840" s="286"/>
    </row>
    <row r="15841" spans="1:1" s="287" customFormat="1" ht="12" hidden="1" customHeight="1">
      <c r="A15841" s="286"/>
    </row>
    <row r="15842" spans="1:1" s="287" customFormat="1" ht="12" hidden="1" customHeight="1">
      <c r="A15842" s="286"/>
    </row>
    <row r="15843" spans="1:1" s="287" customFormat="1" ht="12" hidden="1" customHeight="1">
      <c r="A15843" s="286"/>
    </row>
    <row r="15844" spans="1:1" s="287" customFormat="1" ht="12" hidden="1" customHeight="1">
      <c r="A15844" s="286"/>
    </row>
    <row r="15845" spans="1:1" s="287" customFormat="1" ht="12" hidden="1" customHeight="1">
      <c r="A15845" s="286"/>
    </row>
    <row r="15846" spans="1:1" s="287" customFormat="1" ht="12" hidden="1" customHeight="1">
      <c r="A15846" s="286"/>
    </row>
    <row r="15847" spans="1:1" s="287" customFormat="1" ht="12" hidden="1" customHeight="1">
      <c r="A15847" s="286"/>
    </row>
    <row r="15848" spans="1:1" s="287" customFormat="1" ht="12" hidden="1" customHeight="1">
      <c r="A15848" s="286"/>
    </row>
    <row r="15849" spans="1:1" s="287" customFormat="1" ht="12" hidden="1" customHeight="1">
      <c r="A15849" s="286"/>
    </row>
    <row r="15850" spans="1:1" s="287" customFormat="1" ht="12" hidden="1" customHeight="1">
      <c r="A15850" s="286"/>
    </row>
    <row r="15851" spans="1:1" s="287" customFormat="1" ht="12" hidden="1" customHeight="1">
      <c r="A15851" s="286"/>
    </row>
    <row r="15852" spans="1:1" s="287" customFormat="1" ht="12" hidden="1" customHeight="1">
      <c r="A15852" s="286"/>
    </row>
    <row r="15853" spans="1:1" s="287" customFormat="1" ht="12" hidden="1" customHeight="1">
      <c r="A15853" s="286"/>
    </row>
    <row r="15854" spans="1:1" s="287" customFormat="1" ht="12" hidden="1" customHeight="1">
      <c r="A15854" s="286"/>
    </row>
    <row r="15855" spans="1:1" s="287" customFormat="1" ht="12" hidden="1" customHeight="1">
      <c r="A15855" s="286"/>
    </row>
    <row r="15856" spans="1:1" s="287" customFormat="1" ht="12" hidden="1" customHeight="1">
      <c r="A15856" s="286"/>
    </row>
    <row r="15857" spans="1:1" s="287" customFormat="1" ht="12" hidden="1" customHeight="1">
      <c r="A15857" s="286"/>
    </row>
    <row r="15858" spans="1:1" s="287" customFormat="1" ht="12" hidden="1" customHeight="1">
      <c r="A15858" s="286"/>
    </row>
    <row r="15859" spans="1:1" s="287" customFormat="1" ht="12" hidden="1" customHeight="1">
      <c r="A15859" s="286"/>
    </row>
    <row r="15860" spans="1:1" s="287" customFormat="1" ht="12" hidden="1" customHeight="1">
      <c r="A15860" s="286"/>
    </row>
    <row r="15861" spans="1:1" s="287" customFormat="1" ht="12" hidden="1" customHeight="1">
      <c r="A15861" s="286"/>
    </row>
    <row r="15862" spans="1:1" s="287" customFormat="1" ht="12" hidden="1" customHeight="1">
      <c r="A15862" s="286"/>
    </row>
    <row r="15863" spans="1:1" s="287" customFormat="1" ht="12" hidden="1" customHeight="1">
      <c r="A15863" s="286"/>
    </row>
    <row r="15864" spans="1:1" s="287" customFormat="1" ht="12" hidden="1" customHeight="1">
      <c r="A15864" s="286"/>
    </row>
    <row r="15865" spans="1:1" s="287" customFormat="1" ht="12" hidden="1" customHeight="1">
      <c r="A15865" s="286"/>
    </row>
    <row r="15866" spans="1:1" s="287" customFormat="1" ht="12" hidden="1" customHeight="1">
      <c r="A15866" s="286"/>
    </row>
    <row r="15867" spans="1:1" s="287" customFormat="1" ht="12" hidden="1" customHeight="1">
      <c r="A15867" s="286"/>
    </row>
    <row r="15868" spans="1:1" s="287" customFormat="1" ht="12" hidden="1" customHeight="1">
      <c r="A15868" s="286"/>
    </row>
    <row r="15869" spans="1:1" s="287" customFormat="1" ht="12" hidden="1" customHeight="1">
      <c r="A15869" s="286"/>
    </row>
    <row r="15870" spans="1:1" s="287" customFormat="1" ht="12" hidden="1" customHeight="1">
      <c r="A15870" s="286"/>
    </row>
    <row r="15871" spans="1:1" s="287" customFormat="1" ht="12" hidden="1" customHeight="1">
      <c r="A15871" s="286"/>
    </row>
    <row r="15872" spans="1:1" s="287" customFormat="1" ht="12" hidden="1" customHeight="1">
      <c r="A15872" s="286"/>
    </row>
    <row r="15873" spans="1:1" s="287" customFormat="1" ht="12" hidden="1" customHeight="1">
      <c r="A15873" s="286"/>
    </row>
    <row r="15874" spans="1:1" s="287" customFormat="1" ht="12" hidden="1" customHeight="1">
      <c r="A15874" s="286"/>
    </row>
    <row r="15875" spans="1:1" s="287" customFormat="1" ht="12" hidden="1" customHeight="1">
      <c r="A15875" s="286"/>
    </row>
    <row r="15876" spans="1:1" s="287" customFormat="1" ht="12" hidden="1" customHeight="1">
      <c r="A15876" s="286"/>
    </row>
    <row r="15877" spans="1:1" s="287" customFormat="1" ht="12" hidden="1" customHeight="1">
      <c r="A15877" s="286"/>
    </row>
    <row r="15878" spans="1:1" s="287" customFormat="1" ht="12" hidden="1" customHeight="1">
      <c r="A15878" s="286"/>
    </row>
    <row r="15879" spans="1:1" s="287" customFormat="1" ht="12" hidden="1" customHeight="1">
      <c r="A15879" s="286"/>
    </row>
    <row r="15880" spans="1:1" s="287" customFormat="1" ht="12" hidden="1" customHeight="1">
      <c r="A15880" s="286"/>
    </row>
    <row r="15881" spans="1:1" s="287" customFormat="1" ht="12" hidden="1" customHeight="1">
      <c r="A15881" s="286"/>
    </row>
    <row r="15882" spans="1:1" s="287" customFormat="1" ht="12" hidden="1" customHeight="1">
      <c r="A15882" s="286"/>
    </row>
    <row r="15883" spans="1:1" s="287" customFormat="1" ht="12" hidden="1" customHeight="1">
      <c r="A15883" s="286"/>
    </row>
    <row r="15884" spans="1:1" s="287" customFormat="1" ht="12" hidden="1" customHeight="1">
      <c r="A15884" s="286"/>
    </row>
    <row r="15885" spans="1:1" s="287" customFormat="1" ht="12" hidden="1" customHeight="1">
      <c r="A15885" s="286"/>
    </row>
    <row r="15886" spans="1:1" s="287" customFormat="1" ht="12" hidden="1" customHeight="1">
      <c r="A15886" s="286"/>
    </row>
    <row r="15887" spans="1:1" s="287" customFormat="1" ht="12" hidden="1" customHeight="1">
      <c r="A15887" s="286"/>
    </row>
    <row r="15888" spans="1:1" s="287" customFormat="1" ht="12" hidden="1" customHeight="1">
      <c r="A15888" s="286"/>
    </row>
    <row r="15889" spans="1:1" s="287" customFormat="1" ht="12" hidden="1" customHeight="1">
      <c r="A15889" s="286"/>
    </row>
    <row r="15890" spans="1:1" s="287" customFormat="1" ht="12" hidden="1" customHeight="1">
      <c r="A15890" s="286"/>
    </row>
    <row r="15891" spans="1:1" s="287" customFormat="1" ht="12" hidden="1" customHeight="1">
      <c r="A15891" s="286"/>
    </row>
    <row r="15892" spans="1:1" s="287" customFormat="1" ht="12" hidden="1" customHeight="1">
      <c r="A15892" s="286"/>
    </row>
    <row r="15893" spans="1:1" s="287" customFormat="1" ht="12" hidden="1" customHeight="1">
      <c r="A15893" s="286"/>
    </row>
    <row r="15894" spans="1:1" s="287" customFormat="1" ht="12" hidden="1" customHeight="1">
      <c r="A15894" s="286"/>
    </row>
    <row r="15895" spans="1:1" s="287" customFormat="1" ht="12" hidden="1" customHeight="1">
      <c r="A15895" s="286"/>
    </row>
    <row r="15896" spans="1:1" s="287" customFormat="1" ht="12" hidden="1" customHeight="1">
      <c r="A15896" s="286"/>
    </row>
    <row r="15897" spans="1:1" s="287" customFormat="1" ht="12" hidden="1" customHeight="1">
      <c r="A15897" s="286"/>
    </row>
    <row r="15898" spans="1:1" s="287" customFormat="1" ht="12" hidden="1" customHeight="1">
      <c r="A15898" s="286"/>
    </row>
    <row r="15899" spans="1:1" s="287" customFormat="1" ht="12" hidden="1" customHeight="1">
      <c r="A15899" s="286"/>
    </row>
    <row r="15900" spans="1:1" s="287" customFormat="1" ht="12" hidden="1" customHeight="1">
      <c r="A15900" s="286"/>
    </row>
    <row r="15901" spans="1:1" s="287" customFormat="1" ht="12" hidden="1" customHeight="1">
      <c r="A15901" s="286"/>
    </row>
    <row r="15902" spans="1:1" s="287" customFormat="1" ht="12" hidden="1" customHeight="1">
      <c r="A15902" s="286"/>
    </row>
    <row r="15903" spans="1:1" s="287" customFormat="1" ht="12" hidden="1" customHeight="1">
      <c r="A15903" s="286"/>
    </row>
    <row r="15904" spans="1:1" s="287" customFormat="1" ht="12" hidden="1" customHeight="1">
      <c r="A15904" s="286"/>
    </row>
    <row r="15905" spans="1:1" s="287" customFormat="1" ht="12" hidden="1" customHeight="1">
      <c r="A15905" s="286"/>
    </row>
    <row r="15906" spans="1:1" s="287" customFormat="1" ht="12" hidden="1" customHeight="1">
      <c r="A15906" s="286"/>
    </row>
    <row r="15907" spans="1:1" s="287" customFormat="1" ht="12" hidden="1" customHeight="1">
      <c r="A15907" s="286"/>
    </row>
    <row r="15908" spans="1:1" s="287" customFormat="1" ht="12" hidden="1" customHeight="1">
      <c r="A15908" s="286"/>
    </row>
    <row r="15909" spans="1:1" s="287" customFormat="1" ht="12" hidden="1" customHeight="1">
      <c r="A15909" s="286"/>
    </row>
    <row r="15910" spans="1:1" s="287" customFormat="1" ht="12" hidden="1" customHeight="1">
      <c r="A15910" s="286"/>
    </row>
    <row r="15911" spans="1:1" s="287" customFormat="1" ht="12" hidden="1" customHeight="1">
      <c r="A15911" s="286"/>
    </row>
    <row r="15912" spans="1:1" s="287" customFormat="1" ht="12" hidden="1" customHeight="1">
      <c r="A15912" s="286"/>
    </row>
    <row r="15913" spans="1:1" s="287" customFormat="1" ht="12" hidden="1" customHeight="1">
      <c r="A15913" s="286"/>
    </row>
    <row r="15914" spans="1:1" s="287" customFormat="1" ht="12" hidden="1" customHeight="1">
      <c r="A15914" s="286"/>
    </row>
    <row r="15915" spans="1:1" s="287" customFormat="1" ht="12" hidden="1" customHeight="1">
      <c r="A15915" s="286"/>
    </row>
    <row r="15916" spans="1:1" s="287" customFormat="1" ht="12" hidden="1" customHeight="1">
      <c r="A15916" s="286"/>
    </row>
    <row r="15917" spans="1:1" s="287" customFormat="1" ht="12" hidden="1" customHeight="1">
      <c r="A15917" s="286"/>
    </row>
    <row r="15918" spans="1:1" s="287" customFormat="1" ht="12" hidden="1" customHeight="1">
      <c r="A15918" s="286"/>
    </row>
    <row r="15919" spans="1:1" s="287" customFormat="1" ht="12" hidden="1" customHeight="1">
      <c r="A15919" s="286"/>
    </row>
    <row r="15920" spans="1:1" s="287" customFormat="1" ht="12" hidden="1" customHeight="1">
      <c r="A15920" s="286"/>
    </row>
    <row r="15921" spans="1:1" s="287" customFormat="1" ht="12" hidden="1" customHeight="1">
      <c r="A15921" s="286"/>
    </row>
    <row r="15922" spans="1:1" s="287" customFormat="1" ht="12" hidden="1" customHeight="1">
      <c r="A15922" s="286"/>
    </row>
    <row r="15923" spans="1:1" s="287" customFormat="1" ht="12" hidden="1" customHeight="1">
      <c r="A15923" s="286"/>
    </row>
    <row r="15924" spans="1:1" s="287" customFormat="1" ht="12" hidden="1" customHeight="1">
      <c r="A15924" s="286"/>
    </row>
    <row r="15925" spans="1:1" s="287" customFormat="1" ht="12" hidden="1" customHeight="1">
      <c r="A15925" s="286"/>
    </row>
    <row r="15926" spans="1:1" s="287" customFormat="1" ht="12" hidden="1" customHeight="1">
      <c r="A15926" s="286"/>
    </row>
    <row r="15927" spans="1:1" s="287" customFormat="1" ht="12" hidden="1" customHeight="1">
      <c r="A15927" s="286"/>
    </row>
    <row r="15928" spans="1:1" s="287" customFormat="1" ht="12" hidden="1" customHeight="1">
      <c r="A15928" s="286"/>
    </row>
    <row r="15929" spans="1:1" s="287" customFormat="1" ht="12" hidden="1" customHeight="1">
      <c r="A15929" s="286"/>
    </row>
    <row r="15930" spans="1:1" s="287" customFormat="1" ht="12" hidden="1" customHeight="1">
      <c r="A15930" s="286"/>
    </row>
    <row r="15931" spans="1:1" s="287" customFormat="1" ht="12" hidden="1" customHeight="1">
      <c r="A15931" s="286"/>
    </row>
    <row r="15932" spans="1:1" s="287" customFormat="1" ht="12" hidden="1" customHeight="1">
      <c r="A15932" s="286"/>
    </row>
    <row r="15933" spans="1:1" s="287" customFormat="1" ht="12" hidden="1" customHeight="1">
      <c r="A15933" s="286"/>
    </row>
    <row r="15934" spans="1:1" s="287" customFormat="1" ht="12" hidden="1" customHeight="1">
      <c r="A15934" s="286"/>
    </row>
    <row r="15935" spans="1:1" s="287" customFormat="1" ht="12" hidden="1" customHeight="1">
      <c r="A15935" s="286"/>
    </row>
    <row r="15936" spans="1:1" s="287" customFormat="1" ht="12" hidden="1" customHeight="1">
      <c r="A15936" s="286"/>
    </row>
    <row r="15937" spans="1:1" s="287" customFormat="1" ht="12" hidden="1" customHeight="1">
      <c r="A15937" s="286"/>
    </row>
    <row r="15938" spans="1:1" s="287" customFormat="1" ht="12" hidden="1" customHeight="1">
      <c r="A15938" s="286"/>
    </row>
    <row r="15939" spans="1:1" s="287" customFormat="1" ht="12" hidden="1" customHeight="1">
      <c r="A15939" s="286"/>
    </row>
    <row r="15940" spans="1:1" s="287" customFormat="1" ht="12" hidden="1" customHeight="1">
      <c r="A15940" s="286"/>
    </row>
    <row r="15941" spans="1:1" s="287" customFormat="1" ht="12" hidden="1" customHeight="1">
      <c r="A15941" s="286"/>
    </row>
    <row r="15942" spans="1:1" s="287" customFormat="1" ht="12" hidden="1" customHeight="1">
      <c r="A15942" s="286"/>
    </row>
    <row r="15943" spans="1:1" s="287" customFormat="1" ht="12" hidden="1" customHeight="1">
      <c r="A15943" s="286"/>
    </row>
    <row r="15944" spans="1:1" s="287" customFormat="1" ht="12" hidden="1" customHeight="1">
      <c r="A15944" s="286"/>
    </row>
    <row r="15945" spans="1:1" s="287" customFormat="1" ht="12" hidden="1" customHeight="1">
      <c r="A15945" s="286"/>
    </row>
    <row r="15946" spans="1:1" s="287" customFormat="1" ht="12" hidden="1" customHeight="1">
      <c r="A15946" s="286"/>
    </row>
    <row r="15947" spans="1:1" s="287" customFormat="1" ht="12" hidden="1" customHeight="1">
      <c r="A15947" s="286"/>
    </row>
    <row r="15948" spans="1:1" s="287" customFormat="1" ht="12" hidden="1" customHeight="1">
      <c r="A15948" s="286"/>
    </row>
    <row r="15949" spans="1:1" s="287" customFormat="1" ht="12" hidden="1" customHeight="1">
      <c r="A15949" s="286"/>
    </row>
    <row r="15950" spans="1:1" s="287" customFormat="1" ht="12" hidden="1" customHeight="1">
      <c r="A15950" s="286"/>
    </row>
    <row r="15951" spans="1:1" s="287" customFormat="1" ht="12" hidden="1" customHeight="1">
      <c r="A15951" s="286"/>
    </row>
    <row r="15952" spans="1:1" s="287" customFormat="1" ht="12" hidden="1" customHeight="1">
      <c r="A15952" s="286"/>
    </row>
    <row r="15953" spans="1:1" s="287" customFormat="1" ht="12" hidden="1" customHeight="1">
      <c r="A15953" s="286"/>
    </row>
    <row r="15954" spans="1:1" s="287" customFormat="1" ht="12" hidden="1" customHeight="1">
      <c r="A15954" s="286"/>
    </row>
    <row r="15955" spans="1:1" s="287" customFormat="1" ht="12" hidden="1" customHeight="1">
      <c r="A15955" s="286"/>
    </row>
    <row r="15956" spans="1:1" s="287" customFormat="1" ht="12" hidden="1" customHeight="1">
      <c r="A15956" s="286"/>
    </row>
    <row r="15957" spans="1:1" s="287" customFormat="1" ht="12" hidden="1" customHeight="1">
      <c r="A15957" s="286"/>
    </row>
    <row r="15958" spans="1:1" s="287" customFormat="1" ht="12" hidden="1" customHeight="1">
      <c r="A15958" s="286"/>
    </row>
    <row r="15959" spans="1:1" s="287" customFormat="1" ht="12" hidden="1" customHeight="1">
      <c r="A15959" s="286"/>
    </row>
    <row r="15960" spans="1:1" s="287" customFormat="1" ht="12" hidden="1" customHeight="1">
      <c r="A15960" s="286"/>
    </row>
    <row r="15961" spans="1:1" s="287" customFormat="1" ht="12" hidden="1" customHeight="1">
      <c r="A15961" s="286"/>
    </row>
    <row r="15962" spans="1:1" s="287" customFormat="1" ht="12" hidden="1" customHeight="1">
      <c r="A15962" s="286"/>
    </row>
    <row r="15963" spans="1:1" s="287" customFormat="1" ht="12" hidden="1" customHeight="1">
      <c r="A15963" s="286"/>
    </row>
    <row r="15964" spans="1:1" s="287" customFormat="1" ht="12" hidden="1" customHeight="1">
      <c r="A15964" s="286"/>
    </row>
    <row r="15965" spans="1:1" s="287" customFormat="1" ht="12" hidden="1" customHeight="1">
      <c r="A15965" s="286"/>
    </row>
    <row r="15966" spans="1:1" s="287" customFormat="1" ht="12" hidden="1" customHeight="1">
      <c r="A15966" s="286"/>
    </row>
    <row r="15967" spans="1:1" s="287" customFormat="1" ht="12" hidden="1" customHeight="1">
      <c r="A15967" s="286"/>
    </row>
    <row r="15968" spans="1:1" s="287" customFormat="1" ht="12" hidden="1" customHeight="1">
      <c r="A15968" s="286"/>
    </row>
    <row r="15969" spans="1:1" s="287" customFormat="1" ht="12" hidden="1" customHeight="1">
      <c r="A15969" s="286"/>
    </row>
    <row r="15970" spans="1:1" s="287" customFormat="1" ht="12" hidden="1" customHeight="1">
      <c r="A15970" s="286"/>
    </row>
    <row r="15971" spans="1:1" s="287" customFormat="1" ht="12" hidden="1" customHeight="1">
      <c r="A15971" s="286"/>
    </row>
    <row r="15972" spans="1:1" s="287" customFormat="1" ht="12" hidden="1" customHeight="1">
      <c r="A15972" s="286"/>
    </row>
    <row r="15973" spans="1:1" s="287" customFormat="1" ht="12" hidden="1" customHeight="1">
      <c r="A15973" s="286"/>
    </row>
    <row r="15974" spans="1:1" s="287" customFormat="1" ht="12" hidden="1" customHeight="1">
      <c r="A15974" s="286"/>
    </row>
    <row r="15975" spans="1:1" s="287" customFormat="1" ht="12" hidden="1" customHeight="1">
      <c r="A15975" s="286"/>
    </row>
    <row r="15976" spans="1:1" s="287" customFormat="1" ht="12" hidden="1" customHeight="1">
      <c r="A15976" s="286"/>
    </row>
    <row r="15977" spans="1:1" s="287" customFormat="1" ht="12" hidden="1" customHeight="1">
      <c r="A15977" s="286"/>
    </row>
    <row r="15978" spans="1:1" s="287" customFormat="1" ht="12" hidden="1" customHeight="1">
      <c r="A15978" s="286"/>
    </row>
    <row r="15979" spans="1:1" s="287" customFormat="1" ht="12" hidden="1" customHeight="1">
      <c r="A15979" s="286"/>
    </row>
    <row r="15980" spans="1:1" s="287" customFormat="1" ht="12" hidden="1" customHeight="1">
      <c r="A15980" s="286"/>
    </row>
    <row r="15981" spans="1:1" s="287" customFormat="1" ht="12" hidden="1" customHeight="1">
      <c r="A15981" s="286"/>
    </row>
    <row r="15982" spans="1:1" s="287" customFormat="1" ht="12" hidden="1" customHeight="1">
      <c r="A15982" s="286"/>
    </row>
    <row r="15983" spans="1:1" s="287" customFormat="1" ht="12" hidden="1" customHeight="1">
      <c r="A15983" s="286"/>
    </row>
    <row r="15984" spans="1:1" s="287" customFormat="1" ht="12" hidden="1" customHeight="1">
      <c r="A15984" s="286"/>
    </row>
    <row r="15985" spans="1:1" s="287" customFormat="1" ht="12" hidden="1" customHeight="1">
      <c r="A15985" s="286"/>
    </row>
    <row r="15986" spans="1:1" s="287" customFormat="1" ht="12" hidden="1" customHeight="1">
      <c r="A15986" s="286"/>
    </row>
    <row r="15987" spans="1:1" s="287" customFormat="1" ht="12" hidden="1" customHeight="1">
      <c r="A15987" s="286"/>
    </row>
    <row r="15988" spans="1:1" s="287" customFormat="1" ht="12" hidden="1" customHeight="1">
      <c r="A15988" s="286"/>
    </row>
    <row r="15989" spans="1:1" s="287" customFormat="1" ht="12" hidden="1" customHeight="1">
      <c r="A15989" s="286"/>
    </row>
    <row r="15990" spans="1:1" s="287" customFormat="1" ht="12" hidden="1" customHeight="1">
      <c r="A15990" s="286"/>
    </row>
    <row r="15991" spans="1:1" s="287" customFormat="1" ht="12" hidden="1" customHeight="1">
      <c r="A15991" s="286"/>
    </row>
    <row r="15992" spans="1:1" s="287" customFormat="1" ht="12" hidden="1" customHeight="1">
      <c r="A15992" s="286"/>
    </row>
    <row r="15993" spans="1:1" s="287" customFormat="1" ht="12" hidden="1" customHeight="1">
      <c r="A15993" s="286"/>
    </row>
    <row r="15994" spans="1:1" s="287" customFormat="1" ht="12" hidden="1" customHeight="1">
      <c r="A15994" s="286"/>
    </row>
    <row r="15995" spans="1:1" s="287" customFormat="1" ht="12" hidden="1" customHeight="1">
      <c r="A15995" s="286"/>
    </row>
    <row r="15996" spans="1:1" s="287" customFormat="1" ht="12" hidden="1" customHeight="1">
      <c r="A15996" s="286"/>
    </row>
    <row r="15997" spans="1:1" s="287" customFormat="1" ht="12" hidden="1" customHeight="1">
      <c r="A15997" s="286"/>
    </row>
    <row r="15998" spans="1:1" s="287" customFormat="1" ht="12" hidden="1" customHeight="1">
      <c r="A15998" s="286"/>
    </row>
    <row r="15999" spans="1:1" s="287" customFormat="1" ht="12" hidden="1" customHeight="1">
      <c r="A15999" s="286"/>
    </row>
    <row r="16000" spans="1:1" s="287" customFormat="1" ht="12" hidden="1" customHeight="1">
      <c r="A16000" s="286"/>
    </row>
    <row r="16001" spans="1:1" s="287" customFormat="1" ht="12" hidden="1" customHeight="1">
      <c r="A16001" s="286"/>
    </row>
    <row r="16002" spans="1:1" s="287" customFormat="1" ht="12" hidden="1" customHeight="1">
      <c r="A16002" s="286"/>
    </row>
    <row r="16003" spans="1:1" s="287" customFormat="1" ht="12" hidden="1" customHeight="1">
      <c r="A16003" s="286"/>
    </row>
    <row r="16004" spans="1:1" s="287" customFormat="1" ht="12" hidden="1" customHeight="1">
      <c r="A16004" s="286"/>
    </row>
    <row r="16005" spans="1:1" s="287" customFormat="1" ht="12" hidden="1" customHeight="1">
      <c r="A16005" s="286"/>
    </row>
    <row r="16006" spans="1:1" s="287" customFormat="1" ht="12" hidden="1" customHeight="1">
      <c r="A16006" s="286"/>
    </row>
    <row r="16007" spans="1:1" s="287" customFormat="1" ht="12" hidden="1" customHeight="1">
      <c r="A16007" s="286"/>
    </row>
    <row r="16008" spans="1:1" s="287" customFormat="1" ht="12" hidden="1" customHeight="1">
      <c r="A16008" s="286"/>
    </row>
    <row r="16009" spans="1:1" s="287" customFormat="1" ht="12" hidden="1" customHeight="1">
      <c r="A16009" s="286"/>
    </row>
    <row r="16010" spans="1:1" s="287" customFormat="1" ht="12" hidden="1" customHeight="1">
      <c r="A16010" s="286"/>
    </row>
    <row r="16011" spans="1:1" s="287" customFormat="1" ht="12" hidden="1" customHeight="1">
      <c r="A16011" s="286"/>
    </row>
    <row r="16012" spans="1:1" s="287" customFormat="1" ht="12" hidden="1" customHeight="1">
      <c r="A16012" s="286"/>
    </row>
    <row r="16013" spans="1:1" s="287" customFormat="1" ht="12" hidden="1" customHeight="1">
      <c r="A16013" s="286"/>
    </row>
    <row r="16014" spans="1:1" s="287" customFormat="1" ht="12" hidden="1" customHeight="1">
      <c r="A16014" s="286"/>
    </row>
    <row r="16015" spans="1:1" s="287" customFormat="1" ht="12" hidden="1" customHeight="1">
      <c r="A16015" s="286"/>
    </row>
    <row r="16016" spans="1:1" s="287" customFormat="1" ht="12" hidden="1" customHeight="1">
      <c r="A16016" s="286"/>
    </row>
    <row r="16017" spans="1:1" s="287" customFormat="1" ht="12" hidden="1" customHeight="1">
      <c r="A16017" s="286"/>
    </row>
    <row r="16018" spans="1:1" s="287" customFormat="1" ht="12" hidden="1" customHeight="1">
      <c r="A16018" s="286"/>
    </row>
    <row r="16019" spans="1:1" s="287" customFormat="1" ht="12" hidden="1" customHeight="1">
      <c r="A16019" s="286"/>
    </row>
    <row r="16020" spans="1:1" s="287" customFormat="1" ht="12" hidden="1" customHeight="1">
      <c r="A16020" s="286"/>
    </row>
    <row r="16021" spans="1:1" s="287" customFormat="1" ht="12" hidden="1" customHeight="1">
      <c r="A16021" s="286"/>
    </row>
    <row r="16022" spans="1:1" s="287" customFormat="1" ht="12" hidden="1" customHeight="1">
      <c r="A16022" s="286"/>
    </row>
    <row r="16023" spans="1:1" s="287" customFormat="1" ht="12" hidden="1" customHeight="1">
      <c r="A16023" s="286"/>
    </row>
    <row r="16024" spans="1:1" s="287" customFormat="1" ht="12" hidden="1" customHeight="1">
      <c r="A16024" s="286"/>
    </row>
    <row r="16025" spans="1:1" s="287" customFormat="1" ht="12" hidden="1" customHeight="1">
      <c r="A16025" s="286"/>
    </row>
    <row r="16026" spans="1:1" s="287" customFormat="1" ht="12" hidden="1" customHeight="1">
      <c r="A16026" s="286"/>
    </row>
    <row r="16027" spans="1:1" s="287" customFormat="1" ht="12" hidden="1" customHeight="1">
      <c r="A16027" s="286"/>
    </row>
    <row r="16028" spans="1:1" s="287" customFormat="1" ht="12" hidden="1" customHeight="1">
      <c r="A16028" s="286"/>
    </row>
    <row r="16029" spans="1:1" s="287" customFormat="1" ht="12" hidden="1" customHeight="1">
      <c r="A16029" s="286"/>
    </row>
    <row r="16030" spans="1:1" s="287" customFormat="1" ht="12" hidden="1" customHeight="1">
      <c r="A16030" s="286"/>
    </row>
    <row r="16031" spans="1:1" s="287" customFormat="1" ht="12" hidden="1" customHeight="1">
      <c r="A16031" s="286"/>
    </row>
    <row r="16032" spans="1:1" s="287" customFormat="1" ht="12" hidden="1" customHeight="1">
      <c r="A16032" s="286"/>
    </row>
    <row r="16033" spans="1:1" s="287" customFormat="1" ht="12" hidden="1" customHeight="1">
      <c r="A16033" s="286"/>
    </row>
    <row r="16034" spans="1:1" s="287" customFormat="1" ht="12" hidden="1" customHeight="1">
      <c r="A16034" s="286"/>
    </row>
    <row r="16035" spans="1:1" s="287" customFormat="1" ht="12" hidden="1" customHeight="1">
      <c r="A16035" s="286"/>
    </row>
    <row r="16036" spans="1:1" s="287" customFormat="1" ht="12" hidden="1" customHeight="1">
      <c r="A16036" s="286"/>
    </row>
    <row r="16037" spans="1:1" s="287" customFormat="1" ht="12" hidden="1" customHeight="1">
      <c r="A16037" s="286"/>
    </row>
    <row r="16038" spans="1:1" s="287" customFormat="1" ht="12" hidden="1" customHeight="1">
      <c r="A16038" s="286"/>
    </row>
    <row r="16039" spans="1:1" s="287" customFormat="1" ht="12" hidden="1" customHeight="1">
      <c r="A16039" s="286"/>
    </row>
    <row r="16040" spans="1:1" s="287" customFormat="1" ht="12" hidden="1" customHeight="1">
      <c r="A16040" s="286"/>
    </row>
    <row r="16041" spans="1:1" s="287" customFormat="1" ht="12" hidden="1" customHeight="1">
      <c r="A16041" s="286"/>
    </row>
    <row r="16042" spans="1:1" s="287" customFormat="1" ht="12" hidden="1" customHeight="1">
      <c r="A16042" s="286"/>
    </row>
    <row r="16043" spans="1:1" s="287" customFormat="1" ht="12" hidden="1" customHeight="1">
      <c r="A16043" s="286"/>
    </row>
    <row r="16044" spans="1:1" s="287" customFormat="1" ht="12" hidden="1" customHeight="1">
      <c r="A16044" s="286"/>
    </row>
    <row r="16045" spans="1:1" s="287" customFormat="1" ht="12" hidden="1" customHeight="1">
      <c r="A16045" s="286"/>
    </row>
    <row r="16046" spans="1:1" s="287" customFormat="1" ht="12" hidden="1" customHeight="1">
      <c r="A16046" s="286"/>
    </row>
    <row r="16047" spans="1:1" s="287" customFormat="1" ht="12" hidden="1" customHeight="1">
      <c r="A16047" s="286"/>
    </row>
    <row r="16048" spans="1:1" s="287" customFormat="1" ht="12" hidden="1" customHeight="1">
      <c r="A16048" s="286"/>
    </row>
    <row r="16049" spans="1:1" s="287" customFormat="1" ht="12" hidden="1" customHeight="1">
      <c r="A16049" s="286"/>
    </row>
    <row r="16050" spans="1:1" s="287" customFormat="1" ht="12" hidden="1" customHeight="1">
      <c r="A16050" s="286"/>
    </row>
    <row r="16051" spans="1:1" s="287" customFormat="1" ht="12" hidden="1" customHeight="1">
      <c r="A16051" s="286"/>
    </row>
    <row r="16052" spans="1:1" s="287" customFormat="1" ht="12" hidden="1" customHeight="1">
      <c r="A16052" s="286"/>
    </row>
    <row r="16053" spans="1:1" s="287" customFormat="1" ht="12" hidden="1" customHeight="1">
      <c r="A16053" s="286"/>
    </row>
    <row r="16054" spans="1:1" s="287" customFormat="1" ht="12" hidden="1" customHeight="1">
      <c r="A16054" s="286"/>
    </row>
    <row r="16055" spans="1:1" s="287" customFormat="1" ht="12" hidden="1" customHeight="1">
      <c r="A16055" s="286"/>
    </row>
    <row r="16056" spans="1:1" s="287" customFormat="1" ht="12" hidden="1" customHeight="1">
      <c r="A16056" s="286"/>
    </row>
    <row r="16057" spans="1:1" s="287" customFormat="1" ht="12" hidden="1" customHeight="1">
      <c r="A16057" s="286"/>
    </row>
    <row r="16058" spans="1:1" s="287" customFormat="1" ht="12" hidden="1" customHeight="1">
      <c r="A16058" s="286"/>
    </row>
    <row r="16059" spans="1:1" s="287" customFormat="1" ht="12" hidden="1" customHeight="1">
      <c r="A16059" s="286"/>
    </row>
    <row r="16060" spans="1:1" s="287" customFormat="1" ht="12" hidden="1" customHeight="1">
      <c r="A16060" s="286"/>
    </row>
    <row r="16061" spans="1:1" s="287" customFormat="1" ht="12" hidden="1" customHeight="1">
      <c r="A16061" s="286"/>
    </row>
    <row r="16062" spans="1:1" s="287" customFormat="1" ht="12" hidden="1" customHeight="1">
      <c r="A16062" s="286"/>
    </row>
    <row r="16063" spans="1:1" s="287" customFormat="1" ht="12" hidden="1" customHeight="1">
      <c r="A16063" s="286"/>
    </row>
    <row r="16064" spans="1:1" s="287" customFormat="1" ht="12" hidden="1" customHeight="1">
      <c r="A16064" s="286"/>
    </row>
    <row r="16065" spans="1:1" s="287" customFormat="1" ht="12" hidden="1" customHeight="1">
      <c r="A16065" s="286"/>
    </row>
    <row r="16066" spans="1:1" s="287" customFormat="1" ht="12" hidden="1" customHeight="1">
      <c r="A16066" s="286"/>
    </row>
    <row r="16067" spans="1:1" s="287" customFormat="1" ht="12" hidden="1" customHeight="1">
      <c r="A16067" s="286"/>
    </row>
    <row r="16068" spans="1:1" s="287" customFormat="1" ht="12" hidden="1" customHeight="1">
      <c r="A16068" s="286"/>
    </row>
    <row r="16069" spans="1:1" s="287" customFormat="1" ht="12" hidden="1" customHeight="1">
      <c r="A16069" s="286"/>
    </row>
    <row r="16070" spans="1:1" s="287" customFormat="1" ht="12" hidden="1" customHeight="1">
      <c r="A16070" s="286"/>
    </row>
    <row r="16071" spans="1:1" s="287" customFormat="1" ht="12" hidden="1" customHeight="1">
      <c r="A16071" s="286"/>
    </row>
    <row r="16072" spans="1:1" s="287" customFormat="1" ht="12" hidden="1" customHeight="1">
      <c r="A16072" s="286"/>
    </row>
    <row r="16073" spans="1:1" s="287" customFormat="1" ht="12" hidden="1" customHeight="1">
      <c r="A16073" s="286"/>
    </row>
    <row r="16074" spans="1:1" s="287" customFormat="1" ht="12" hidden="1" customHeight="1">
      <c r="A16074" s="286"/>
    </row>
    <row r="16075" spans="1:1" s="287" customFormat="1" ht="12" hidden="1" customHeight="1">
      <c r="A16075" s="286"/>
    </row>
    <row r="16076" spans="1:1" s="287" customFormat="1" ht="12" hidden="1" customHeight="1">
      <c r="A16076" s="286"/>
    </row>
    <row r="16077" spans="1:1" s="287" customFormat="1" ht="12" hidden="1" customHeight="1">
      <c r="A16077" s="286"/>
    </row>
    <row r="16078" spans="1:1" s="287" customFormat="1" ht="12" hidden="1" customHeight="1">
      <c r="A16078" s="286"/>
    </row>
    <row r="16079" spans="1:1" s="287" customFormat="1" ht="12" hidden="1" customHeight="1">
      <c r="A16079" s="286"/>
    </row>
    <row r="16080" spans="1:1" s="287" customFormat="1" ht="12" hidden="1" customHeight="1">
      <c r="A16080" s="286"/>
    </row>
    <row r="16081" spans="1:1" s="287" customFormat="1" ht="12" hidden="1" customHeight="1">
      <c r="A16081" s="286"/>
    </row>
    <row r="16082" spans="1:1" s="287" customFormat="1" ht="12" hidden="1" customHeight="1">
      <c r="A16082" s="286"/>
    </row>
    <row r="16083" spans="1:1" s="287" customFormat="1" ht="12" hidden="1" customHeight="1">
      <c r="A16083" s="286"/>
    </row>
    <row r="16084" spans="1:1" s="287" customFormat="1" ht="12" hidden="1" customHeight="1">
      <c r="A16084" s="286"/>
    </row>
    <row r="16085" spans="1:1" s="287" customFormat="1" ht="12" hidden="1" customHeight="1">
      <c r="A16085" s="286"/>
    </row>
    <row r="16086" spans="1:1" s="287" customFormat="1" ht="12" hidden="1" customHeight="1">
      <c r="A16086" s="286"/>
    </row>
    <row r="16087" spans="1:1" s="287" customFormat="1" ht="12" hidden="1" customHeight="1">
      <c r="A16087" s="286"/>
    </row>
    <row r="16088" spans="1:1" s="287" customFormat="1" ht="12" hidden="1" customHeight="1">
      <c r="A16088" s="286"/>
    </row>
    <row r="16089" spans="1:1" s="287" customFormat="1" ht="12" hidden="1" customHeight="1">
      <c r="A16089" s="286"/>
    </row>
    <row r="16090" spans="1:1" s="287" customFormat="1" ht="12" hidden="1" customHeight="1">
      <c r="A16090" s="286"/>
    </row>
    <row r="16091" spans="1:1" s="287" customFormat="1" ht="12" hidden="1" customHeight="1">
      <c r="A16091" s="286"/>
    </row>
    <row r="16092" spans="1:1" s="287" customFormat="1" ht="12" hidden="1" customHeight="1">
      <c r="A16092" s="286"/>
    </row>
    <row r="16093" spans="1:1" s="287" customFormat="1" ht="12" hidden="1" customHeight="1">
      <c r="A16093" s="286"/>
    </row>
    <row r="16094" spans="1:1" s="287" customFormat="1" ht="12" hidden="1" customHeight="1">
      <c r="A16094" s="286"/>
    </row>
    <row r="16095" spans="1:1" s="287" customFormat="1" ht="12" hidden="1" customHeight="1">
      <c r="A16095" s="286"/>
    </row>
    <row r="16096" spans="1:1" s="287" customFormat="1" ht="12" hidden="1" customHeight="1">
      <c r="A16096" s="286"/>
    </row>
    <row r="16097" spans="1:1" s="287" customFormat="1" ht="12" hidden="1" customHeight="1">
      <c r="A16097" s="286"/>
    </row>
    <row r="16098" spans="1:1" s="287" customFormat="1" ht="12" hidden="1" customHeight="1">
      <c r="A16098" s="286"/>
    </row>
    <row r="16099" spans="1:1" s="287" customFormat="1" ht="12" hidden="1" customHeight="1">
      <c r="A16099" s="286"/>
    </row>
    <row r="16100" spans="1:1" s="287" customFormat="1" ht="12" hidden="1" customHeight="1">
      <c r="A16100" s="286"/>
    </row>
    <row r="16101" spans="1:1" s="287" customFormat="1" ht="12" hidden="1" customHeight="1">
      <c r="A16101" s="286"/>
    </row>
    <row r="16102" spans="1:1" s="287" customFormat="1" ht="12" hidden="1" customHeight="1">
      <c r="A16102" s="286"/>
    </row>
    <row r="16103" spans="1:1" s="287" customFormat="1" ht="12" hidden="1" customHeight="1">
      <c r="A16103" s="286"/>
    </row>
    <row r="16104" spans="1:1" s="287" customFormat="1" ht="12" hidden="1" customHeight="1">
      <c r="A16104" s="286"/>
    </row>
    <row r="16105" spans="1:1" s="287" customFormat="1" ht="12" hidden="1" customHeight="1">
      <c r="A16105" s="286"/>
    </row>
    <row r="16106" spans="1:1" s="287" customFormat="1" ht="12" hidden="1" customHeight="1">
      <c r="A16106" s="286"/>
    </row>
    <row r="16107" spans="1:1" s="287" customFormat="1" ht="12" hidden="1" customHeight="1">
      <c r="A16107" s="286"/>
    </row>
    <row r="16108" spans="1:1" s="287" customFormat="1" ht="12" hidden="1" customHeight="1">
      <c r="A16108" s="286"/>
    </row>
    <row r="16109" spans="1:1" s="287" customFormat="1" ht="12" hidden="1" customHeight="1">
      <c r="A16109" s="286"/>
    </row>
    <row r="16110" spans="1:1" s="287" customFormat="1" ht="12" hidden="1" customHeight="1">
      <c r="A16110" s="286"/>
    </row>
    <row r="16111" spans="1:1" s="287" customFormat="1" ht="12" hidden="1" customHeight="1">
      <c r="A16111" s="286"/>
    </row>
    <row r="16112" spans="1:1" s="287" customFormat="1" ht="12" hidden="1" customHeight="1">
      <c r="A16112" s="286"/>
    </row>
    <row r="16113" spans="1:1" s="287" customFormat="1" ht="12" hidden="1" customHeight="1">
      <c r="A16113" s="286"/>
    </row>
    <row r="16114" spans="1:1" s="287" customFormat="1" ht="12" hidden="1" customHeight="1">
      <c r="A16114" s="286"/>
    </row>
    <row r="16115" spans="1:1" s="287" customFormat="1" ht="12" hidden="1" customHeight="1">
      <c r="A16115" s="286"/>
    </row>
    <row r="16116" spans="1:1" s="287" customFormat="1" ht="12" hidden="1" customHeight="1">
      <c r="A16116" s="286"/>
    </row>
    <row r="16117" spans="1:1" s="287" customFormat="1" ht="12" hidden="1" customHeight="1">
      <c r="A16117" s="286"/>
    </row>
    <row r="16118" spans="1:1" s="287" customFormat="1" ht="12" hidden="1" customHeight="1">
      <c r="A16118" s="286"/>
    </row>
    <row r="16119" spans="1:1" s="287" customFormat="1" ht="12" hidden="1" customHeight="1">
      <c r="A16119" s="286"/>
    </row>
    <row r="16120" spans="1:1" s="287" customFormat="1" ht="12" hidden="1" customHeight="1">
      <c r="A16120" s="286"/>
    </row>
    <row r="16121" spans="1:1" s="287" customFormat="1" ht="12" hidden="1" customHeight="1">
      <c r="A16121" s="286"/>
    </row>
    <row r="16122" spans="1:1" s="287" customFormat="1" ht="12" hidden="1" customHeight="1">
      <c r="A16122" s="286"/>
    </row>
    <row r="16123" spans="1:1" s="287" customFormat="1" ht="12" hidden="1" customHeight="1">
      <c r="A16123" s="286"/>
    </row>
    <row r="16124" spans="1:1" s="287" customFormat="1" ht="12" hidden="1" customHeight="1">
      <c r="A16124" s="286"/>
    </row>
    <row r="16125" spans="1:1" s="287" customFormat="1" ht="12" hidden="1" customHeight="1">
      <c r="A16125" s="286"/>
    </row>
    <row r="16126" spans="1:1" s="287" customFormat="1" ht="12" hidden="1" customHeight="1">
      <c r="A16126" s="286"/>
    </row>
    <row r="16127" spans="1:1" s="287" customFormat="1" ht="12" hidden="1" customHeight="1">
      <c r="A16127" s="286"/>
    </row>
    <row r="16128" spans="1:1" s="287" customFormat="1" ht="12" hidden="1" customHeight="1">
      <c r="A16128" s="286"/>
    </row>
    <row r="16129" spans="1:1" s="287" customFormat="1" ht="12" hidden="1" customHeight="1">
      <c r="A16129" s="286"/>
    </row>
    <row r="16130" spans="1:1" s="287" customFormat="1" ht="12" hidden="1" customHeight="1">
      <c r="A16130" s="286"/>
    </row>
    <row r="16131" spans="1:1" s="287" customFormat="1" ht="12" hidden="1" customHeight="1">
      <c r="A16131" s="286"/>
    </row>
    <row r="16132" spans="1:1" s="287" customFormat="1" ht="12" hidden="1" customHeight="1">
      <c r="A16132" s="286"/>
    </row>
    <row r="16133" spans="1:1" s="287" customFormat="1" ht="12" hidden="1" customHeight="1">
      <c r="A16133" s="286"/>
    </row>
    <row r="16134" spans="1:1" s="287" customFormat="1" ht="12" hidden="1" customHeight="1">
      <c r="A16134" s="286"/>
    </row>
    <row r="16135" spans="1:1" s="287" customFormat="1" ht="12" hidden="1" customHeight="1">
      <c r="A16135" s="286"/>
    </row>
    <row r="16136" spans="1:1" s="287" customFormat="1" ht="12" hidden="1" customHeight="1">
      <c r="A16136" s="286"/>
    </row>
    <row r="16137" spans="1:1" s="287" customFormat="1" ht="12" hidden="1" customHeight="1">
      <c r="A16137" s="286"/>
    </row>
    <row r="16138" spans="1:1" s="287" customFormat="1" ht="12" hidden="1" customHeight="1">
      <c r="A16138" s="286"/>
    </row>
    <row r="16139" spans="1:1" s="287" customFormat="1" ht="12" hidden="1" customHeight="1">
      <c r="A16139" s="286"/>
    </row>
    <row r="16140" spans="1:1" s="287" customFormat="1" ht="12" hidden="1" customHeight="1">
      <c r="A16140" s="286"/>
    </row>
    <row r="16141" spans="1:1" s="287" customFormat="1" ht="12" hidden="1" customHeight="1">
      <c r="A16141" s="286"/>
    </row>
    <row r="16142" spans="1:1" s="287" customFormat="1" ht="12" hidden="1" customHeight="1">
      <c r="A16142" s="286"/>
    </row>
    <row r="16143" spans="1:1" s="287" customFormat="1" ht="12" hidden="1" customHeight="1">
      <c r="A16143" s="286"/>
    </row>
    <row r="16144" spans="1:1" s="287" customFormat="1" ht="12" hidden="1" customHeight="1">
      <c r="A16144" s="286"/>
    </row>
    <row r="16145" spans="1:1" s="287" customFormat="1" ht="12" hidden="1" customHeight="1">
      <c r="A16145" s="286"/>
    </row>
    <row r="16146" spans="1:1" s="287" customFormat="1" ht="12" hidden="1" customHeight="1">
      <c r="A16146" s="286"/>
    </row>
    <row r="16147" spans="1:1" s="287" customFormat="1" ht="12" hidden="1" customHeight="1">
      <c r="A16147" s="286"/>
    </row>
    <row r="16148" spans="1:1" s="287" customFormat="1" ht="12" hidden="1" customHeight="1">
      <c r="A16148" s="286"/>
    </row>
    <row r="16149" spans="1:1" s="287" customFormat="1" ht="12" hidden="1" customHeight="1">
      <c r="A16149" s="286"/>
    </row>
    <row r="16150" spans="1:1" s="287" customFormat="1" ht="12" hidden="1" customHeight="1">
      <c r="A16150" s="286"/>
    </row>
    <row r="16151" spans="1:1" s="287" customFormat="1" ht="12" hidden="1" customHeight="1">
      <c r="A16151" s="286"/>
    </row>
    <row r="16152" spans="1:1" s="287" customFormat="1" ht="12" hidden="1" customHeight="1">
      <c r="A16152" s="286"/>
    </row>
    <row r="16153" spans="1:1" s="287" customFormat="1" ht="12" hidden="1" customHeight="1">
      <c r="A16153" s="286"/>
    </row>
    <row r="16154" spans="1:1" s="287" customFormat="1" ht="12" hidden="1" customHeight="1">
      <c r="A16154" s="286"/>
    </row>
    <row r="16155" spans="1:1" s="287" customFormat="1" ht="12" hidden="1" customHeight="1">
      <c r="A16155" s="286"/>
    </row>
    <row r="16156" spans="1:1" s="287" customFormat="1" ht="12" hidden="1" customHeight="1">
      <c r="A16156" s="286"/>
    </row>
    <row r="16157" spans="1:1" s="287" customFormat="1" ht="12" hidden="1" customHeight="1">
      <c r="A16157" s="286"/>
    </row>
    <row r="16158" spans="1:1" s="287" customFormat="1" ht="12" hidden="1" customHeight="1">
      <c r="A16158" s="286"/>
    </row>
    <row r="16159" spans="1:1" s="287" customFormat="1" ht="12" hidden="1" customHeight="1">
      <c r="A16159" s="286"/>
    </row>
    <row r="16160" spans="1:1" s="287" customFormat="1" ht="12" hidden="1" customHeight="1">
      <c r="A16160" s="286"/>
    </row>
    <row r="16161" spans="1:1" s="287" customFormat="1" ht="12" hidden="1" customHeight="1">
      <c r="A16161" s="286"/>
    </row>
    <row r="16162" spans="1:1" s="287" customFormat="1" ht="12" hidden="1" customHeight="1">
      <c r="A16162" s="286"/>
    </row>
    <row r="16163" spans="1:1" s="287" customFormat="1" ht="12" hidden="1" customHeight="1">
      <c r="A16163" s="286"/>
    </row>
    <row r="16164" spans="1:1" s="287" customFormat="1" ht="12" hidden="1" customHeight="1">
      <c r="A16164" s="286"/>
    </row>
    <row r="16165" spans="1:1" s="287" customFormat="1" ht="12" hidden="1" customHeight="1">
      <c r="A16165" s="286"/>
    </row>
    <row r="16166" spans="1:1" s="287" customFormat="1" ht="12" hidden="1" customHeight="1">
      <c r="A16166" s="286"/>
    </row>
    <row r="16167" spans="1:1" s="287" customFormat="1" ht="12" hidden="1" customHeight="1">
      <c r="A16167" s="286"/>
    </row>
    <row r="16168" spans="1:1" s="287" customFormat="1" ht="12" hidden="1" customHeight="1">
      <c r="A16168" s="286"/>
    </row>
    <row r="16169" spans="1:1" s="287" customFormat="1" ht="12" hidden="1" customHeight="1">
      <c r="A16169" s="286"/>
    </row>
    <row r="16170" spans="1:1" s="287" customFormat="1" ht="12" hidden="1" customHeight="1">
      <c r="A16170" s="286"/>
    </row>
    <row r="16171" spans="1:1" s="287" customFormat="1" ht="12" hidden="1" customHeight="1">
      <c r="A16171" s="286"/>
    </row>
    <row r="16172" spans="1:1" s="287" customFormat="1" ht="12" hidden="1" customHeight="1">
      <c r="A16172" s="286"/>
    </row>
    <row r="16173" spans="1:1" s="287" customFormat="1" ht="12" hidden="1" customHeight="1">
      <c r="A16173" s="286"/>
    </row>
    <row r="16174" spans="1:1" s="287" customFormat="1" ht="12" hidden="1" customHeight="1">
      <c r="A16174" s="286"/>
    </row>
    <row r="16175" spans="1:1" s="287" customFormat="1" ht="12" hidden="1" customHeight="1">
      <c r="A16175" s="286"/>
    </row>
    <row r="16176" spans="1:1" s="287" customFormat="1" ht="12" hidden="1" customHeight="1">
      <c r="A16176" s="286"/>
    </row>
    <row r="16177" spans="1:1" s="287" customFormat="1" ht="12" hidden="1" customHeight="1">
      <c r="A16177" s="286"/>
    </row>
    <row r="16178" spans="1:1" s="287" customFormat="1" ht="12" hidden="1" customHeight="1">
      <c r="A16178" s="286"/>
    </row>
    <row r="16179" spans="1:1" s="287" customFormat="1" ht="12" hidden="1" customHeight="1">
      <c r="A16179" s="286"/>
    </row>
    <row r="16180" spans="1:1" s="287" customFormat="1" ht="12" hidden="1" customHeight="1">
      <c r="A16180" s="286"/>
    </row>
    <row r="16181" spans="1:1" s="287" customFormat="1" ht="12" hidden="1" customHeight="1">
      <c r="A16181" s="286"/>
    </row>
    <row r="16182" spans="1:1" s="287" customFormat="1" ht="12" hidden="1" customHeight="1">
      <c r="A16182" s="286"/>
    </row>
    <row r="16183" spans="1:1" s="287" customFormat="1" ht="12" hidden="1" customHeight="1">
      <c r="A16183" s="286"/>
    </row>
    <row r="16184" spans="1:1" s="287" customFormat="1" ht="12" hidden="1" customHeight="1">
      <c r="A16184" s="286"/>
    </row>
    <row r="16185" spans="1:1" s="287" customFormat="1" ht="12" hidden="1" customHeight="1">
      <c r="A16185" s="286"/>
    </row>
    <row r="16186" spans="1:1" s="287" customFormat="1" ht="12" hidden="1" customHeight="1">
      <c r="A16186" s="286"/>
    </row>
    <row r="16187" spans="1:1" s="287" customFormat="1" ht="12" hidden="1" customHeight="1">
      <c r="A16187" s="286"/>
    </row>
    <row r="16188" spans="1:1" s="287" customFormat="1" ht="12" hidden="1" customHeight="1">
      <c r="A16188" s="286"/>
    </row>
    <row r="16189" spans="1:1" s="287" customFormat="1" ht="12" hidden="1" customHeight="1">
      <c r="A16189" s="286"/>
    </row>
    <row r="16190" spans="1:1" s="287" customFormat="1" ht="12" hidden="1" customHeight="1">
      <c r="A16190" s="286"/>
    </row>
    <row r="16191" spans="1:1" s="287" customFormat="1" ht="12" hidden="1" customHeight="1">
      <c r="A16191" s="286"/>
    </row>
    <row r="16192" spans="1:1" s="287" customFormat="1" ht="12" hidden="1" customHeight="1">
      <c r="A16192" s="286"/>
    </row>
    <row r="16193" spans="1:1" s="287" customFormat="1" ht="12" hidden="1" customHeight="1">
      <c r="A16193" s="286"/>
    </row>
    <row r="16194" spans="1:1" s="287" customFormat="1" ht="12" hidden="1" customHeight="1">
      <c r="A16194" s="286"/>
    </row>
    <row r="16195" spans="1:1" s="287" customFormat="1" ht="12" hidden="1" customHeight="1">
      <c r="A16195" s="286"/>
    </row>
    <row r="16196" spans="1:1" s="287" customFormat="1" ht="12" hidden="1" customHeight="1">
      <c r="A16196" s="286"/>
    </row>
    <row r="16197" spans="1:1" s="287" customFormat="1" ht="12" hidden="1" customHeight="1">
      <c r="A16197" s="286"/>
    </row>
    <row r="16198" spans="1:1" s="287" customFormat="1" ht="12" hidden="1" customHeight="1">
      <c r="A16198" s="286"/>
    </row>
    <row r="16199" spans="1:1" s="287" customFormat="1" ht="12" hidden="1" customHeight="1">
      <c r="A16199" s="286"/>
    </row>
    <row r="16200" spans="1:1" s="287" customFormat="1" ht="12" hidden="1" customHeight="1">
      <c r="A16200" s="286"/>
    </row>
    <row r="16201" spans="1:1" s="287" customFormat="1" ht="12" hidden="1" customHeight="1">
      <c r="A16201" s="286"/>
    </row>
    <row r="16202" spans="1:1" s="287" customFormat="1" ht="12" hidden="1" customHeight="1">
      <c r="A16202" s="286"/>
    </row>
    <row r="16203" spans="1:1" s="287" customFormat="1" ht="12" hidden="1" customHeight="1">
      <c r="A16203" s="286"/>
    </row>
    <row r="16204" spans="1:1" s="287" customFormat="1" ht="12" hidden="1" customHeight="1">
      <c r="A16204" s="286"/>
    </row>
    <row r="16205" spans="1:1" s="287" customFormat="1" ht="12" hidden="1" customHeight="1">
      <c r="A16205" s="286"/>
    </row>
    <row r="16206" spans="1:1" s="287" customFormat="1" ht="12" hidden="1" customHeight="1">
      <c r="A16206" s="286"/>
    </row>
    <row r="16207" spans="1:1" s="287" customFormat="1" ht="12" hidden="1" customHeight="1">
      <c r="A16207" s="286"/>
    </row>
    <row r="16208" spans="1:1" s="287" customFormat="1" ht="12" hidden="1" customHeight="1">
      <c r="A16208" s="286"/>
    </row>
    <row r="16209" spans="1:1" s="287" customFormat="1" ht="12" hidden="1" customHeight="1">
      <c r="A16209" s="286"/>
    </row>
    <row r="16210" spans="1:1" s="287" customFormat="1" ht="12" hidden="1" customHeight="1">
      <c r="A16210" s="286"/>
    </row>
    <row r="16211" spans="1:1" s="287" customFormat="1" ht="12" hidden="1" customHeight="1">
      <c r="A16211" s="286"/>
    </row>
    <row r="16212" spans="1:1" s="287" customFormat="1" ht="12" hidden="1" customHeight="1">
      <c r="A16212" s="286"/>
    </row>
    <row r="16213" spans="1:1" s="287" customFormat="1" ht="12" hidden="1" customHeight="1">
      <c r="A16213" s="286"/>
    </row>
    <row r="16214" spans="1:1" s="287" customFormat="1" ht="12" hidden="1" customHeight="1">
      <c r="A16214" s="286"/>
    </row>
    <row r="16215" spans="1:1" s="287" customFormat="1" ht="12" hidden="1" customHeight="1">
      <c r="A16215" s="286"/>
    </row>
    <row r="16216" spans="1:1" s="287" customFormat="1" ht="12" hidden="1" customHeight="1">
      <c r="A16216" s="286"/>
    </row>
    <row r="16217" spans="1:1" s="287" customFormat="1" ht="12" hidden="1" customHeight="1">
      <c r="A16217" s="286"/>
    </row>
    <row r="16218" spans="1:1" s="287" customFormat="1" ht="12" hidden="1" customHeight="1">
      <c r="A16218" s="286"/>
    </row>
    <row r="16219" spans="1:1" s="287" customFormat="1" ht="12" hidden="1" customHeight="1">
      <c r="A16219" s="286"/>
    </row>
    <row r="16220" spans="1:1" s="287" customFormat="1" ht="12" hidden="1" customHeight="1">
      <c r="A16220" s="286"/>
    </row>
    <row r="16221" spans="1:1" s="287" customFormat="1" ht="12" hidden="1" customHeight="1">
      <c r="A16221" s="286"/>
    </row>
    <row r="16222" spans="1:1" s="287" customFormat="1" ht="12" hidden="1" customHeight="1">
      <c r="A16222" s="286"/>
    </row>
    <row r="16223" spans="1:1" s="287" customFormat="1" ht="12" hidden="1" customHeight="1">
      <c r="A16223" s="286"/>
    </row>
    <row r="16224" spans="1:1" s="287" customFormat="1" ht="12" hidden="1" customHeight="1">
      <c r="A16224" s="286"/>
    </row>
    <row r="16225" spans="1:1" s="287" customFormat="1" ht="12" hidden="1" customHeight="1">
      <c r="A16225" s="286"/>
    </row>
    <row r="16226" spans="1:1" s="287" customFormat="1" ht="12" hidden="1" customHeight="1">
      <c r="A16226" s="286"/>
    </row>
    <row r="16227" spans="1:1" s="287" customFormat="1" ht="12" hidden="1" customHeight="1">
      <c r="A16227" s="286"/>
    </row>
    <row r="16228" spans="1:1" s="287" customFormat="1" ht="12" hidden="1" customHeight="1">
      <c r="A16228" s="286"/>
    </row>
    <row r="16229" spans="1:1" s="287" customFormat="1" ht="12" hidden="1" customHeight="1">
      <c r="A16229" s="286"/>
    </row>
    <row r="16230" spans="1:1" s="287" customFormat="1" ht="12" hidden="1" customHeight="1">
      <c r="A16230" s="286"/>
    </row>
    <row r="16231" spans="1:1" s="287" customFormat="1" ht="12" hidden="1" customHeight="1">
      <c r="A16231" s="286"/>
    </row>
    <row r="16232" spans="1:1" s="287" customFormat="1" ht="12" hidden="1" customHeight="1">
      <c r="A16232" s="286"/>
    </row>
    <row r="16233" spans="1:1" s="287" customFormat="1" ht="12" hidden="1" customHeight="1">
      <c r="A16233" s="286"/>
    </row>
    <row r="16234" spans="1:1" s="287" customFormat="1" ht="12" hidden="1" customHeight="1">
      <c r="A16234" s="286"/>
    </row>
    <row r="16235" spans="1:1" s="287" customFormat="1" ht="12" hidden="1" customHeight="1">
      <c r="A16235" s="286"/>
    </row>
    <row r="16236" spans="1:1" s="287" customFormat="1" ht="12" hidden="1" customHeight="1">
      <c r="A16236" s="286"/>
    </row>
    <row r="16237" spans="1:1" s="287" customFormat="1" ht="12" hidden="1" customHeight="1">
      <c r="A16237" s="286"/>
    </row>
    <row r="16238" spans="1:1" s="287" customFormat="1" ht="12" hidden="1" customHeight="1">
      <c r="A16238" s="286"/>
    </row>
    <row r="16239" spans="1:1" s="287" customFormat="1" ht="12" hidden="1" customHeight="1">
      <c r="A16239" s="286"/>
    </row>
    <row r="16240" spans="1:1" s="287" customFormat="1" ht="12" hidden="1" customHeight="1">
      <c r="A16240" s="286"/>
    </row>
    <row r="16241" spans="1:1" s="287" customFormat="1" ht="12" hidden="1" customHeight="1">
      <c r="A16241" s="286"/>
    </row>
    <row r="16242" spans="1:1" s="287" customFormat="1" ht="12" hidden="1" customHeight="1">
      <c r="A16242" s="286"/>
    </row>
    <row r="16243" spans="1:1" s="287" customFormat="1" ht="12" hidden="1" customHeight="1">
      <c r="A16243" s="286"/>
    </row>
    <row r="16244" spans="1:1" s="287" customFormat="1" ht="12" hidden="1" customHeight="1">
      <c r="A16244" s="286"/>
    </row>
    <row r="16245" spans="1:1" s="287" customFormat="1" ht="12" hidden="1" customHeight="1">
      <c r="A16245" s="286"/>
    </row>
    <row r="16246" spans="1:1" s="287" customFormat="1" ht="12" hidden="1" customHeight="1">
      <c r="A16246" s="286"/>
    </row>
    <row r="16247" spans="1:1" s="287" customFormat="1" ht="12" hidden="1" customHeight="1">
      <c r="A16247" s="286"/>
    </row>
    <row r="16248" spans="1:1" s="287" customFormat="1" ht="12" hidden="1" customHeight="1">
      <c r="A16248" s="286"/>
    </row>
    <row r="16249" spans="1:1" s="287" customFormat="1" ht="12" hidden="1" customHeight="1">
      <c r="A16249" s="286"/>
    </row>
    <row r="16250" spans="1:1" s="287" customFormat="1" ht="12" hidden="1" customHeight="1">
      <c r="A16250" s="286"/>
    </row>
    <row r="16251" spans="1:1" s="287" customFormat="1" ht="12" hidden="1" customHeight="1">
      <c r="A16251" s="286"/>
    </row>
    <row r="16252" spans="1:1" s="287" customFormat="1" ht="12" hidden="1" customHeight="1">
      <c r="A16252" s="286"/>
    </row>
    <row r="16253" spans="1:1" s="287" customFormat="1" ht="12" hidden="1" customHeight="1">
      <c r="A16253" s="286"/>
    </row>
    <row r="16254" spans="1:1" s="287" customFormat="1" ht="12" hidden="1" customHeight="1">
      <c r="A16254" s="286"/>
    </row>
    <row r="16255" spans="1:1" s="287" customFormat="1" ht="12" hidden="1" customHeight="1">
      <c r="A16255" s="286"/>
    </row>
    <row r="16256" spans="1:1" s="287" customFormat="1" ht="12" hidden="1" customHeight="1">
      <c r="A16256" s="286"/>
    </row>
    <row r="16257" spans="1:1" s="287" customFormat="1" ht="12" hidden="1" customHeight="1">
      <c r="A16257" s="286"/>
    </row>
    <row r="16258" spans="1:1" s="287" customFormat="1" ht="12" hidden="1" customHeight="1">
      <c r="A16258" s="286"/>
    </row>
    <row r="16259" spans="1:1" s="287" customFormat="1" ht="12" hidden="1" customHeight="1">
      <c r="A16259" s="286"/>
    </row>
    <row r="16260" spans="1:1" s="287" customFormat="1" ht="12" hidden="1" customHeight="1">
      <c r="A16260" s="286"/>
    </row>
    <row r="16261" spans="1:1" s="287" customFormat="1" ht="12" hidden="1" customHeight="1">
      <c r="A16261" s="286"/>
    </row>
    <row r="16262" spans="1:1" s="287" customFormat="1" ht="12" hidden="1" customHeight="1">
      <c r="A16262" s="286"/>
    </row>
    <row r="16263" spans="1:1" s="287" customFormat="1" ht="12" hidden="1" customHeight="1">
      <c r="A16263" s="286"/>
    </row>
    <row r="16264" spans="1:1" s="287" customFormat="1" ht="12" hidden="1" customHeight="1">
      <c r="A16264" s="286"/>
    </row>
    <row r="16265" spans="1:1" s="287" customFormat="1" ht="12" hidden="1" customHeight="1">
      <c r="A16265" s="286"/>
    </row>
    <row r="16266" spans="1:1" s="287" customFormat="1" ht="12" hidden="1" customHeight="1">
      <c r="A16266" s="286"/>
    </row>
    <row r="16267" spans="1:1" s="287" customFormat="1" ht="12" hidden="1" customHeight="1">
      <c r="A16267" s="286"/>
    </row>
    <row r="16268" spans="1:1" s="287" customFormat="1" ht="12" hidden="1" customHeight="1">
      <c r="A16268" s="286"/>
    </row>
    <row r="16269" spans="1:1" s="287" customFormat="1" ht="12" hidden="1" customHeight="1">
      <c r="A16269" s="286"/>
    </row>
    <row r="16270" spans="1:1" s="287" customFormat="1" ht="12" hidden="1" customHeight="1">
      <c r="A16270" s="286"/>
    </row>
    <row r="16271" spans="1:1" s="287" customFormat="1" ht="12" hidden="1" customHeight="1">
      <c r="A16271" s="286"/>
    </row>
    <row r="16272" spans="1:1" s="287" customFormat="1" ht="12" hidden="1" customHeight="1">
      <c r="A16272" s="286"/>
    </row>
    <row r="16273" spans="1:1" s="287" customFormat="1" ht="12" hidden="1" customHeight="1">
      <c r="A16273" s="286"/>
    </row>
    <row r="16274" spans="1:1" s="287" customFormat="1" ht="12" hidden="1" customHeight="1">
      <c r="A16274" s="286"/>
    </row>
    <row r="16275" spans="1:1" s="287" customFormat="1" ht="12" hidden="1" customHeight="1">
      <c r="A16275" s="286"/>
    </row>
    <row r="16276" spans="1:1" s="287" customFormat="1" ht="12" hidden="1" customHeight="1">
      <c r="A16276" s="286"/>
    </row>
    <row r="16277" spans="1:1" s="287" customFormat="1" ht="12" hidden="1" customHeight="1">
      <c r="A16277" s="286"/>
    </row>
    <row r="16278" spans="1:1" s="287" customFormat="1" ht="12" hidden="1" customHeight="1">
      <c r="A16278" s="286"/>
    </row>
    <row r="16279" spans="1:1" s="287" customFormat="1" ht="12" hidden="1" customHeight="1">
      <c r="A16279" s="286"/>
    </row>
    <row r="16280" spans="1:1" s="287" customFormat="1" ht="12" hidden="1" customHeight="1">
      <c r="A16280" s="286"/>
    </row>
    <row r="16281" spans="1:1" s="287" customFormat="1" ht="12" hidden="1" customHeight="1">
      <c r="A16281" s="286"/>
    </row>
    <row r="16282" spans="1:1" s="287" customFormat="1" ht="12" hidden="1" customHeight="1">
      <c r="A16282" s="286"/>
    </row>
    <row r="16283" spans="1:1" s="287" customFormat="1" ht="12" hidden="1" customHeight="1">
      <c r="A16283" s="286"/>
    </row>
    <row r="16284" spans="1:1" s="287" customFormat="1" ht="12" hidden="1" customHeight="1">
      <c r="A16284" s="286"/>
    </row>
    <row r="16285" spans="1:1" s="287" customFormat="1" ht="12" hidden="1" customHeight="1">
      <c r="A16285" s="286"/>
    </row>
    <row r="16286" spans="1:1" s="287" customFormat="1" ht="12" hidden="1" customHeight="1">
      <c r="A16286" s="286"/>
    </row>
    <row r="16287" spans="1:1" s="287" customFormat="1" ht="12" hidden="1" customHeight="1">
      <c r="A16287" s="286"/>
    </row>
    <row r="16288" spans="1:1" s="287" customFormat="1" ht="12" hidden="1" customHeight="1">
      <c r="A16288" s="286"/>
    </row>
    <row r="16289" spans="1:1" s="287" customFormat="1" ht="12" hidden="1" customHeight="1">
      <c r="A16289" s="286"/>
    </row>
    <row r="16290" spans="1:1" s="287" customFormat="1" ht="12" hidden="1" customHeight="1">
      <c r="A16290" s="286"/>
    </row>
    <row r="16291" spans="1:1" s="287" customFormat="1" ht="12" hidden="1" customHeight="1">
      <c r="A16291" s="286"/>
    </row>
    <row r="16292" spans="1:1" s="287" customFormat="1" ht="12" hidden="1" customHeight="1">
      <c r="A16292" s="286"/>
    </row>
    <row r="16293" spans="1:1" s="287" customFormat="1" ht="12" hidden="1" customHeight="1">
      <c r="A16293" s="286"/>
    </row>
    <row r="16294" spans="1:1" s="287" customFormat="1" ht="12" hidden="1" customHeight="1">
      <c r="A16294" s="286"/>
    </row>
    <row r="16295" spans="1:1" s="287" customFormat="1" ht="12" hidden="1" customHeight="1">
      <c r="A16295" s="286"/>
    </row>
    <row r="16296" spans="1:1" s="287" customFormat="1" ht="12" hidden="1" customHeight="1">
      <c r="A16296" s="286"/>
    </row>
    <row r="16297" spans="1:1" s="287" customFormat="1" ht="12" hidden="1" customHeight="1">
      <c r="A16297" s="286"/>
    </row>
    <row r="16298" spans="1:1" s="287" customFormat="1" ht="12" hidden="1" customHeight="1">
      <c r="A16298" s="286"/>
    </row>
    <row r="16299" spans="1:1" s="287" customFormat="1" ht="12" hidden="1" customHeight="1">
      <c r="A16299" s="286"/>
    </row>
    <row r="16300" spans="1:1" s="287" customFormat="1" ht="12" hidden="1" customHeight="1">
      <c r="A16300" s="286"/>
    </row>
    <row r="16301" spans="1:1" s="287" customFormat="1" ht="12" hidden="1" customHeight="1">
      <c r="A16301" s="286"/>
    </row>
    <row r="16302" spans="1:1" s="287" customFormat="1" ht="12" hidden="1" customHeight="1">
      <c r="A16302" s="286"/>
    </row>
    <row r="16303" spans="1:1" s="287" customFormat="1" ht="12" hidden="1" customHeight="1">
      <c r="A16303" s="286"/>
    </row>
    <row r="16304" spans="1:1" s="287" customFormat="1" ht="12" hidden="1" customHeight="1">
      <c r="A16304" s="286"/>
    </row>
    <row r="16305" spans="1:1" s="287" customFormat="1" ht="12" hidden="1" customHeight="1">
      <c r="A16305" s="286"/>
    </row>
    <row r="16306" spans="1:1" s="287" customFormat="1" ht="12" hidden="1" customHeight="1">
      <c r="A16306" s="286"/>
    </row>
    <row r="16307" spans="1:1" s="287" customFormat="1" ht="12" hidden="1" customHeight="1">
      <c r="A16307" s="286"/>
    </row>
    <row r="16308" spans="1:1" s="287" customFormat="1" ht="12" hidden="1" customHeight="1">
      <c r="A16308" s="286"/>
    </row>
    <row r="16309" spans="1:1" s="287" customFormat="1" ht="12" hidden="1" customHeight="1">
      <c r="A16309" s="286"/>
    </row>
    <row r="16310" spans="1:1" s="287" customFormat="1" ht="12" hidden="1" customHeight="1">
      <c r="A16310" s="286"/>
    </row>
    <row r="16311" spans="1:1" s="287" customFormat="1" ht="12" hidden="1" customHeight="1">
      <c r="A16311" s="286"/>
    </row>
    <row r="16312" spans="1:1" s="287" customFormat="1" ht="12" hidden="1" customHeight="1">
      <c r="A16312" s="286"/>
    </row>
    <row r="16313" spans="1:1" s="287" customFormat="1" ht="12" hidden="1" customHeight="1">
      <c r="A16313" s="286"/>
    </row>
    <row r="16314" spans="1:1" s="287" customFormat="1" ht="12" hidden="1" customHeight="1">
      <c r="A16314" s="286"/>
    </row>
    <row r="16315" spans="1:1" s="287" customFormat="1" ht="12" hidden="1" customHeight="1">
      <c r="A16315" s="286"/>
    </row>
    <row r="16316" spans="1:1" s="287" customFormat="1" ht="12" hidden="1" customHeight="1">
      <c r="A16316" s="286"/>
    </row>
    <row r="16317" spans="1:1" s="287" customFormat="1" ht="12" hidden="1" customHeight="1">
      <c r="A16317" s="286"/>
    </row>
    <row r="16318" spans="1:1" s="287" customFormat="1" ht="12" hidden="1" customHeight="1">
      <c r="A16318" s="286"/>
    </row>
    <row r="16319" spans="1:1" s="287" customFormat="1" ht="12" hidden="1" customHeight="1">
      <c r="A16319" s="286"/>
    </row>
    <row r="16320" spans="1:1" s="287" customFormat="1" ht="12" hidden="1" customHeight="1">
      <c r="A16320" s="286"/>
    </row>
    <row r="16321" spans="1:1" s="287" customFormat="1" ht="12" hidden="1" customHeight="1">
      <c r="A16321" s="286"/>
    </row>
    <row r="16322" spans="1:1" s="287" customFormat="1" ht="12" hidden="1" customHeight="1">
      <c r="A16322" s="286"/>
    </row>
    <row r="16323" spans="1:1" s="287" customFormat="1" ht="12" hidden="1" customHeight="1">
      <c r="A16323" s="286"/>
    </row>
    <row r="16324" spans="1:1" s="287" customFormat="1" ht="12" hidden="1" customHeight="1">
      <c r="A16324" s="286"/>
    </row>
    <row r="16325" spans="1:1" s="287" customFormat="1" ht="12" hidden="1" customHeight="1">
      <c r="A16325" s="286"/>
    </row>
    <row r="16326" spans="1:1" s="287" customFormat="1" ht="12" hidden="1" customHeight="1">
      <c r="A16326" s="286"/>
    </row>
    <row r="16327" spans="1:1" s="287" customFormat="1" ht="12" hidden="1" customHeight="1">
      <c r="A16327" s="286"/>
    </row>
    <row r="16328" spans="1:1" s="287" customFormat="1" ht="12" hidden="1" customHeight="1">
      <c r="A16328" s="286"/>
    </row>
    <row r="16329" spans="1:1" s="287" customFormat="1" ht="12" hidden="1" customHeight="1">
      <c r="A16329" s="286"/>
    </row>
    <row r="16330" spans="1:1" s="287" customFormat="1" ht="12" hidden="1" customHeight="1">
      <c r="A16330" s="286"/>
    </row>
    <row r="16331" spans="1:1" s="287" customFormat="1" ht="12" hidden="1" customHeight="1">
      <c r="A16331" s="286"/>
    </row>
    <row r="16332" spans="1:1" s="287" customFormat="1" ht="12" hidden="1" customHeight="1">
      <c r="A16332" s="286"/>
    </row>
    <row r="16333" spans="1:1" s="287" customFormat="1" ht="12" hidden="1" customHeight="1">
      <c r="A16333" s="286"/>
    </row>
    <row r="16334" spans="1:1" s="287" customFormat="1" ht="12" hidden="1" customHeight="1">
      <c r="A16334" s="286"/>
    </row>
    <row r="16335" spans="1:1" s="287" customFormat="1" ht="12" hidden="1" customHeight="1">
      <c r="A16335" s="286"/>
    </row>
    <row r="16336" spans="1:1" s="287" customFormat="1" ht="12" hidden="1" customHeight="1">
      <c r="A16336" s="286"/>
    </row>
    <row r="16337" spans="1:1" s="287" customFormat="1" ht="12" hidden="1" customHeight="1">
      <c r="A16337" s="286"/>
    </row>
    <row r="16338" spans="1:1" s="287" customFormat="1" ht="12" hidden="1" customHeight="1">
      <c r="A16338" s="286"/>
    </row>
    <row r="16339" spans="1:1" s="287" customFormat="1" ht="12" hidden="1" customHeight="1">
      <c r="A16339" s="286"/>
    </row>
    <row r="16340" spans="1:1" s="287" customFormat="1" ht="12" hidden="1" customHeight="1">
      <c r="A16340" s="286"/>
    </row>
    <row r="16341" spans="1:1" s="287" customFormat="1" ht="12" hidden="1" customHeight="1">
      <c r="A16341" s="286"/>
    </row>
    <row r="16342" spans="1:1" s="287" customFormat="1" ht="12" hidden="1" customHeight="1">
      <c r="A16342" s="286"/>
    </row>
    <row r="16343" spans="1:1" s="287" customFormat="1" ht="12" hidden="1" customHeight="1">
      <c r="A16343" s="286"/>
    </row>
    <row r="16344" spans="1:1" s="287" customFormat="1" ht="12" hidden="1" customHeight="1">
      <c r="A16344" s="286"/>
    </row>
    <row r="16345" spans="1:1" s="287" customFormat="1" ht="12" hidden="1" customHeight="1">
      <c r="A16345" s="286"/>
    </row>
    <row r="16346" spans="1:1" s="287" customFormat="1" ht="12" hidden="1" customHeight="1">
      <c r="A16346" s="286"/>
    </row>
    <row r="16347" spans="1:1" s="287" customFormat="1" ht="12" hidden="1" customHeight="1">
      <c r="A16347" s="286"/>
    </row>
    <row r="16348" spans="1:1" s="287" customFormat="1" ht="12" hidden="1" customHeight="1">
      <c r="A16348" s="286"/>
    </row>
    <row r="16349" spans="1:1" s="287" customFormat="1" ht="12" hidden="1" customHeight="1">
      <c r="A16349" s="286"/>
    </row>
    <row r="16350" spans="1:1" s="287" customFormat="1" ht="12" hidden="1" customHeight="1">
      <c r="A16350" s="286"/>
    </row>
    <row r="16351" spans="1:1" s="287" customFormat="1" ht="12" hidden="1" customHeight="1">
      <c r="A16351" s="286"/>
    </row>
    <row r="16352" spans="1:1" s="287" customFormat="1" ht="12" hidden="1" customHeight="1">
      <c r="A16352" s="286"/>
    </row>
    <row r="16353" spans="1:1" s="287" customFormat="1" ht="12" hidden="1" customHeight="1">
      <c r="A16353" s="286"/>
    </row>
    <row r="16354" spans="1:1" s="287" customFormat="1" ht="12" hidden="1" customHeight="1">
      <c r="A16354" s="286"/>
    </row>
    <row r="16355" spans="1:1" s="287" customFormat="1" ht="12" hidden="1" customHeight="1">
      <c r="A16355" s="286"/>
    </row>
    <row r="16356" spans="1:1" s="287" customFormat="1" ht="12" hidden="1" customHeight="1">
      <c r="A16356" s="286"/>
    </row>
    <row r="16357" spans="1:1" s="287" customFormat="1" ht="12" hidden="1" customHeight="1">
      <c r="A16357" s="286"/>
    </row>
    <row r="16358" spans="1:1" s="287" customFormat="1" ht="12" hidden="1" customHeight="1">
      <c r="A16358" s="286"/>
    </row>
    <row r="16359" spans="1:1" s="287" customFormat="1" ht="12" hidden="1" customHeight="1">
      <c r="A16359" s="286"/>
    </row>
    <row r="16360" spans="1:1" s="287" customFormat="1" ht="12" hidden="1" customHeight="1">
      <c r="A16360" s="286"/>
    </row>
    <row r="16361" spans="1:1" s="287" customFormat="1" ht="12" hidden="1" customHeight="1">
      <c r="A16361" s="286"/>
    </row>
    <row r="16362" spans="1:1" s="287" customFormat="1" ht="12" hidden="1" customHeight="1">
      <c r="A16362" s="286"/>
    </row>
    <row r="16363" spans="1:1" s="287" customFormat="1" ht="12" hidden="1" customHeight="1">
      <c r="A16363" s="286"/>
    </row>
    <row r="16364" spans="1:1" s="287" customFormat="1" ht="12" hidden="1" customHeight="1">
      <c r="A16364" s="286"/>
    </row>
    <row r="16365" spans="1:1" s="287" customFormat="1" ht="12" hidden="1" customHeight="1">
      <c r="A16365" s="286"/>
    </row>
    <row r="16366" spans="1:1" s="287" customFormat="1" ht="12" hidden="1" customHeight="1">
      <c r="A16366" s="286"/>
    </row>
    <row r="16367" spans="1:1" s="287" customFormat="1" ht="12" hidden="1" customHeight="1">
      <c r="A16367" s="286"/>
    </row>
    <row r="16368" spans="1:1" s="287" customFormat="1" ht="12" hidden="1" customHeight="1">
      <c r="A16368" s="286"/>
    </row>
    <row r="16369" spans="1:1" s="287" customFormat="1" ht="12" hidden="1" customHeight="1">
      <c r="A16369" s="286"/>
    </row>
    <row r="16370" spans="1:1" s="287" customFormat="1" ht="12" hidden="1" customHeight="1">
      <c r="A16370" s="286"/>
    </row>
    <row r="16371" spans="1:1" s="287" customFormat="1" ht="12" hidden="1" customHeight="1">
      <c r="A16371" s="286"/>
    </row>
    <row r="16372" spans="1:1" s="287" customFormat="1" ht="12" hidden="1" customHeight="1">
      <c r="A16372" s="286"/>
    </row>
    <row r="16373" spans="1:1" s="287" customFormat="1" ht="12" hidden="1" customHeight="1">
      <c r="A16373" s="286"/>
    </row>
    <row r="16374" spans="1:1" s="287" customFormat="1" ht="12" hidden="1" customHeight="1">
      <c r="A16374" s="286"/>
    </row>
    <row r="16375" spans="1:1" s="287" customFormat="1" ht="12" hidden="1" customHeight="1">
      <c r="A16375" s="286"/>
    </row>
    <row r="16376" spans="1:1" s="287" customFormat="1" ht="12" hidden="1" customHeight="1">
      <c r="A16376" s="286"/>
    </row>
    <row r="16377" spans="1:1" s="287" customFormat="1" ht="12" hidden="1" customHeight="1">
      <c r="A16377" s="286"/>
    </row>
    <row r="16378" spans="1:1" s="287" customFormat="1" ht="12" hidden="1" customHeight="1">
      <c r="A16378" s="286"/>
    </row>
    <row r="16379" spans="1:1" s="287" customFormat="1" ht="12" hidden="1" customHeight="1">
      <c r="A16379" s="286"/>
    </row>
    <row r="16380" spans="1:1" s="287" customFormat="1" ht="12" hidden="1" customHeight="1">
      <c r="A16380" s="286"/>
    </row>
    <row r="16381" spans="1:1" s="287" customFormat="1" ht="12" hidden="1" customHeight="1">
      <c r="A16381" s="286"/>
    </row>
    <row r="16382" spans="1:1" s="287" customFormat="1" ht="12" hidden="1" customHeight="1">
      <c r="A16382" s="286"/>
    </row>
    <row r="16383" spans="1:1" s="287" customFormat="1" ht="12" hidden="1" customHeight="1">
      <c r="A16383" s="286"/>
    </row>
    <row r="16384" spans="1:1" s="287" customFormat="1" ht="12" hidden="1" customHeight="1">
      <c r="A16384" s="286"/>
    </row>
    <row r="16385" spans="1:1" s="287" customFormat="1" ht="12" hidden="1" customHeight="1">
      <c r="A16385" s="286"/>
    </row>
    <row r="16386" spans="1:1" s="287" customFormat="1" ht="12" hidden="1" customHeight="1">
      <c r="A16386" s="286"/>
    </row>
    <row r="16387" spans="1:1" s="287" customFormat="1" ht="12" hidden="1" customHeight="1">
      <c r="A16387" s="286"/>
    </row>
    <row r="16388" spans="1:1" s="287" customFormat="1" ht="12" hidden="1" customHeight="1">
      <c r="A16388" s="286"/>
    </row>
    <row r="16389" spans="1:1" s="287" customFormat="1" ht="12" hidden="1" customHeight="1">
      <c r="A16389" s="286"/>
    </row>
    <row r="16390" spans="1:1" s="287" customFormat="1" ht="12" hidden="1" customHeight="1">
      <c r="A16390" s="286"/>
    </row>
    <row r="16391" spans="1:1" s="287" customFormat="1" ht="12" hidden="1" customHeight="1">
      <c r="A16391" s="286"/>
    </row>
    <row r="16392" spans="1:1" s="287" customFormat="1" ht="12" hidden="1" customHeight="1">
      <c r="A16392" s="286"/>
    </row>
    <row r="16393" spans="1:1" s="287" customFormat="1" ht="12" hidden="1" customHeight="1">
      <c r="A16393" s="286"/>
    </row>
    <row r="16394" spans="1:1" s="287" customFormat="1" ht="12" hidden="1" customHeight="1">
      <c r="A16394" s="286"/>
    </row>
    <row r="16395" spans="1:1" s="287" customFormat="1" ht="12" hidden="1" customHeight="1">
      <c r="A16395" s="286"/>
    </row>
    <row r="16396" spans="1:1" s="287" customFormat="1" ht="12" hidden="1" customHeight="1">
      <c r="A16396" s="286"/>
    </row>
    <row r="16397" spans="1:1" s="287" customFormat="1" ht="12" hidden="1" customHeight="1">
      <c r="A16397" s="286"/>
    </row>
    <row r="16398" spans="1:1" s="287" customFormat="1" ht="12" hidden="1" customHeight="1">
      <c r="A16398" s="286"/>
    </row>
    <row r="16399" spans="1:1" s="287" customFormat="1" ht="12" hidden="1" customHeight="1">
      <c r="A16399" s="286"/>
    </row>
    <row r="16400" spans="1:1" s="287" customFormat="1" ht="12" hidden="1" customHeight="1">
      <c r="A16400" s="286"/>
    </row>
    <row r="16401" spans="1:1" s="287" customFormat="1" ht="12" hidden="1" customHeight="1">
      <c r="A16401" s="286"/>
    </row>
    <row r="16402" spans="1:1" s="287" customFormat="1" ht="12" hidden="1" customHeight="1">
      <c r="A16402" s="286"/>
    </row>
    <row r="16403" spans="1:1" s="287" customFormat="1" ht="12" hidden="1" customHeight="1">
      <c r="A16403" s="286"/>
    </row>
    <row r="16404" spans="1:1" s="287" customFormat="1" ht="12" hidden="1" customHeight="1">
      <c r="A16404" s="286"/>
    </row>
    <row r="16405" spans="1:1" s="287" customFormat="1" ht="12" hidden="1" customHeight="1">
      <c r="A16405" s="286"/>
    </row>
    <row r="16406" spans="1:1" s="287" customFormat="1" ht="12" hidden="1" customHeight="1">
      <c r="A16406" s="286"/>
    </row>
    <row r="16407" spans="1:1" s="287" customFormat="1" ht="12" hidden="1" customHeight="1">
      <c r="A16407" s="286"/>
    </row>
    <row r="16408" spans="1:1" s="287" customFormat="1" ht="12" hidden="1" customHeight="1">
      <c r="A16408" s="286"/>
    </row>
    <row r="16409" spans="1:1" s="287" customFormat="1" ht="12" hidden="1" customHeight="1">
      <c r="A16409" s="286"/>
    </row>
    <row r="16410" spans="1:1" s="287" customFormat="1" ht="12" hidden="1" customHeight="1">
      <c r="A16410" s="286"/>
    </row>
    <row r="16411" spans="1:1" s="287" customFormat="1" ht="12" hidden="1" customHeight="1">
      <c r="A16411" s="286"/>
    </row>
    <row r="16412" spans="1:1" s="287" customFormat="1" ht="12" hidden="1" customHeight="1">
      <c r="A16412" s="286"/>
    </row>
    <row r="16413" spans="1:1" s="287" customFormat="1" ht="12" hidden="1" customHeight="1">
      <c r="A16413" s="286"/>
    </row>
    <row r="16414" spans="1:1" s="287" customFormat="1" ht="12" hidden="1" customHeight="1">
      <c r="A16414" s="286"/>
    </row>
    <row r="16415" spans="1:1" s="287" customFormat="1" ht="12" hidden="1" customHeight="1">
      <c r="A16415" s="286"/>
    </row>
    <row r="16416" spans="1:1" s="287" customFormat="1" ht="12" hidden="1" customHeight="1">
      <c r="A16416" s="286"/>
    </row>
    <row r="16417" spans="1:1" s="287" customFormat="1" ht="12" hidden="1" customHeight="1">
      <c r="A16417" s="286"/>
    </row>
    <row r="16418" spans="1:1" s="287" customFormat="1" ht="12" hidden="1" customHeight="1">
      <c r="A16418" s="286"/>
    </row>
    <row r="16419" spans="1:1" s="287" customFormat="1" ht="12" hidden="1" customHeight="1">
      <c r="A16419" s="286"/>
    </row>
    <row r="16420" spans="1:1" s="287" customFormat="1" ht="12" hidden="1" customHeight="1">
      <c r="A16420" s="286"/>
    </row>
    <row r="16421" spans="1:1" s="287" customFormat="1" ht="12" hidden="1" customHeight="1">
      <c r="A16421" s="286"/>
    </row>
    <row r="16422" spans="1:1" s="287" customFormat="1" ht="12" hidden="1" customHeight="1">
      <c r="A16422" s="286"/>
    </row>
    <row r="16423" spans="1:1" s="287" customFormat="1" ht="12" hidden="1" customHeight="1">
      <c r="A16423" s="286"/>
    </row>
    <row r="16424" spans="1:1" s="287" customFormat="1" ht="12" hidden="1" customHeight="1">
      <c r="A16424" s="286"/>
    </row>
    <row r="16425" spans="1:1" s="287" customFormat="1" ht="12" hidden="1" customHeight="1">
      <c r="A16425" s="286"/>
    </row>
    <row r="16426" spans="1:1" s="287" customFormat="1" ht="12" hidden="1" customHeight="1">
      <c r="A16426" s="286"/>
    </row>
    <row r="16427" spans="1:1" s="287" customFormat="1" ht="12" hidden="1" customHeight="1">
      <c r="A16427" s="286"/>
    </row>
    <row r="16428" spans="1:1" s="287" customFormat="1" ht="12" hidden="1" customHeight="1">
      <c r="A16428" s="286"/>
    </row>
    <row r="16429" spans="1:1" s="287" customFormat="1" ht="12" hidden="1" customHeight="1">
      <c r="A16429" s="286"/>
    </row>
    <row r="16430" spans="1:1" s="287" customFormat="1" ht="12" hidden="1" customHeight="1">
      <c r="A16430" s="286"/>
    </row>
    <row r="16431" spans="1:1" s="287" customFormat="1" ht="12" hidden="1" customHeight="1">
      <c r="A16431" s="286"/>
    </row>
    <row r="16432" spans="1:1" s="287" customFormat="1" ht="12" hidden="1" customHeight="1">
      <c r="A16432" s="286"/>
    </row>
    <row r="16433" spans="1:1" s="287" customFormat="1" ht="12" hidden="1" customHeight="1">
      <c r="A16433" s="286"/>
    </row>
    <row r="16434" spans="1:1" s="287" customFormat="1" ht="12" hidden="1" customHeight="1">
      <c r="A16434" s="286"/>
    </row>
    <row r="16435" spans="1:1" s="287" customFormat="1" ht="12" hidden="1" customHeight="1">
      <c r="A16435" s="286"/>
    </row>
    <row r="16436" spans="1:1" s="287" customFormat="1" ht="12" hidden="1" customHeight="1">
      <c r="A16436" s="286"/>
    </row>
    <row r="16437" spans="1:1" s="287" customFormat="1" ht="12" hidden="1" customHeight="1">
      <c r="A16437" s="286"/>
    </row>
    <row r="16438" spans="1:1" s="287" customFormat="1" ht="12" hidden="1" customHeight="1">
      <c r="A16438" s="286"/>
    </row>
    <row r="16439" spans="1:1" s="287" customFormat="1" ht="12" hidden="1" customHeight="1">
      <c r="A16439" s="286"/>
    </row>
    <row r="16440" spans="1:1" s="287" customFormat="1" ht="12" hidden="1" customHeight="1">
      <c r="A16440" s="286"/>
    </row>
    <row r="16441" spans="1:1" s="287" customFormat="1" ht="12" hidden="1" customHeight="1">
      <c r="A16441" s="286"/>
    </row>
    <row r="16442" spans="1:1" s="287" customFormat="1" ht="12" hidden="1" customHeight="1">
      <c r="A16442" s="286"/>
    </row>
    <row r="16443" spans="1:1" s="287" customFormat="1" ht="12" hidden="1" customHeight="1">
      <c r="A16443" s="286"/>
    </row>
    <row r="16444" spans="1:1" s="287" customFormat="1" ht="12" hidden="1" customHeight="1">
      <c r="A16444" s="286"/>
    </row>
    <row r="16445" spans="1:1" s="287" customFormat="1" ht="12" hidden="1" customHeight="1">
      <c r="A16445" s="286"/>
    </row>
    <row r="16446" spans="1:1" s="287" customFormat="1" ht="12" hidden="1" customHeight="1">
      <c r="A16446" s="286"/>
    </row>
    <row r="16447" spans="1:1" s="287" customFormat="1" ht="12" hidden="1" customHeight="1">
      <c r="A16447" s="286"/>
    </row>
    <row r="16448" spans="1:1" s="287" customFormat="1" ht="12" hidden="1" customHeight="1">
      <c r="A16448" s="286"/>
    </row>
    <row r="16449" spans="1:1" s="287" customFormat="1" ht="12" hidden="1" customHeight="1">
      <c r="A16449" s="286"/>
    </row>
    <row r="16450" spans="1:1" s="287" customFormat="1" ht="12" hidden="1" customHeight="1">
      <c r="A16450" s="286"/>
    </row>
    <row r="16451" spans="1:1" s="287" customFormat="1" ht="12" hidden="1" customHeight="1">
      <c r="A16451" s="286"/>
    </row>
    <row r="16452" spans="1:1" s="287" customFormat="1" ht="12" hidden="1" customHeight="1">
      <c r="A16452" s="286"/>
    </row>
    <row r="16453" spans="1:1" s="287" customFormat="1" ht="12" hidden="1" customHeight="1">
      <c r="A16453" s="286"/>
    </row>
    <row r="16454" spans="1:1" s="287" customFormat="1" ht="12" hidden="1" customHeight="1">
      <c r="A16454" s="286"/>
    </row>
    <row r="16455" spans="1:1" s="287" customFormat="1" ht="12" hidden="1" customHeight="1">
      <c r="A16455" s="286"/>
    </row>
    <row r="16456" spans="1:1" s="287" customFormat="1" ht="12" hidden="1" customHeight="1">
      <c r="A16456" s="286"/>
    </row>
    <row r="16457" spans="1:1" s="287" customFormat="1" ht="12" hidden="1" customHeight="1">
      <c r="A16457" s="286"/>
    </row>
    <row r="16458" spans="1:1" s="287" customFormat="1" ht="12" hidden="1" customHeight="1">
      <c r="A16458" s="286"/>
    </row>
    <row r="16459" spans="1:1" s="287" customFormat="1" ht="12" hidden="1" customHeight="1">
      <c r="A16459" s="286"/>
    </row>
    <row r="16460" spans="1:1" s="287" customFormat="1" ht="12" hidden="1" customHeight="1">
      <c r="A16460" s="286"/>
    </row>
    <row r="16461" spans="1:1" s="287" customFormat="1" ht="12" hidden="1" customHeight="1">
      <c r="A16461" s="286"/>
    </row>
    <row r="16462" spans="1:1" s="287" customFormat="1" ht="12" hidden="1" customHeight="1">
      <c r="A16462" s="286"/>
    </row>
    <row r="16463" spans="1:1" s="287" customFormat="1" ht="12" hidden="1" customHeight="1">
      <c r="A16463" s="286"/>
    </row>
    <row r="16464" spans="1:1" s="287" customFormat="1" ht="12" hidden="1" customHeight="1">
      <c r="A16464" s="286"/>
    </row>
    <row r="16465" spans="1:1" s="287" customFormat="1" ht="12" hidden="1" customHeight="1">
      <c r="A16465" s="286"/>
    </row>
    <row r="16466" spans="1:1" s="287" customFormat="1" ht="12" hidden="1" customHeight="1">
      <c r="A16466" s="286"/>
    </row>
    <row r="16467" spans="1:1" s="287" customFormat="1" ht="12" hidden="1" customHeight="1">
      <c r="A16467" s="286"/>
    </row>
    <row r="16468" spans="1:1" s="287" customFormat="1" ht="12" hidden="1" customHeight="1">
      <c r="A16468" s="286"/>
    </row>
    <row r="16469" spans="1:1" s="287" customFormat="1" ht="12" hidden="1" customHeight="1">
      <c r="A16469" s="286"/>
    </row>
    <row r="16470" spans="1:1" s="287" customFormat="1" ht="12" hidden="1" customHeight="1">
      <c r="A16470" s="286"/>
    </row>
    <row r="16471" spans="1:1" s="287" customFormat="1" ht="12" hidden="1" customHeight="1">
      <c r="A16471" s="286"/>
    </row>
    <row r="16472" spans="1:1" s="287" customFormat="1" ht="12" hidden="1" customHeight="1">
      <c r="A16472" s="286"/>
    </row>
    <row r="16473" spans="1:1" s="287" customFormat="1" ht="12" hidden="1" customHeight="1">
      <c r="A16473" s="286"/>
    </row>
    <row r="16474" spans="1:1" s="287" customFormat="1" ht="12" hidden="1" customHeight="1">
      <c r="A16474" s="286"/>
    </row>
    <row r="16475" spans="1:1" s="287" customFormat="1" ht="12" hidden="1" customHeight="1">
      <c r="A16475" s="286"/>
    </row>
    <row r="16476" spans="1:1" s="287" customFormat="1" ht="12" hidden="1" customHeight="1">
      <c r="A16476" s="286"/>
    </row>
    <row r="16477" spans="1:1" s="287" customFormat="1" ht="12" hidden="1" customHeight="1">
      <c r="A16477" s="286"/>
    </row>
    <row r="16478" spans="1:1" s="287" customFormat="1" ht="12" hidden="1" customHeight="1">
      <c r="A16478" s="286"/>
    </row>
    <row r="16479" spans="1:1" s="287" customFormat="1" ht="12" hidden="1" customHeight="1">
      <c r="A16479" s="286"/>
    </row>
    <row r="16480" spans="1:1" s="287" customFormat="1" ht="12" hidden="1" customHeight="1">
      <c r="A16480" s="286"/>
    </row>
    <row r="16481" spans="1:1" s="287" customFormat="1" ht="12" hidden="1" customHeight="1">
      <c r="A16481" s="286"/>
    </row>
    <row r="16482" spans="1:1" s="287" customFormat="1" ht="12" hidden="1" customHeight="1">
      <c r="A16482" s="286"/>
    </row>
    <row r="16483" spans="1:1" s="287" customFormat="1" ht="12" hidden="1" customHeight="1">
      <c r="A16483" s="286"/>
    </row>
    <row r="16484" spans="1:1" s="287" customFormat="1" ht="12" hidden="1" customHeight="1">
      <c r="A16484" s="286"/>
    </row>
    <row r="16485" spans="1:1" s="287" customFormat="1" ht="12" hidden="1" customHeight="1">
      <c r="A16485" s="286"/>
    </row>
    <row r="16486" spans="1:1" s="287" customFormat="1" ht="12" hidden="1" customHeight="1">
      <c r="A16486" s="286"/>
    </row>
    <row r="16487" spans="1:1" s="287" customFormat="1" ht="12" hidden="1" customHeight="1">
      <c r="A16487" s="286"/>
    </row>
    <row r="16488" spans="1:1" s="287" customFormat="1" ht="12" hidden="1" customHeight="1">
      <c r="A16488" s="286"/>
    </row>
    <row r="16489" spans="1:1" s="287" customFormat="1" ht="12" hidden="1" customHeight="1">
      <c r="A16489" s="286"/>
    </row>
    <row r="16490" spans="1:1" s="287" customFormat="1" ht="12" hidden="1" customHeight="1">
      <c r="A16490" s="286"/>
    </row>
    <row r="16491" spans="1:1" s="287" customFormat="1" ht="12" hidden="1" customHeight="1">
      <c r="A16491" s="286"/>
    </row>
    <row r="16492" spans="1:1" s="287" customFormat="1" ht="12" hidden="1" customHeight="1">
      <c r="A16492" s="286"/>
    </row>
    <row r="16493" spans="1:1" s="287" customFormat="1" ht="12" hidden="1" customHeight="1">
      <c r="A16493" s="286"/>
    </row>
    <row r="16494" spans="1:1" s="287" customFormat="1" ht="12" hidden="1" customHeight="1">
      <c r="A16494" s="286"/>
    </row>
    <row r="16495" spans="1:1" s="287" customFormat="1" ht="12" hidden="1" customHeight="1">
      <c r="A16495" s="286"/>
    </row>
    <row r="16496" spans="1:1" s="287" customFormat="1" ht="12" hidden="1" customHeight="1">
      <c r="A16496" s="286"/>
    </row>
    <row r="16497" spans="1:1" s="287" customFormat="1" ht="12" hidden="1" customHeight="1">
      <c r="A16497" s="286"/>
    </row>
    <row r="16498" spans="1:1" s="287" customFormat="1" ht="12" hidden="1" customHeight="1">
      <c r="A16498" s="286"/>
    </row>
    <row r="16499" spans="1:1" s="287" customFormat="1" ht="12" hidden="1" customHeight="1">
      <c r="A16499" s="286"/>
    </row>
    <row r="16500" spans="1:1" s="287" customFormat="1" ht="12" hidden="1" customHeight="1">
      <c r="A16500" s="286"/>
    </row>
    <row r="16501" spans="1:1" s="287" customFormat="1" ht="12" hidden="1" customHeight="1">
      <c r="A16501" s="286"/>
    </row>
    <row r="16502" spans="1:1" s="287" customFormat="1" ht="12" hidden="1" customHeight="1">
      <c r="A16502" s="286"/>
    </row>
    <row r="16503" spans="1:1" s="287" customFormat="1" ht="12" hidden="1" customHeight="1">
      <c r="A16503" s="286"/>
    </row>
    <row r="16504" spans="1:1" s="287" customFormat="1" ht="12" hidden="1" customHeight="1">
      <c r="A16504" s="286"/>
    </row>
    <row r="16505" spans="1:1" s="287" customFormat="1" ht="12" hidden="1" customHeight="1">
      <c r="A16505" s="286"/>
    </row>
    <row r="16506" spans="1:1" s="287" customFormat="1" ht="12" hidden="1" customHeight="1">
      <c r="A16506" s="286"/>
    </row>
    <row r="16507" spans="1:1" s="287" customFormat="1" ht="12" hidden="1" customHeight="1">
      <c r="A16507" s="286"/>
    </row>
    <row r="16508" spans="1:1" s="287" customFormat="1" ht="12" hidden="1" customHeight="1">
      <c r="A16508" s="286"/>
    </row>
    <row r="16509" spans="1:1" s="287" customFormat="1" ht="12" hidden="1" customHeight="1">
      <c r="A16509" s="286"/>
    </row>
    <row r="16510" spans="1:1" s="287" customFormat="1" ht="12" hidden="1" customHeight="1">
      <c r="A16510" s="286"/>
    </row>
    <row r="16511" spans="1:1" s="287" customFormat="1" ht="12" hidden="1" customHeight="1">
      <c r="A16511" s="286"/>
    </row>
    <row r="16512" spans="1:1" s="287" customFormat="1" ht="12" hidden="1" customHeight="1">
      <c r="A16512" s="286"/>
    </row>
    <row r="16513" spans="1:1" s="287" customFormat="1" ht="12" hidden="1" customHeight="1">
      <c r="A16513" s="286"/>
    </row>
    <row r="16514" spans="1:1" s="287" customFormat="1" ht="12" hidden="1" customHeight="1">
      <c r="A16514" s="286"/>
    </row>
    <row r="16515" spans="1:1" s="287" customFormat="1" ht="12" hidden="1" customHeight="1">
      <c r="A16515" s="286"/>
    </row>
    <row r="16516" spans="1:1" s="287" customFormat="1" ht="12" hidden="1" customHeight="1">
      <c r="A16516" s="286"/>
    </row>
    <row r="16517" spans="1:1" s="287" customFormat="1" ht="12" hidden="1" customHeight="1">
      <c r="A16517" s="286"/>
    </row>
    <row r="16518" spans="1:1" s="287" customFormat="1" ht="12" hidden="1" customHeight="1">
      <c r="A16518" s="286"/>
    </row>
    <row r="16519" spans="1:1" s="287" customFormat="1" ht="12" hidden="1" customHeight="1">
      <c r="A16519" s="286"/>
    </row>
    <row r="16520" spans="1:1" s="287" customFormat="1" ht="12" hidden="1" customHeight="1">
      <c r="A16520" s="286"/>
    </row>
    <row r="16521" spans="1:1" s="287" customFormat="1" ht="12" hidden="1" customHeight="1">
      <c r="A16521" s="286"/>
    </row>
    <row r="16522" spans="1:1" s="287" customFormat="1" ht="12" hidden="1" customHeight="1">
      <c r="A16522" s="286"/>
    </row>
    <row r="16523" spans="1:1" s="287" customFormat="1" ht="12" hidden="1" customHeight="1">
      <c r="A16523" s="286"/>
    </row>
    <row r="16524" spans="1:1" s="287" customFormat="1" ht="12" hidden="1" customHeight="1">
      <c r="A16524" s="286"/>
    </row>
    <row r="16525" spans="1:1" s="287" customFormat="1" ht="12" hidden="1" customHeight="1">
      <c r="A16525" s="286"/>
    </row>
    <row r="16526" spans="1:1" s="287" customFormat="1" ht="12" hidden="1" customHeight="1">
      <c r="A16526" s="286"/>
    </row>
    <row r="16527" spans="1:1" s="287" customFormat="1" ht="12" hidden="1" customHeight="1">
      <c r="A16527" s="286"/>
    </row>
    <row r="16528" spans="1:1" s="287" customFormat="1" ht="12" hidden="1" customHeight="1">
      <c r="A16528" s="286"/>
    </row>
    <row r="16529" spans="1:1" s="287" customFormat="1" ht="12" hidden="1" customHeight="1">
      <c r="A16529" s="286"/>
    </row>
    <row r="16530" spans="1:1" s="287" customFormat="1" ht="12" hidden="1" customHeight="1">
      <c r="A16530" s="286"/>
    </row>
    <row r="16531" spans="1:1" s="287" customFormat="1" ht="12" hidden="1" customHeight="1">
      <c r="A16531" s="286"/>
    </row>
    <row r="16532" spans="1:1" s="287" customFormat="1" ht="12" hidden="1" customHeight="1">
      <c r="A16532" s="286"/>
    </row>
    <row r="16533" spans="1:1" s="287" customFormat="1" ht="12" hidden="1" customHeight="1">
      <c r="A16533" s="286"/>
    </row>
    <row r="16534" spans="1:1" s="287" customFormat="1" ht="12" hidden="1" customHeight="1">
      <c r="A16534" s="286"/>
    </row>
    <row r="16535" spans="1:1" s="287" customFormat="1" ht="12" hidden="1" customHeight="1">
      <c r="A16535" s="286"/>
    </row>
    <row r="16536" spans="1:1" s="287" customFormat="1" ht="12" hidden="1" customHeight="1">
      <c r="A16536" s="286"/>
    </row>
    <row r="16537" spans="1:1" s="287" customFormat="1" ht="12" hidden="1" customHeight="1">
      <c r="A16537" s="286"/>
    </row>
    <row r="16538" spans="1:1" s="287" customFormat="1" ht="12" hidden="1" customHeight="1">
      <c r="A16538" s="286"/>
    </row>
    <row r="16539" spans="1:1" s="287" customFormat="1" ht="12" hidden="1" customHeight="1">
      <c r="A16539" s="286"/>
    </row>
    <row r="16540" spans="1:1" s="287" customFormat="1" ht="12" hidden="1" customHeight="1">
      <c r="A16540" s="286"/>
    </row>
    <row r="16541" spans="1:1" s="287" customFormat="1" ht="12" hidden="1" customHeight="1">
      <c r="A16541" s="286"/>
    </row>
    <row r="16542" spans="1:1" s="287" customFormat="1" ht="12" hidden="1" customHeight="1">
      <c r="A16542" s="286"/>
    </row>
    <row r="16543" spans="1:1" s="287" customFormat="1" ht="12" hidden="1" customHeight="1">
      <c r="A16543" s="286"/>
    </row>
    <row r="16544" spans="1:1" s="287" customFormat="1" ht="12" hidden="1" customHeight="1">
      <c r="A16544" s="286"/>
    </row>
    <row r="16545" spans="1:1" s="287" customFormat="1" ht="12" hidden="1" customHeight="1">
      <c r="A16545" s="286"/>
    </row>
    <row r="16546" spans="1:1" s="287" customFormat="1" ht="12" hidden="1" customHeight="1">
      <c r="A16546" s="286"/>
    </row>
    <row r="16547" spans="1:1" s="287" customFormat="1" ht="12" hidden="1" customHeight="1">
      <c r="A16547" s="286"/>
    </row>
    <row r="16548" spans="1:1" s="287" customFormat="1" ht="12" hidden="1" customHeight="1">
      <c r="A16548" s="286"/>
    </row>
    <row r="16549" spans="1:1" s="287" customFormat="1" ht="12" hidden="1" customHeight="1">
      <c r="A16549" s="286"/>
    </row>
    <row r="16550" spans="1:1" s="287" customFormat="1" ht="12" hidden="1" customHeight="1">
      <c r="A16550" s="286"/>
    </row>
    <row r="16551" spans="1:1" s="287" customFormat="1" ht="12" hidden="1" customHeight="1">
      <c r="A16551" s="286"/>
    </row>
    <row r="16552" spans="1:1" s="287" customFormat="1" ht="12" hidden="1" customHeight="1">
      <c r="A16552" s="286"/>
    </row>
    <row r="16553" spans="1:1" s="287" customFormat="1" ht="12" hidden="1" customHeight="1">
      <c r="A16553" s="286"/>
    </row>
    <row r="16554" spans="1:1" s="287" customFormat="1" ht="12" hidden="1" customHeight="1">
      <c r="A16554" s="286"/>
    </row>
    <row r="16555" spans="1:1" s="287" customFormat="1" ht="12" hidden="1" customHeight="1">
      <c r="A16555" s="286"/>
    </row>
    <row r="16556" spans="1:1" s="287" customFormat="1" ht="12" hidden="1" customHeight="1">
      <c r="A16556" s="286"/>
    </row>
    <row r="16557" spans="1:1" s="287" customFormat="1" ht="12" hidden="1" customHeight="1">
      <c r="A16557" s="286"/>
    </row>
    <row r="16558" spans="1:1" s="287" customFormat="1" ht="12" hidden="1" customHeight="1">
      <c r="A16558" s="286"/>
    </row>
    <row r="16559" spans="1:1" s="287" customFormat="1" ht="12" hidden="1" customHeight="1">
      <c r="A16559" s="286"/>
    </row>
    <row r="16560" spans="1:1" s="287" customFormat="1" ht="12" hidden="1" customHeight="1">
      <c r="A16560" s="286"/>
    </row>
    <row r="16561" spans="1:1" s="287" customFormat="1" ht="12" hidden="1" customHeight="1">
      <c r="A16561" s="286"/>
    </row>
    <row r="16562" spans="1:1" s="287" customFormat="1" ht="12" hidden="1" customHeight="1">
      <c r="A16562" s="286"/>
    </row>
    <row r="16563" spans="1:1" s="287" customFormat="1" ht="12" hidden="1" customHeight="1">
      <c r="A16563" s="286"/>
    </row>
    <row r="16564" spans="1:1" s="287" customFormat="1" ht="12" hidden="1" customHeight="1">
      <c r="A16564" s="286"/>
    </row>
    <row r="16565" spans="1:1" s="287" customFormat="1" ht="12" hidden="1" customHeight="1">
      <c r="A16565" s="286"/>
    </row>
    <row r="16566" spans="1:1" s="287" customFormat="1" ht="12" hidden="1" customHeight="1">
      <c r="A16566" s="286"/>
    </row>
    <row r="16567" spans="1:1" s="287" customFormat="1" ht="12" hidden="1" customHeight="1">
      <c r="A16567" s="286"/>
    </row>
    <row r="16568" spans="1:1" s="287" customFormat="1" ht="12" hidden="1" customHeight="1">
      <c r="A16568" s="286"/>
    </row>
    <row r="16569" spans="1:1" s="287" customFormat="1" ht="12" hidden="1" customHeight="1">
      <c r="A16569" s="286"/>
    </row>
    <row r="16570" spans="1:1" s="287" customFormat="1" ht="12" hidden="1" customHeight="1">
      <c r="A16570" s="286"/>
    </row>
    <row r="16571" spans="1:1" s="287" customFormat="1" ht="12" hidden="1" customHeight="1">
      <c r="A16571" s="286"/>
    </row>
    <row r="16572" spans="1:1" s="287" customFormat="1" ht="12" hidden="1" customHeight="1">
      <c r="A16572" s="286"/>
    </row>
    <row r="16573" spans="1:1" s="287" customFormat="1" ht="12" hidden="1" customHeight="1">
      <c r="A16573" s="286"/>
    </row>
    <row r="16574" spans="1:1" s="287" customFormat="1" ht="12" hidden="1" customHeight="1">
      <c r="A16574" s="286"/>
    </row>
    <row r="16575" spans="1:1" s="287" customFormat="1" ht="12" hidden="1" customHeight="1">
      <c r="A16575" s="286"/>
    </row>
    <row r="16576" spans="1:1" s="287" customFormat="1" ht="12" hidden="1" customHeight="1">
      <c r="A16576" s="286"/>
    </row>
    <row r="16577" spans="1:1" s="287" customFormat="1" ht="12" hidden="1" customHeight="1">
      <c r="A16577" s="286"/>
    </row>
    <row r="16578" spans="1:1" s="287" customFormat="1" ht="12" hidden="1" customHeight="1">
      <c r="A16578" s="286"/>
    </row>
    <row r="16579" spans="1:1" s="287" customFormat="1" ht="12" hidden="1" customHeight="1">
      <c r="A16579" s="286"/>
    </row>
    <row r="16580" spans="1:1" s="287" customFormat="1" ht="12" hidden="1" customHeight="1">
      <c r="A16580" s="286"/>
    </row>
    <row r="16581" spans="1:1" s="287" customFormat="1" ht="12" hidden="1" customHeight="1">
      <c r="A16581" s="286"/>
    </row>
    <row r="16582" spans="1:1" s="287" customFormat="1" ht="12" hidden="1" customHeight="1">
      <c r="A16582" s="286"/>
    </row>
    <row r="16583" spans="1:1" s="287" customFormat="1" ht="12" hidden="1" customHeight="1">
      <c r="A16583" s="286"/>
    </row>
    <row r="16584" spans="1:1" s="287" customFormat="1" ht="12" hidden="1" customHeight="1">
      <c r="A16584" s="286"/>
    </row>
    <row r="16585" spans="1:1" s="287" customFormat="1" ht="12" hidden="1" customHeight="1">
      <c r="A16585" s="286"/>
    </row>
    <row r="16586" spans="1:1" s="287" customFormat="1" ht="12" hidden="1" customHeight="1">
      <c r="A16586" s="286"/>
    </row>
    <row r="16587" spans="1:1" s="287" customFormat="1" ht="12" hidden="1" customHeight="1">
      <c r="A16587" s="286"/>
    </row>
    <row r="16588" spans="1:1" s="287" customFormat="1" ht="12" hidden="1" customHeight="1">
      <c r="A16588" s="286"/>
    </row>
    <row r="16589" spans="1:1" s="287" customFormat="1" ht="12" hidden="1" customHeight="1">
      <c r="A16589" s="286"/>
    </row>
    <row r="16590" spans="1:1" s="287" customFormat="1" ht="12" hidden="1" customHeight="1">
      <c r="A16590" s="286"/>
    </row>
    <row r="16591" spans="1:1" s="287" customFormat="1" ht="12" hidden="1" customHeight="1">
      <c r="A16591" s="286"/>
    </row>
    <row r="16592" spans="1:1" s="287" customFormat="1" ht="12" hidden="1" customHeight="1">
      <c r="A16592" s="286"/>
    </row>
    <row r="16593" spans="1:1" s="287" customFormat="1" ht="12" hidden="1" customHeight="1">
      <c r="A16593" s="286"/>
    </row>
    <row r="16594" spans="1:1" s="287" customFormat="1" ht="12" hidden="1" customHeight="1">
      <c r="A16594" s="286"/>
    </row>
    <row r="16595" spans="1:1" s="287" customFormat="1" ht="12" hidden="1" customHeight="1">
      <c r="A16595" s="286"/>
    </row>
    <row r="16596" spans="1:1" s="287" customFormat="1" ht="12" hidden="1" customHeight="1">
      <c r="A16596" s="286"/>
    </row>
    <row r="16597" spans="1:1" s="287" customFormat="1" ht="12" hidden="1" customHeight="1">
      <c r="A16597" s="286"/>
    </row>
    <row r="16598" spans="1:1" s="287" customFormat="1" ht="12" hidden="1" customHeight="1">
      <c r="A16598" s="286"/>
    </row>
    <row r="16599" spans="1:1" s="287" customFormat="1" ht="12" hidden="1" customHeight="1">
      <c r="A16599" s="286"/>
    </row>
    <row r="16600" spans="1:1" s="287" customFormat="1" ht="12" hidden="1" customHeight="1">
      <c r="A16600" s="286"/>
    </row>
    <row r="16601" spans="1:1" s="287" customFormat="1" ht="12" hidden="1" customHeight="1">
      <c r="A16601" s="286"/>
    </row>
    <row r="16602" spans="1:1" s="287" customFormat="1" ht="12" hidden="1" customHeight="1">
      <c r="A16602" s="286"/>
    </row>
    <row r="16603" spans="1:1" s="287" customFormat="1" ht="12" hidden="1" customHeight="1">
      <c r="A16603" s="286"/>
    </row>
    <row r="16604" spans="1:1" s="287" customFormat="1" ht="12" hidden="1" customHeight="1">
      <c r="A16604" s="286"/>
    </row>
    <row r="16605" spans="1:1" s="287" customFormat="1" ht="12" hidden="1" customHeight="1">
      <c r="A16605" s="286"/>
    </row>
    <row r="16606" spans="1:1" s="287" customFormat="1" ht="12" hidden="1" customHeight="1">
      <c r="A16606" s="286"/>
    </row>
    <row r="16607" spans="1:1" s="287" customFormat="1" ht="12" hidden="1" customHeight="1">
      <c r="A16607" s="286"/>
    </row>
    <row r="16608" spans="1:1" s="287" customFormat="1" ht="12" hidden="1" customHeight="1">
      <c r="A16608" s="286"/>
    </row>
    <row r="16609" spans="1:1" s="287" customFormat="1" ht="12" hidden="1" customHeight="1">
      <c r="A16609" s="286"/>
    </row>
    <row r="16610" spans="1:1" s="287" customFormat="1" ht="12" hidden="1" customHeight="1">
      <c r="A16610" s="286"/>
    </row>
    <row r="16611" spans="1:1" s="287" customFormat="1" ht="12" hidden="1" customHeight="1">
      <c r="A16611" s="286"/>
    </row>
    <row r="16612" spans="1:1" s="287" customFormat="1" ht="12" hidden="1" customHeight="1">
      <c r="A16612" s="286"/>
    </row>
    <row r="16613" spans="1:1" s="287" customFormat="1" ht="12" hidden="1" customHeight="1">
      <c r="A16613" s="286"/>
    </row>
    <row r="16614" spans="1:1" s="287" customFormat="1" ht="12" hidden="1" customHeight="1">
      <c r="A16614" s="286"/>
    </row>
    <row r="16615" spans="1:1" s="287" customFormat="1" ht="12" hidden="1" customHeight="1">
      <c r="A16615" s="286"/>
    </row>
    <row r="16616" spans="1:1" s="287" customFormat="1" ht="12" hidden="1" customHeight="1">
      <c r="A16616" s="286"/>
    </row>
    <row r="16617" spans="1:1" s="287" customFormat="1" ht="12" hidden="1" customHeight="1">
      <c r="A16617" s="286"/>
    </row>
    <row r="16618" spans="1:1" s="287" customFormat="1" ht="12" hidden="1" customHeight="1">
      <c r="A16618" s="286"/>
    </row>
    <row r="16619" spans="1:1" s="287" customFormat="1" ht="12" hidden="1" customHeight="1">
      <c r="A16619" s="286"/>
    </row>
    <row r="16620" spans="1:1" s="287" customFormat="1" ht="12" hidden="1" customHeight="1">
      <c r="A16620" s="286"/>
    </row>
    <row r="16621" spans="1:1" s="287" customFormat="1" ht="12" hidden="1" customHeight="1">
      <c r="A16621" s="286"/>
    </row>
    <row r="16622" spans="1:1" s="287" customFormat="1" ht="12" hidden="1" customHeight="1">
      <c r="A16622" s="286"/>
    </row>
    <row r="16623" spans="1:1" s="287" customFormat="1" ht="12" hidden="1" customHeight="1">
      <c r="A16623" s="286"/>
    </row>
    <row r="16624" spans="1:1" s="287" customFormat="1" ht="12" hidden="1" customHeight="1">
      <c r="A16624" s="286"/>
    </row>
    <row r="16625" spans="1:1" s="287" customFormat="1" ht="12" hidden="1" customHeight="1">
      <c r="A16625" s="286"/>
    </row>
    <row r="16626" spans="1:1" s="287" customFormat="1" ht="12" hidden="1" customHeight="1">
      <c r="A16626" s="286"/>
    </row>
    <row r="16627" spans="1:1" s="287" customFormat="1" ht="12" hidden="1" customHeight="1">
      <c r="A16627" s="286"/>
    </row>
    <row r="16628" spans="1:1" s="287" customFormat="1" ht="12" hidden="1" customHeight="1">
      <c r="A16628" s="286"/>
    </row>
    <row r="16629" spans="1:1" s="287" customFormat="1" ht="12" hidden="1" customHeight="1">
      <c r="A16629" s="286"/>
    </row>
    <row r="16630" spans="1:1" s="287" customFormat="1" ht="12" hidden="1" customHeight="1">
      <c r="A16630" s="286"/>
    </row>
    <row r="16631" spans="1:1" s="287" customFormat="1" ht="12" hidden="1" customHeight="1">
      <c r="A16631" s="286"/>
    </row>
    <row r="16632" spans="1:1" s="287" customFormat="1" ht="12" hidden="1" customHeight="1">
      <c r="A16632" s="286"/>
    </row>
    <row r="16633" spans="1:1" s="287" customFormat="1" ht="12" hidden="1" customHeight="1">
      <c r="A16633" s="286"/>
    </row>
    <row r="16634" spans="1:1" s="287" customFormat="1" ht="12" hidden="1" customHeight="1">
      <c r="A16634" s="286"/>
    </row>
    <row r="16635" spans="1:1" s="287" customFormat="1" ht="12" hidden="1" customHeight="1">
      <c r="A16635" s="286"/>
    </row>
    <row r="16636" spans="1:1" s="287" customFormat="1" ht="12" hidden="1" customHeight="1">
      <c r="A16636" s="286"/>
    </row>
    <row r="16637" spans="1:1" s="287" customFormat="1" ht="12" hidden="1" customHeight="1">
      <c r="A16637" s="286"/>
    </row>
    <row r="16638" spans="1:1" s="287" customFormat="1" ht="12" hidden="1" customHeight="1">
      <c r="A16638" s="286"/>
    </row>
    <row r="16639" spans="1:1" s="287" customFormat="1" ht="12" hidden="1" customHeight="1">
      <c r="A16639" s="286"/>
    </row>
    <row r="16640" spans="1:1" s="287" customFormat="1" ht="12" hidden="1" customHeight="1">
      <c r="A16640" s="286"/>
    </row>
    <row r="16641" spans="1:1" s="287" customFormat="1" ht="12" hidden="1" customHeight="1">
      <c r="A16641" s="286"/>
    </row>
    <row r="16642" spans="1:1" s="287" customFormat="1" ht="12" hidden="1" customHeight="1">
      <c r="A16642" s="286"/>
    </row>
    <row r="16643" spans="1:1" s="287" customFormat="1" ht="12" hidden="1" customHeight="1">
      <c r="A16643" s="286"/>
    </row>
    <row r="16644" spans="1:1" s="287" customFormat="1" ht="12" hidden="1" customHeight="1">
      <c r="A16644" s="286"/>
    </row>
    <row r="16645" spans="1:1" s="287" customFormat="1" ht="12" hidden="1" customHeight="1">
      <c r="A16645" s="286"/>
    </row>
    <row r="16646" spans="1:1" s="287" customFormat="1" ht="12" hidden="1" customHeight="1">
      <c r="A16646" s="286"/>
    </row>
    <row r="16647" spans="1:1" s="287" customFormat="1" ht="12" hidden="1" customHeight="1">
      <c r="A16647" s="286"/>
    </row>
    <row r="16648" spans="1:1" s="287" customFormat="1" ht="12" hidden="1" customHeight="1">
      <c r="A16648" s="286"/>
    </row>
    <row r="16649" spans="1:1" s="287" customFormat="1" ht="12" hidden="1" customHeight="1">
      <c r="A16649" s="286"/>
    </row>
    <row r="16650" spans="1:1" s="287" customFormat="1" ht="12" hidden="1" customHeight="1">
      <c r="A16650" s="286"/>
    </row>
    <row r="16651" spans="1:1" s="287" customFormat="1" ht="12" hidden="1" customHeight="1">
      <c r="A16651" s="286"/>
    </row>
    <row r="16652" spans="1:1" s="287" customFormat="1" ht="12" hidden="1" customHeight="1">
      <c r="A16652" s="286"/>
    </row>
    <row r="16653" spans="1:1" s="287" customFormat="1" ht="12" hidden="1" customHeight="1">
      <c r="A16653" s="286"/>
    </row>
    <row r="16654" spans="1:1" s="287" customFormat="1" ht="12" hidden="1" customHeight="1">
      <c r="A16654" s="286"/>
    </row>
    <row r="16655" spans="1:1" s="287" customFormat="1" ht="12" hidden="1" customHeight="1">
      <c r="A16655" s="286"/>
    </row>
    <row r="16656" spans="1:1" s="287" customFormat="1" ht="12" hidden="1" customHeight="1">
      <c r="A16656" s="286"/>
    </row>
    <row r="16657" spans="1:1" s="287" customFormat="1" ht="12" hidden="1" customHeight="1">
      <c r="A16657" s="286"/>
    </row>
    <row r="16658" spans="1:1" s="287" customFormat="1" ht="12" hidden="1" customHeight="1">
      <c r="A16658" s="286"/>
    </row>
    <row r="16659" spans="1:1" s="287" customFormat="1" ht="12" hidden="1" customHeight="1">
      <c r="A16659" s="286"/>
    </row>
    <row r="16660" spans="1:1" s="287" customFormat="1" ht="12" hidden="1" customHeight="1">
      <c r="A16660" s="286"/>
    </row>
    <row r="16661" spans="1:1" s="287" customFormat="1" ht="12" hidden="1" customHeight="1">
      <c r="A16661" s="286"/>
    </row>
    <row r="16662" spans="1:1" s="287" customFormat="1" ht="12" hidden="1" customHeight="1">
      <c r="A16662" s="286"/>
    </row>
    <row r="16663" spans="1:1" s="287" customFormat="1" ht="12" hidden="1" customHeight="1">
      <c r="A16663" s="286"/>
    </row>
    <row r="16664" spans="1:1" s="287" customFormat="1" ht="12" hidden="1" customHeight="1">
      <c r="A16664" s="286"/>
    </row>
    <row r="16665" spans="1:1" s="287" customFormat="1" ht="12" hidden="1" customHeight="1">
      <c r="A16665" s="286"/>
    </row>
    <row r="16666" spans="1:1" s="287" customFormat="1" ht="12" hidden="1" customHeight="1">
      <c r="A16666" s="286"/>
    </row>
    <row r="16667" spans="1:1" s="287" customFormat="1" ht="12" hidden="1" customHeight="1">
      <c r="A16667" s="286"/>
    </row>
    <row r="16668" spans="1:1" s="287" customFormat="1" ht="12" hidden="1" customHeight="1">
      <c r="A16668" s="286"/>
    </row>
    <row r="16669" spans="1:1" s="287" customFormat="1" ht="12" hidden="1" customHeight="1">
      <c r="A16669" s="286"/>
    </row>
    <row r="16670" spans="1:1" s="287" customFormat="1" ht="12" hidden="1" customHeight="1">
      <c r="A16670" s="286"/>
    </row>
    <row r="16671" spans="1:1" s="287" customFormat="1" ht="12" hidden="1" customHeight="1">
      <c r="A16671" s="286"/>
    </row>
    <row r="16672" spans="1:1" s="287" customFormat="1" ht="12" hidden="1" customHeight="1">
      <c r="A16672" s="286"/>
    </row>
    <row r="16673" spans="1:1" s="287" customFormat="1" ht="12" hidden="1" customHeight="1">
      <c r="A16673" s="286"/>
    </row>
    <row r="16674" spans="1:1" s="287" customFormat="1" ht="12" hidden="1" customHeight="1">
      <c r="A16674" s="286"/>
    </row>
    <row r="16675" spans="1:1" s="287" customFormat="1" ht="12" hidden="1" customHeight="1">
      <c r="A16675" s="286"/>
    </row>
    <row r="16676" spans="1:1" s="287" customFormat="1" ht="12" hidden="1" customHeight="1">
      <c r="A16676" s="286"/>
    </row>
    <row r="16677" spans="1:1" s="287" customFormat="1" ht="12" hidden="1" customHeight="1">
      <c r="A16677" s="286"/>
    </row>
    <row r="16678" spans="1:1" s="287" customFormat="1" ht="12" hidden="1" customHeight="1">
      <c r="A16678" s="286"/>
    </row>
    <row r="16679" spans="1:1" s="287" customFormat="1" ht="12" hidden="1" customHeight="1">
      <c r="A16679" s="286"/>
    </row>
    <row r="16680" spans="1:1" s="287" customFormat="1" ht="12" hidden="1" customHeight="1">
      <c r="A16680" s="286"/>
    </row>
    <row r="16681" spans="1:1" s="287" customFormat="1" ht="12" hidden="1" customHeight="1">
      <c r="A16681" s="286"/>
    </row>
    <row r="16682" spans="1:1" s="287" customFormat="1" ht="12" hidden="1" customHeight="1">
      <c r="A16682" s="286"/>
    </row>
    <row r="16683" spans="1:1" s="287" customFormat="1" ht="12" hidden="1" customHeight="1">
      <c r="A16683" s="286"/>
    </row>
    <row r="16684" spans="1:1" s="287" customFormat="1" ht="12" hidden="1" customHeight="1">
      <c r="A16684" s="286"/>
    </row>
    <row r="16685" spans="1:1" s="287" customFormat="1" ht="12" hidden="1" customHeight="1">
      <c r="A16685" s="286"/>
    </row>
    <row r="16686" spans="1:1" s="287" customFormat="1" ht="12" hidden="1" customHeight="1">
      <c r="A16686" s="286"/>
    </row>
    <row r="16687" spans="1:1" s="287" customFormat="1" ht="12" hidden="1" customHeight="1">
      <c r="A16687" s="286"/>
    </row>
    <row r="16688" spans="1:1" s="287" customFormat="1" ht="12" hidden="1" customHeight="1">
      <c r="A16688" s="286"/>
    </row>
    <row r="16689" spans="1:1" s="287" customFormat="1" ht="12" hidden="1" customHeight="1">
      <c r="A16689" s="286"/>
    </row>
    <row r="16690" spans="1:1" s="287" customFormat="1" ht="12" hidden="1" customHeight="1">
      <c r="A16690" s="286"/>
    </row>
    <row r="16691" spans="1:1" s="287" customFormat="1" ht="12" hidden="1" customHeight="1">
      <c r="A16691" s="286"/>
    </row>
    <row r="16692" spans="1:1" s="287" customFormat="1" ht="12" hidden="1" customHeight="1">
      <c r="A16692" s="286"/>
    </row>
    <row r="16693" spans="1:1" s="287" customFormat="1" ht="12" hidden="1" customHeight="1">
      <c r="A16693" s="286"/>
    </row>
    <row r="16694" spans="1:1" s="287" customFormat="1" ht="12" hidden="1" customHeight="1">
      <c r="A16694" s="286"/>
    </row>
    <row r="16695" spans="1:1" s="287" customFormat="1" ht="12" hidden="1" customHeight="1">
      <c r="A16695" s="286"/>
    </row>
    <row r="16696" spans="1:1" s="287" customFormat="1" ht="12" hidden="1" customHeight="1">
      <c r="A16696" s="286"/>
    </row>
    <row r="16697" spans="1:1" s="287" customFormat="1" ht="12" hidden="1" customHeight="1">
      <c r="A16697" s="286"/>
    </row>
    <row r="16698" spans="1:1" s="287" customFormat="1" ht="12" hidden="1" customHeight="1">
      <c r="A16698" s="286"/>
    </row>
    <row r="16699" spans="1:1" s="287" customFormat="1" ht="12" hidden="1" customHeight="1">
      <c r="A16699" s="286"/>
    </row>
    <row r="16700" spans="1:1" s="287" customFormat="1" ht="12" hidden="1" customHeight="1">
      <c r="A16700" s="286"/>
    </row>
    <row r="16701" spans="1:1" s="287" customFormat="1" ht="12" hidden="1" customHeight="1">
      <c r="A16701" s="286"/>
    </row>
    <row r="16702" spans="1:1" s="287" customFormat="1" ht="12" hidden="1" customHeight="1">
      <c r="A16702" s="286"/>
    </row>
    <row r="16703" spans="1:1" s="287" customFormat="1" ht="12" hidden="1" customHeight="1">
      <c r="A16703" s="286"/>
    </row>
    <row r="16704" spans="1:1" s="287" customFormat="1" ht="12" hidden="1" customHeight="1">
      <c r="A16704" s="286"/>
    </row>
    <row r="16705" spans="1:1" s="287" customFormat="1" ht="12" hidden="1" customHeight="1">
      <c r="A16705" s="286"/>
    </row>
    <row r="16706" spans="1:1" s="287" customFormat="1" ht="12" hidden="1" customHeight="1">
      <c r="A16706" s="286"/>
    </row>
    <row r="16707" spans="1:1" s="287" customFormat="1" ht="12" hidden="1" customHeight="1">
      <c r="A16707" s="286"/>
    </row>
    <row r="16708" spans="1:1" s="287" customFormat="1" ht="12" hidden="1" customHeight="1">
      <c r="A16708" s="286"/>
    </row>
    <row r="16709" spans="1:1" s="287" customFormat="1" ht="12" hidden="1" customHeight="1">
      <c r="A16709" s="286"/>
    </row>
    <row r="16710" spans="1:1" s="287" customFormat="1" ht="12" hidden="1" customHeight="1">
      <c r="A16710" s="286"/>
    </row>
    <row r="16711" spans="1:1" s="287" customFormat="1" ht="12" hidden="1" customHeight="1">
      <c r="A16711" s="286"/>
    </row>
    <row r="16712" spans="1:1" s="287" customFormat="1" ht="12" hidden="1" customHeight="1">
      <c r="A16712" s="286"/>
    </row>
    <row r="16713" spans="1:1" s="287" customFormat="1" ht="12" hidden="1" customHeight="1">
      <c r="A16713" s="286"/>
    </row>
    <row r="16714" spans="1:1" s="287" customFormat="1" ht="12" hidden="1" customHeight="1">
      <c r="A16714" s="286"/>
    </row>
    <row r="16715" spans="1:1" s="287" customFormat="1" ht="12" hidden="1" customHeight="1">
      <c r="A16715" s="286"/>
    </row>
    <row r="16716" spans="1:1" s="287" customFormat="1" ht="12" hidden="1" customHeight="1">
      <c r="A16716" s="286"/>
    </row>
    <row r="16717" spans="1:1" s="287" customFormat="1" ht="12" hidden="1" customHeight="1">
      <c r="A16717" s="286"/>
    </row>
    <row r="16718" spans="1:1" s="287" customFormat="1" ht="12" hidden="1" customHeight="1">
      <c r="A16718" s="286"/>
    </row>
    <row r="16719" spans="1:1" s="287" customFormat="1" ht="12" hidden="1" customHeight="1">
      <c r="A16719" s="286"/>
    </row>
    <row r="16720" spans="1:1" s="287" customFormat="1" ht="12" hidden="1" customHeight="1">
      <c r="A16720" s="286"/>
    </row>
    <row r="16721" spans="1:1" s="287" customFormat="1" ht="12" hidden="1" customHeight="1">
      <c r="A16721" s="286"/>
    </row>
    <row r="16722" spans="1:1" s="287" customFormat="1" ht="12" hidden="1" customHeight="1">
      <c r="A16722" s="286"/>
    </row>
    <row r="16723" spans="1:1" s="287" customFormat="1" ht="12" hidden="1" customHeight="1">
      <c r="A16723" s="286"/>
    </row>
    <row r="16724" spans="1:1" s="287" customFormat="1" ht="12" hidden="1" customHeight="1">
      <c r="A16724" s="286"/>
    </row>
    <row r="16725" spans="1:1" s="287" customFormat="1" ht="12" hidden="1" customHeight="1">
      <c r="A16725" s="286"/>
    </row>
    <row r="16726" spans="1:1" s="287" customFormat="1" ht="12" hidden="1" customHeight="1">
      <c r="A16726" s="286"/>
    </row>
    <row r="16727" spans="1:1" s="287" customFormat="1" ht="12" hidden="1" customHeight="1">
      <c r="A16727" s="286"/>
    </row>
    <row r="16728" spans="1:1" s="287" customFormat="1" ht="12" hidden="1" customHeight="1">
      <c r="A16728" s="286"/>
    </row>
    <row r="16729" spans="1:1" s="287" customFormat="1" ht="12" hidden="1" customHeight="1">
      <c r="A16729" s="286"/>
    </row>
    <row r="16730" spans="1:1" s="287" customFormat="1" ht="12" hidden="1" customHeight="1">
      <c r="A16730" s="286"/>
    </row>
    <row r="16731" spans="1:1" s="287" customFormat="1" ht="12" hidden="1" customHeight="1">
      <c r="A16731" s="286"/>
    </row>
    <row r="16732" spans="1:1" s="287" customFormat="1" ht="12" hidden="1" customHeight="1">
      <c r="A16732" s="286"/>
    </row>
    <row r="16733" spans="1:1" s="287" customFormat="1" ht="12" hidden="1" customHeight="1">
      <c r="A16733" s="286"/>
    </row>
    <row r="16734" spans="1:1" s="287" customFormat="1" ht="12" hidden="1" customHeight="1">
      <c r="A16734" s="286"/>
    </row>
    <row r="16735" spans="1:1" s="287" customFormat="1" ht="12" hidden="1" customHeight="1">
      <c r="A16735" s="286"/>
    </row>
    <row r="16736" spans="1:1" s="287" customFormat="1" ht="12" hidden="1" customHeight="1">
      <c r="A16736" s="286"/>
    </row>
    <row r="16737" spans="1:1" s="287" customFormat="1" ht="12" hidden="1" customHeight="1">
      <c r="A16737" s="286"/>
    </row>
    <row r="16738" spans="1:1" s="287" customFormat="1" ht="12" hidden="1" customHeight="1">
      <c r="A16738" s="286"/>
    </row>
    <row r="16739" spans="1:1" s="287" customFormat="1" ht="12" hidden="1" customHeight="1">
      <c r="A16739" s="286"/>
    </row>
    <row r="16740" spans="1:1" s="287" customFormat="1" ht="12" hidden="1" customHeight="1">
      <c r="A16740" s="286"/>
    </row>
    <row r="16741" spans="1:1" s="287" customFormat="1" ht="12" hidden="1" customHeight="1">
      <c r="A16741" s="286"/>
    </row>
    <row r="16742" spans="1:1" s="287" customFormat="1" ht="12" hidden="1" customHeight="1">
      <c r="A16742" s="286"/>
    </row>
    <row r="16743" spans="1:1" s="287" customFormat="1" ht="12" hidden="1" customHeight="1">
      <c r="A16743" s="286"/>
    </row>
    <row r="16744" spans="1:1" s="287" customFormat="1" ht="12" hidden="1" customHeight="1">
      <c r="A16744" s="286"/>
    </row>
    <row r="16745" spans="1:1" s="287" customFormat="1" ht="12" hidden="1" customHeight="1">
      <c r="A16745" s="286"/>
    </row>
    <row r="16746" spans="1:1" s="287" customFormat="1" ht="12" hidden="1" customHeight="1">
      <c r="A16746" s="286"/>
    </row>
    <row r="16747" spans="1:1" s="287" customFormat="1" ht="12" hidden="1" customHeight="1">
      <c r="A16747" s="286"/>
    </row>
    <row r="16748" spans="1:1" s="287" customFormat="1" ht="12" hidden="1" customHeight="1">
      <c r="A16748" s="286"/>
    </row>
    <row r="16749" spans="1:1" s="287" customFormat="1" ht="12" hidden="1" customHeight="1">
      <c r="A16749" s="286"/>
    </row>
    <row r="16750" spans="1:1" s="287" customFormat="1" ht="12" hidden="1" customHeight="1">
      <c r="A16750" s="286"/>
    </row>
    <row r="16751" spans="1:1" s="287" customFormat="1" ht="12" hidden="1" customHeight="1">
      <c r="A16751" s="286"/>
    </row>
    <row r="16752" spans="1:1" s="287" customFormat="1" ht="12" hidden="1" customHeight="1">
      <c r="A16752" s="286"/>
    </row>
    <row r="16753" spans="1:1" s="287" customFormat="1" ht="12" hidden="1" customHeight="1">
      <c r="A16753" s="286"/>
    </row>
    <row r="16754" spans="1:1" s="287" customFormat="1" ht="12" hidden="1" customHeight="1">
      <c r="A16754" s="286"/>
    </row>
    <row r="16755" spans="1:1" s="287" customFormat="1" ht="12" hidden="1" customHeight="1">
      <c r="A16755" s="286"/>
    </row>
    <row r="16756" spans="1:1" s="287" customFormat="1" ht="12" hidden="1" customHeight="1">
      <c r="A16756" s="286"/>
    </row>
    <row r="16757" spans="1:1" s="287" customFormat="1" ht="12" hidden="1" customHeight="1">
      <c r="A16757" s="286"/>
    </row>
    <row r="16758" spans="1:1" s="287" customFormat="1" ht="12" hidden="1" customHeight="1">
      <c r="A16758" s="286"/>
    </row>
    <row r="16759" spans="1:1" s="287" customFormat="1" ht="12" hidden="1" customHeight="1">
      <c r="A16759" s="286"/>
    </row>
    <row r="16760" spans="1:1" s="287" customFormat="1" ht="12" hidden="1" customHeight="1">
      <c r="A16760" s="286"/>
    </row>
    <row r="16761" spans="1:1" s="287" customFormat="1" ht="12" hidden="1" customHeight="1">
      <c r="A16761" s="286"/>
    </row>
    <row r="16762" spans="1:1" s="287" customFormat="1" ht="12" hidden="1" customHeight="1">
      <c r="A16762" s="286"/>
    </row>
    <row r="16763" spans="1:1" s="287" customFormat="1" ht="12" hidden="1" customHeight="1">
      <c r="A16763" s="286"/>
    </row>
    <row r="16764" spans="1:1" s="287" customFormat="1" ht="12" hidden="1" customHeight="1">
      <c r="A16764" s="286"/>
    </row>
    <row r="16765" spans="1:1" s="287" customFormat="1" ht="12" hidden="1" customHeight="1">
      <c r="A16765" s="286"/>
    </row>
    <row r="16766" spans="1:1" s="287" customFormat="1" ht="12" hidden="1" customHeight="1">
      <c r="A16766" s="286"/>
    </row>
    <row r="16767" spans="1:1" s="287" customFormat="1" ht="12" hidden="1" customHeight="1">
      <c r="A16767" s="286"/>
    </row>
    <row r="16768" spans="1:1" s="287" customFormat="1" ht="12" hidden="1" customHeight="1">
      <c r="A16768" s="286"/>
    </row>
    <row r="16769" spans="1:1" s="287" customFormat="1" ht="12" hidden="1" customHeight="1">
      <c r="A16769" s="286"/>
    </row>
    <row r="16770" spans="1:1" s="287" customFormat="1" ht="12" hidden="1" customHeight="1">
      <c r="A16770" s="286"/>
    </row>
    <row r="16771" spans="1:1" s="287" customFormat="1" ht="12" hidden="1" customHeight="1">
      <c r="A16771" s="286"/>
    </row>
    <row r="16772" spans="1:1" s="287" customFormat="1" ht="12" hidden="1" customHeight="1">
      <c r="A16772" s="286"/>
    </row>
    <row r="16773" spans="1:1" s="287" customFormat="1" ht="12" hidden="1" customHeight="1">
      <c r="A16773" s="286"/>
    </row>
    <row r="16774" spans="1:1" s="287" customFormat="1" ht="12" hidden="1" customHeight="1">
      <c r="A16774" s="286"/>
    </row>
    <row r="16775" spans="1:1" s="287" customFormat="1" ht="12" hidden="1" customHeight="1">
      <c r="A16775" s="286"/>
    </row>
    <row r="16776" spans="1:1" s="287" customFormat="1" ht="12" hidden="1" customHeight="1">
      <c r="A16776" s="286"/>
    </row>
    <row r="16777" spans="1:1" s="287" customFormat="1" ht="12" hidden="1" customHeight="1">
      <c r="A16777" s="286"/>
    </row>
    <row r="16778" spans="1:1" s="287" customFormat="1" ht="12" hidden="1" customHeight="1">
      <c r="A16778" s="286"/>
    </row>
    <row r="16779" spans="1:1" s="287" customFormat="1" ht="12" hidden="1" customHeight="1">
      <c r="A16779" s="286"/>
    </row>
    <row r="16780" spans="1:1" s="287" customFormat="1" ht="12" hidden="1" customHeight="1">
      <c r="A16780" s="286"/>
    </row>
    <row r="16781" spans="1:1" s="287" customFormat="1" ht="12" hidden="1" customHeight="1">
      <c r="A16781" s="286"/>
    </row>
    <row r="16782" spans="1:1" s="287" customFormat="1" ht="12" hidden="1" customHeight="1">
      <c r="A16782" s="286"/>
    </row>
    <row r="16783" spans="1:1" s="287" customFormat="1" ht="12" hidden="1" customHeight="1">
      <c r="A16783" s="286"/>
    </row>
    <row r="16784" spans="1:1" s="287" customFormat="1" ht="12" hidden="1" customHeight="1">
      <c r="A16784" s="286"/>
    </row>
    <row r="16785" spans="1:1" s="287" customFormat="1" ht="12" hidden="1" customHeight="1">
      <c r="A16785" s="286"/>
    </row>
    <row r="16786" spans="1:1" s="287" customFormat="1" ht="12" hidden="1" customHeight="1">
      <c r="A16786" s="286"/>
    </row>
    <row r="16787" spans="1:1" s="287" customFormat="1" ht="12" hidden="1" customHeight="1">
      <c r="A16787" s="286"/>
    </row>
    <row r="16788" spans="1:1" s="287" customFormat="1" ht="12" hidden="1" customHeight="1">
      <c r="A16788" s="286"/>
    </row>
    <row r="16789" spans="1:1" s="287" customFormat="1" ht="12" hidden="1" customHeight="1">
      <c r="A16789" s="286"/>
    </row>
    <row r="16790" spans="1:1" s="287" customFormat="1" ht="12" hidden="1" customHeight="1">
      <c r="A16790" s="286"/>
    </row>
    <row r="16791" spans="1:1" s="287" customFormat="1" ht="12" hidden="1" customHeight="1">
      <c r="A16791" s="286"/>
    </row>
    <row r="16792" spans="1:1" s="287" customFormat="1" ht="12" hidden="1" customHeight="1">
      <c r="A16792" s="286"/>
    </row>
    <row r="16793" spans="1:1" s="287" customFormat="1" ht="12" hidden="1" customHeight="1">
      <c r="A16793" s="286"/>
    </row>
    <row r="16794" spans="1:1" s="287" customFormat="1" ht="12" hidden="1" customHeight="1">
      <c r="A16794" s="286"/>
    </row>
    <row r="16795" spans="1:1" s="287" customFormat="1" ht="12" hidden="1" customHeight="1">
      <c r="A16795" s="286"/>
    </row>
    <row r="16796" spans="1:1" s="287" customFormat="1" ht="12" hidden="1" customHeight="1">
      <c r="A16796" s="286"/>
    </row>
    <row r="16797" spans="1:1" s="287" customFormat="1" ht="12" hidden="1" customHeight="1">
      <c r="A16797" s="286"/>
    </row>
    <row r="16798" spans="1:1" s="287" customFormat="1" ht="12" hidden="1" customHeight="1">
      <c r="A16798" s="286"/>
    </row>
    <row r="16799" spans="1:1" s="287" customFormat="1" ht="12" hidden="1" customHeight="1">
      <c r="A16799" s="286"/>
    </row>
    <row r="16800" spans="1:1" s="287" customFormat="1" ht="12" hidden="1" customHeight="1">
      <c r="A16800" s="286"/>
    </row>
    <row r="16801" spans="1:1" s="287" customFormat="1" ht="12" hidden="1" customHeight="1">
      <c r="A16801" s="286"/>
    </row>
    <row r="16802" spans="1:1" s="287" customFormat="1" ht="12" hidden="1" customHeight="1">
      <c r="A16802" s="286"/>
    </row>
    <row r="16803" spans="1:1" s="287" customFormat="1" ht="12" hidden="1" customHeight="1">
      <c r="A16803" s="286"/>
    </row>
    <row r="16804" spans="1:1" s="287" customFormat="1" ht="12" hidden="1" customHeight="1">
      <c r="A16804" s="286"/>
    </row>
    <row r="16805" spans="1:1" s="287" customFormat="1" ht="12" hidden="1" customHeight="1">
      <c r="A16805" s="286"/>
    </row>
    <row r="16806" spans="1:1" s="287" customFormat="1" ht="12" hidden="1" customHeight="1">
      <c r="A16806" s="286"/>
    </row>
    <row r="16807" spans="1:1" s="287" customFormat="1" ht="12" hidden="1" customHeight="1">
      <c r="A16807" s="286"/>
    </row>
    <row r="16808" spans="1:1" s="287" customFormat="1" ht="12" hidden="1" customHeight="1">
      <c r="A16808" s="286"/>
    </row>
    <row r="16809" spans="1:1" s="287" customFormat="1" ht="12" hidden="1" customHeight="1">
      <c r="A16809" s="286"/>
    </row>
    <row r="16810" spans="1:1" s="287" customFormat="1" ht="12" hidden="1" customHeight="1">
      <c r="A16810" s="286"/>
    </row>
    <row r="16811" spans="1:1" s="287" customFormat="1" ht="12" hidden="1" customHeight="1">
      <c r="A16811" s="286"/>
    </row>
    <row r="16812" spans="1:1" s="287" customFormat="1" ht="12" hidden="1" customHeight="1">
      <c r="A16812" s="286"/>
    </row>
    <row r="16813" spans="1:1" s="287" customFormat="1" ht="12" hidden="1" customHeight="1">
      <c r="A16813" s="286"/>
    </row>
    <row r="16814" spans="1:1" s="287" customFormat="1" ht="12" hidden="1" customHeight="1">
      <c r="A16814" s="286"/>
    </row>
    <row r="16815" spans="1:1" s="287" customFormat="1" ht="12" hidden="1" customHeight="1">
      <c r="A16815" s="286"/>
    </row>
    <row r="16816" spans="1:1" s="287" customFormat="1" ht="12" hidden="1" customHeight="1">
      <c r="A16816" s="286"/>
    </row>
    <row r="16817" spans="1:1" s="287" customFormat="1" ht="12" hidden="1" customHeight="1">
      <c r="A16817" s="286"/>
    </row>
    <row r="16818" spans="1:1" s="287" customFormat="1" ht="12" hidden="1" customHeight="1">
      <c r="A16818" s="286"/>
    </row>
    <row r="16819" spans="1:1" s="287" customFormat="1" ht="12" hidden="1" customHeight="1">
      <c r="A16819" s="286"/>
    </row>
    <row r="16820" spans="1:1" s="287" customFormat="1" ht="12" hidden="1" customHeight="1">
      <c r="A16820" s="286"/>
    </row>
    <row r="16821" spans="1:1" s="287" customFormat="1" ht="12" hidden="1" customHeight="1">
      <c r="A16821" s="286"/>
    </row>
    <row r="16822" spans="1:1" s="287" customFormat="1" ht="12" hidden="1" customHeight="1">
      <c r="A16822" s="286"/>
    </row>
    <row r="16823" spans="1:1" s="287" customFormat="1" ht="12" hidden="1" customHeight="1">
      <c r="A16823" s="286"/>
    </row>
    <row r="16824" spans="1:1" s="287" customFormat="1" ht="12" hidden="1" customHeight="1">
      <c r="A16824" s="286"/>
    </row>
    <row r="16825" spans="1:1" s="287" customFormat="1" ht="12" hidden="1" customHeight="1">
      <c r="A16825" s="286"/>
    </row>
    <row r="16826" spans="1:1" s="287" customFormat="1" ht="12" hidden="1" customHeight="1">
      <c r="A16826" s="286"/>
    </row>
    <row r="16827" spans="1:1" s="287" customFormat="1" ht="12" hidden="1" customHeight="1">
      <c r="A16827" s="286"/>
    </row>
    <row r="16828" spans="1:1" s="287" customFormat="1" ht="12" hidden="1" customHeight="1">
      <c r="A16828" s="286"/>
    </row>
    <row r="16829" spans="1:1" s="287" customFormat="1" ht="12" hidden="1" customHeight="1">
      <c r="A16829" s="286"/>
    </row>
    <row r="16830" spans="1:1" s="287" customFormat="1" ht="12" hidden="1" customHeight="1">
      <c r="A16830" s="286"/>
    </row>
    <row r="16831" spans="1:1" s="287" customFormat="1" ht="12" hidden="1" customHeight="1">
      <c r="A16831" s="286"/>
    </row>
    <row r="16832" spans="1:1" s="287" customFormat="1" ht="12" hidden="1" customHeight="1">
      <c r="A16832" s="286"/>
    </row>
    <row r="16833" spans="1:1" s="287" customFormat="1" ht="12" hidden="1" customHeight="1">
      <c r="A16833" s="286"/>
    </row>
    <row r="16834" spans="1:1" s="287" customFormat="1" ht="12" hidden="1" customHeight="1">
      <c r="A16834" s="286"/>
    </row>
    <row r="16835" spans="1:1" s="287" customFormat="1" ht="12" hidden="1" customHeight="1">
      <c r="A16835" s="286"/>
    </row>
    <row r="16836" spans="1:1" s="287" customFormat="1" ht="12" hidden="1" customHeight="1">
      <c r="A16836" s="286"/>
    </row>
    <row r="16837" spans="1:1" s="287" customFormat="1" ht="12" hidden="1" customHeight="1">
      <c r="A16837" s="286"/>
    </row>
    <row r="16838" spans="1:1" s="287" customFormat="1" ht="12" hidden="1" customHeight="1">
      <c r="A16838" s="286"/>
    </row>
    <row r="16839" spans="1:1" s="287" customFormat="1" ht="12" hidden="1" customHeight="1">
      <c r="A16839" s="286"/>
    </row>
    <row r="16840" spans="1:1" s="287" customFormat="1" ht="12" hidden="1" customHeight="1">
      <c r="A16840" s="286"/>
    </row>
    <row r="16841" spans="1:1" s="287" customFormat="1" ht="12" hidden="1" customHeight="1">
      <c r="A16841" s="286"/>
    </row>
    <row r="16842" spans="1:1" s="287" customFormat="1" ht="12" hidden="1" customHeight="1">
      <c r="A16842" s="286"/>
    </row>
    <row r="16843" spans="1:1" s="287" customFormat="1" ht="12" hidden="1" customHeight="1">
      <c r="A16843" s="286"/>
    </row>
    <row r="16844" spans="1:1" s="287" customFormat="1" ht="12" hidden="1" customHeight="1">
      <c r="A16844" s="286"/>
    </row>
    <row r="16845" spans="1:1" s="287" customFormat="1" ht="12" hidden="1" customHeight="1">
      <c r="A16845" s="286"/>
    </row>
    <row r="16846" spans="1:1" s="287" customFormat="1" ht="12" hidden="1" customHeight="1">
      <c r="A16846" s="286"/>
    </row>
    <row r="16847" spans="1:1" s="287" customFormat="1" ht="12" hidden="1" customHeight="1">
      <c r="A16847" s="286"/>
    </row>
    <row r="16848" spans="1:1" s="287" customFormat="1" ht="12" hidden="1" customHeight="1">
      <c r="A16848" s="286"/>
    </row>
    <row r="16849" spans="1:1" s="287" customFormat="1" ht="12" hidden="1" customHeight="1">
      <c r="A16849" s="286"/>
    </row>
    <row r="16850" spans="1:1" s="287" customFormat="1" ht="12" hidden="1" customHeight="1">
      <c r="A16850" s="286"/>
    </row>
    <row r="16851" spans="1:1" s="287" customFormat="1" ht="12" hidden="1" customHeight="1">
      <c r="A16851" s="286"/>
    </row>
    <row r="16852" spans="1:1" s="287" customFormat="1" ht="12" hidden="1" customHeight="1">
      <c r="A16852" s="286"/>
    </row>
    <row r="16853" spans="1:1" s="287" customFormat="1" ht="12" hidden="1" customHeight="1">
      <c r="A16853" s="286"/>
    </row>
    <row r="16854" spans="1:1" s="287" customFormat="1" ht="12" hidden="1" customHeight="1">
      <c r="A16854" s="286"/>
    </row>
    <row r="16855" spans="1:1" s="287" customFormat="1" ht="12" hidden="1" customHeight="1">
      <c r="A16855" s="286"/>
    </row>
    <row r="16856" spans="1:1" s="287" customFormat="1" ht="12" hidden="1" customHeight="1">
      <c r="A16856" s="286"/>
    </row>
    <row r="16857" spans="1:1" s="287" customFormat="1" ht="12" hidden="1" customHeight="1">
      <c r="A16857" s="286"/>
    </row>
    <row r="16858" spans="1:1" s="287" customFormat="1" ht="12" hidden="1" customHeight="1">
      <c r="A16858" s="286"/>
    </row>
    <row r="16859" spans="1:1" s="287" customFormat="1" ht="12" hidden="1" customHeight="1">
      <c r="A16859" s="286"/>
    </row>
    <row r="16860" spans="1:1" s="287" customFormat="1" ht="12" hidden="1" customHeight="1">
      <c r="A16860" s="286"/>
    </row>
    <row r="16861" spans="1:1" s="287" customFormat="1" ht="12" hidden="1" customHeight="1">
      <c r="A16861" s="286"/>
    </row>
    <row r="16862" spans="1:1" s="287" customFormat="1" ht="12" hidden="1" customHeight="1">
      <c r="A16862" s="286"/>
    </row>
    <row r="16863" spans="1:1" s="287" customFormat="1" ht="12" hidden="1" customHeight="1">
      <c r="A16863" s="286"/>
    </row>
    <row r="16864" spans="1:1" s="287" customFormat="1" ht="12" hidden="1" customHeight="1">
      <c r="A16864" s="286"/>
    </row>
    <row r="16865" spans="1:1" s="287" customFormat="1" ht="12" hidden="1" customHeight="1">
      <c r="A16865" s="286"/>
    </row>
    <row r="16866" spans="1:1" s="287" customFormat="1" ht="12" hidden="1" customHeight="1">
      <c r="A16866" s="286"/>
    </row>
    <row r="16867" spans="1:1" s="287" customFormat="1" ht="12" hidden="1" customHeight="1">
      <c r="A16867" s="286"/>
    </row>
    <row r="16868" spans="1:1" s="287" customFormat="1" ht="12" hidden="1" customHeight="1">
      <c r="A16868" s="286"/>
    </row>
    <row r="16869" spans="1:1" s="287" customFormat="1" ht="12" hidden="1" customHeight="1">
      <c r="A16869" s="286"/>
    </row>
    <row r="16870" spans="1:1" s="287" customFormat="1" ht="12" hidden="1" customHeight="1">
      <c r="A16870" s="286"/>
    </row>
    <row r="16871" spans="1:1" s="287" customFormat="1" ht="12" hidden="1" customHeight="1">
      <c r="A16871" s="286"/>
    </row>
    <row r="16872" spans="1:1" s="287" customFormat="1" ht="12" hidden="1" customHeight="1">
      <c r="A16872" s="286"/>
    </row>
    <row r="16873" spans="1:1" s="287" customFormat="1" ht="12" hidden="1" customHeight="1">
      <c r="A16873" s="286"/>
    </row>
    <row r="16874" spans="1:1" s="287" customFormat="1" ht="12" hidden="1" customHeight="1">
      <c r="A16874" s="286"/>
    </row>
    <row r="16875" spans="1:1" s="287" customFormat="1" ht="12" hidden="1" customHeight="1">
      <c r="A16875" s="286"/>
    </row>
    <row r="16876" spans="1:1" s="287" customFormat="1" ht="12" hidden="1" customHeight="1">
      <c r="A16876" s="286"/>
    </row>
    <row r="16877" spans="1:1" s="287" customFormat="1" ht="12" hidden="1" customHeight="1">
      <c r="A16877" s="286"/>
    </row>
    <row r="16878" spans="1:1" s="287" customFormat="1" ht="12" hidden="1" customHeight="1">
      <c r="A16878" s="286"/>
    </row>
    <row r="16879" spans="1:1" s="287" customFormat="1" ht="12" hidden="1" customHeight="1">
      <c r="A16879" s="286"/>
    </row>
    <row r="16880" spans="1:1" s="287" customFormat="1" ht="12" hidden="1" customHeight="1">
      <c r="A16880" s="286"/>
    </row>
    <row r="16881" spans="1:1" s="287" customFormat="1" ht="12" hidden="1" customHeight="1">
      <c r="A16881" s="286"/>
    </row>
    <row r="16882" spans="1:1" s="287" customFormat="1" ht="12" hidden="1" customHeight="1">
      <c r="A16882" s="286"/>
    </row>
    <row r="16883" spans="1:1" s="287" customFormat="1" ht="12" hidden="1" customHeight="1">
      <c r="A16883" s="286"/>
    </row>
    <row r="16884" spans="1:1" s="287" customFormat="1" ht="12" hidden="1" customHeight="1">
      <c r="A16884" s="286"/>
    </row>
    <row r="16885" spans="1:1" s="287" customFormat="1" ht="12" hidden="1" customHeight="1">
      <c r="A16885" s="286"/>
    </row>
    <row r="16886" spans="1:1" s="287" customFormat="1" ht="12" hidden="1" customHeight="1">
      <c r="A16886" s="286"/>
    </row>
    <row r="16887" spans="1:1" s="287" customFormat="1" ht="12" hidden="1" customHeight="1">
      <c r="A16887" s="286"/>
    </row>
    <row r="16888" spans="1:1" s="287" customFormat="1" ht="12" hidden="1" customHeight="1">
      <c r="A16888" s="286"/>
    </row>
    <row r="16889" spans="1:1" s="287" customFormat="1" ht="12" hidden="1" customHeight="1">
      <c r="A16889" s="286"/>
    </row>
    <row r="16890" spans="1:1" s="287" customFormat="1" ht="12" hidden="1" customHeight="1">
      <c r="A16890" s="286"/>
    </row>
    <row r="16891" spans="1:1" s="287" customFormat="1" ht="12" hidden="1" customHeight="1">
      <c r="A16891" s="286"/>
    </row>
    <row r="16892" spans="1:1" s="287" customFormat="1" ht="12" hidden="1" customHeight="1">
      <c r="A16892" s="286"/>
    </row>
    <row r="16893" spans="1:1" s="287" customFormat="1" ht="12" hidden="1" customHeight="1">
      <c r="A16893" s="286"/>
    </row>
    <row r="16894" spans="1:1" s="287" customFormat="1" ht="12" hidden="1" customHeight="1">
      <c r="A16894" s="286"/>
    </row>
    <row r="16895" spans="1:1" s="287" customFormat="1" ht="12" hidden="1" customHeight="1">
      <c r="A16895" s="286"/>
    </row>
    <row r="16896" spans="1:1" s="287" customFormat="1" ht="12" hidden="1" customHeight="1">
      <c r="A16896" s="286"/>
    </row>
    <row r="16897" spans="1:1" s="287" customFormat="1" ht="12" hidden="1" customHeight="1">
      <c r="A16897" s="286"/>
    </row>
    <row r="16898" spans="1:1" s="287" customFormat="1" ht="12" hidden="1" customHeight="1">
      <c r="A16898" s="286"/>
    </row>
    <row r="16899" spans="1:1" s="287" customFormat="1" ht="12" hidden="1" customHeight="1">
      <c r="A16899" s="286"/>
    </row>
    <row r="16900" spans="1:1" s="287" customFormat="1" ht="12" hidden="1" customHeight="1">
      <c r="A16900" s="286"/>
    </row>
    <row r="16901" spans="1:1" s="287" customFormat="1" ht="12" hidden="1" customHeight="1">
      <c r="A16901" s="286"/>
    </row>
    <row r="16902" spans="1:1" s="287" customFormat="1" ht="12" hidden="1" customHeight="1">
      <c r="A16902" s="286"/>
    </row>
    <row r="16903" spans="1:1" s="287" customFormat="1" ht="12" hidden="1" customHeight="1">
      <c r="A16903" s="286"/>
    </row>
    <row r="16904" spans="1:1" s="287" customFormat="1" ht="12" hidden="1" customHeight="1">
      <c r="A16904" s="286"/>
    </row>
    <row r="16905" spans="1:1" s="287" customFormat="1" ht="12" hidden="1" customHeight="1">
      <c r="A16905" s="286"/>
    </row>
    <row r="16906" spans="1:1" s="287" customFormat="1" ht="12" hidden="1" customHeight="1">
      <c r="A16906" s="286"/>
    </row>
    <row r="16907" spans="1:1" s="287" customFormat="1" ht="12" hidden="1" customHeight="1">
      <c r="A16907" s="286"/>
    </row>
    <row r="16908" spans="1:1" s="287" customFormat="1" ht="12" hidden="1" customHeight="1">
      <c r="A16908" s="286"/>
    </row>
    <row r="16909" spans="1:1" s="287" customFormat="1" ht="12" hidden="1" customHeight="1">
      <c r="A16909" s="286"/>
    </row>
    <row r="16910" spans="1:1" s="287" customFormat="1" ht="12" hidden="1" customHeight="1">
      <c r="A16910" s="286"/>
    </row>
    <row r="16911" spans="1:1" s="287" customFormat="1" ht="12" hidden="1" customHeight="1">
      <c r="A16911" s="286"/>
    </row>
    <row r="16912" spans="1:1" s="287" customFormat="1" ht="12" hidden="1" customHeight="1">
      <c r="A16912" s="286"/>
    </row>
    <row r="16913" spans="1:1" s="287" customFormat="1" ht="12" hidden="1" customHeight="1">
      <c r="A16913" s="286"/>
    </row>
    <row r="16914" spans="1:1" s="287" customFormat="1" ht="12" hidden="1" customHeight="1">
      <c r="A16914" s="286"/>
    </row>
    <row r="16915" spans="1:1" s="287" customFormat="1" ht="12" hidden="1" customHeight="1">
      <c r="A16915" s="286"/>
    </row>
    <row r="16916" spans="1:1" s="287" customFormat="1" ht="12" hidden="1" customHeight="1">
      <c r="A16916" s="286"/>
    </row>
    <row r="16917" spans="1:1" s="287" customFormat="1" ht="12" hidden="1" customHeight="1">
      <c r="A16917" s="286"/>
    </row>
    <row r="16918" spans="1:1" s="287" customFormat="1" ht="12" hidden="1" customHeight="1">
      <c r="A16918" s="286"/>
    </row>
    <row r="16919" spans="1:1" s="287" customFormat="1" ht="12" hidden="1" customHeight="1">
      <c r="A16919" s="286"/>
    </row>
    <row r="16920" spans="1:1" s="287" customFormat="1" ht="12" hidden="1" customHeight="1">
      <c r="A16920" s="286"/>
    </row>
    <row r="16921" spans="1:1" s="287" customFormat="1" ht="12" hidden="1" customHeight="1">
      <c r="A16921" s="286"/>
    </row>
    <row r="16922" spans="1:1" s="287" customFormat="1" ht="12" hidden="1" customHeight="1">
      <c r="A16922" s="286"/>
    </row>
    <row r="16923" spans="1:1" s="287" customFormat="1" ht="12" hidden="1" customHeight="1">
      <c r="A16923" s="286"/>
    </row>
    <row r="16924" spans="1:1" s="287" customFormat="1" ht="12" hidden="1" customHeight="1">
      <c r="A16924" s="286"/>
    </row>
    <row r="16925" spans="1:1" s="287" customFormat="1" ht="12" hidden="1" customHeight="1">
      <c r="A16925" s="286"/>
    </row>
    <row r="16926" spans="1:1" s="287" customFormat="1" ht="12" hidden="1" customHeight="1">
      <c r="A16926" s="286"/>
    </row>
    <row r="16927" spans="1:1" s="287" customFormat="1" ht="12" hidden="1" customHeight="1">
      <c r="A16927" s="286"/>
    </row>
    <row r="16928" spans="1:1" s="287" customFormat="1" ht="12" hidden="1" customHeight="1">
      <c r="A16928" s="286"/>
    </row>
    <row r="16929" spans="1:1" s="287" customFormat="1" ht="12" hidden="1" customHeight="1">
      <c r="A16929" s="286"/>
    </row>
    <row r="16930" spans="1:1" s="287" customFormat="1" ht="12" hidden="1" customHeight="1">
      <c r="A16930" s="286"/>
    </row>
    <row r="16931" spans="1:1" s="287" customFormat="1" ht="12" hidden="1" customHeight="1">
      <c r="A16931" s="286"/>
    </row>
    <row r="16932" spans="1:1" s="287" customFormat="1" ht="12" hidden="1" customHeight="1">
      <c r="A16932" s="286"/>
    </row>
    <row r="16933" spans="1:1" s="287" customFormat="1" ht="12" hidden="1" customHeight="1">
      <c r="A16933" s="286"/>
    </row>
    <row r="16934" spans="1:1" s="287" customFormat="1" ht="12" hidden="1" customHeight="1">
      <c r="A16934" s="286"/>
    </row>
    <row r="16935" spans="1:1" s="287" customFormat="1" ht="12" hidden="1" customHeight="1">
      <c r="A16935" s="286"/>
    </row>
    <row r="16936" spans="1:1" s="287" customFormat="1" ht="12" hidden="1" customHeight="1">
      <c r="A16936" s="286"/>
    </row>
    <row r="16937" spans="1:1" s="287" customFormat="1" ht="12" hidden="1" customHeight="1">
      <c r="A16937" s="286"/>
    </row>
    <row r="16938" spans="1:1" s="287" customFormat="1" ht="12" hidden="1" customHeight="1">
      <c r="A16938" s="286"/>
    </row>
    <row r="16939" spans="1:1" s="287" customFormat="1" ht="12" hidden="1" customHeight="1">
      <c r="A16939" s="286"/>
    </row>
    <row r="16940" spans="1:1" s="287" customFormat="1" ht="12" hidden="1" customHeight="1">
      <c r="A16940" s="286"/>
    </row>
    <row r="16941" spans="1:1" s="287" customFormat="1" ht="12" hidden="1" customHeight="1">
      <c r="A16941" s="286"/>
    </row>
    <row r="16942" spans="1:1" s="287" customFormat="1" ht="12" hidden="1" customHeight="1">
      <c r="A16942" s="286"/>
    </row>
    <row r="16943" spans="1:1" s="287" customFormat="1" ht="12" hidden="1" customHeight="1">
      <c r="A16943" s="286"/>
    </row>
    <row r="16944" spans="1:1" s="287" customFormat="1" ht="12" hidden="1" customHeight="1">
      <c r="A16944" s="286"/>
    </row>
    <row r="16945" spans="1:1" s="287" customFormat="1" ht="12" hidden="1" customHeight="1">
      <c r="A16945" s="286"/>
    </row>
    <row r="16946" spans="1:1" s="287" customFormat="1" ht="12" hidden="1" customHeight="1">
      <c r="A16946" s="286"/>
    </row>
    <row r="16947" spans="1:1" s="287" customFormat="1" ht="12" hidden="1" customHeight="1">
      <c r="A16947" s="286"/>
    </row>
    <row r="16948" spans="1:1" s="287" customFormat="1" ht="12" hidden="1" customHeight="1">
      <c r="A16948" s="286"/>
    </row>
    <row r="16949" spans="1:1" s="287" customFormat="1" ht="12" hidden="1" customHeight="1">
      <c r="A16949" s="286"/>
    </row>
    <row r="16950" spans="1:1" s="287" customFormat="1" ht="12" hidden="1" customHeight="1">
      <c r="A16950" s="286"/>
    </row>
    <row r="16951" spans="1:1" s="287" customFormat="1" ht="12" hidden="1" customHeight="1">
      <c r="A16951" s="286"/>
    </row>
    <row r="16952" spans="1:1" s="287" customFormat="1" ht="12" hidden="1" customHeight="1">
      <c r="A16952" s="286"/>
    </row>
    <row r="16953" spans="1:1" s="287" customFormat="1" ht="12" hidden="1" customHeight="1">
      <c r="A16953" s="286"/>
    </row>
    <row r="16954" spans="1:1" s="287" customFormat="1" ht="12" hidden="1" customHeight="1">
      <c r="A16954" s="286"/>
    </row>
    <row r="16955" spans="1:1" s="287" customFormat="1" ht="12" hidden="1" customHeight="1">
      <c r="A16955" s="286"/>
    </row>
    <row r="16956" spans="1:1" s="287" customFormat="1" ht="12" hidden="1" customHeight="1">
      <c r="A16956" s="286"/>
    </row>
    <row r="16957" spans="1:1" s="287" customFormat="1" ht="12" hidden="1" customHeight="1">
      <c r="A16957" s="286"/>
    </row>
    <row r="16958" spans="1:1" s="287" customFormat="1" ht="12" hidden="1" customHeight="1">
      <c r="A16958" s="286"/>
    </row>
    <row r="16959" spans="1:1" s="287" customFormat="1" ht="12" hidden="1" customHeight="1">
      <c r="A16959" s="286"/>
    </row>
    <row r="16960" spans="1:1" s="287" customFormat="1" ht="12" hidden="1" customHeight="1">
      <c r="A16960" s="286"/>
    </row>
    <row r="16961" spans="1:1" s="287" customFormat="1" ht="12" hidden="1" customHeight="1">
      <c r="A16961" s="286"/>
    </row>
    <row r="16962" spans="1:1" s="287" customFormat="1" ht="12" hidden="1" customHeight="1">
      <c r="A16962" s="286"/>
    </row>
    <row r="16963" spans="1:1" s="287" customFormat="1" ht="12" hidden="1" customHeight="1">
      <c r="A16963" s="286"/>
    </row>
    <row r="16964" spans="1:1" s="287" customFormat="1" ht="12" hidden="1" customHeight="1">
      <c r="A16964" s="286"/>
    </row>
    <row r="16965" spans="1:1" s="287" customFormat="1" ht="12" hidden="1" customHeight="1">
      <c r="A16965" s="286"/>
    </row>
    <row r="16966" spans="1:1" s="287" customFormat="1" ht="12" hidden="1" customHeight="1">
      <c r="A16966" s="286"/>
    </row>
    <row r="16967" spans="1:1" s="287" customFormat="1" ht="12" hidden="1" customHeight="1">
      <c r="A16967" s="286"/>
    </row>
    <row r="16968" spans="1:1" s="287" customFormat="1" ht="12" hidden="1" customHeight="1">
      <c r="A16968" s="286"/>
    </row>
    <row r="16969" spans="1:1" s="287" customFormat="1" ht="12" hidden="1" customHeight="1">
      <c r="A16969" s="286"/>
    </row>
    <row r="16970" spans="1:1" s="287" customFormat="1" ht="12" hidden="1" customHeight="1">
      <c r="A16970" s="286"/>
    </row>
    <row r="16971" spans="1:1" s="287" customFormat="1" ht="12" hidden="1" customHeight="1">
      <c r="A16971" s="286"/>
    </row>
    <row r="16972" spans="1:1" s="287" customFormat="1" ht="12" hidden="1" customHeight="1">
      <c r="A16972" s="286"/>
    </row>
    <row r="16973" spans="1:1" s="287" customFormat="1" ht="12" hidden="1" customHeight="1">
      <c r="A16973" s="286"/>
    </row>
    <row r="16974" spans="1:1" s="287" customFormat="1" ht="12" hidden="1" customHeight="1">
      <c r="A16974" s="286"/>
    </row>
    <row r="16975" spans="1:1" s="287" customFormat="1" ht="12" hidden="1" customHeight="1">
      <c r="A16975" s="286"/>
    </row>
    <row r="16976" spans="1:1" s="287" customFormat="1" ht="12" hidden="1" customHeight="1">
      <c r="A16976" s="286"/>
    </row>
    <row r="16977" spans="1:1" s="287" customFormat="1" ht="12" hidden="1" customHeight="1">
      <c r="A16977" s="286"/>
    </row>
    <row r="16978" spans="1:1" s="287" customFormat="1" ht="12" hidden="1" customHeight="1">
      <c r="A16978" s="286"/>
    </row>
    <row r="16979" spans="1:1" s="287" customFormat="1" ht="12" hidden="1" customHeight="1">
      <c r="A16979" s="286"/>
    </row>
    <row r="16980" spans="1:1" s="287" customFormat="1" ht="12" hidden="1" customHeight="1">
      <c r="A16980" s="286"/>
    </row>
    <row r="16981" spans="1:1" s="287" customFormat="1" ht="12" hidden="1" customHeight="1">
      <c r="A16981" s="286"/>
    </row>
    <row r="16982" spans="1:1" s="287" customFormat="1" ht="12" hidden="1" customHeight="1">
      <c r="A16982" s="286"/>
    </row>
    <row r="16983" spans="1:1" s="287" customFormat="1" ht="12" hidden="1" customHeight="1">
      <c r="A16983" s="286"/>
    </row>
    <row r="16984" spans="1:1" s="287" customFormat="1" ht="12" hidden="1" customHeight="1">
      <c r="A16984" s="286"/>
    </row>
    <row r="16985" spans="1:1" s="287" customFormat="1" ht="12" hidden="1" customHeight="1">
      <c r="A16985" s="286"/>
    </row>
    <row r="16986" spans="1:1" s="287" customFormat="1" ht="12" hidden="1" customHeight="1">
      <c r="A16986" s="286"/>
    </row>
    <row r="16987" spans="1:1" s="287" customFormat="1" ht="12" hidden="1" customHeight="1">
      <c r="A16987" s="286"/>
    </row>
    <row r="16988" spans="1:1" s="287" customFormat="1" ht="12" hidden="1" customHeight="1">
      <c r="A16988" s="286"/>
    </row>
    <row r="16989" spans="1:1" s="287" customFormat="1" ht="12" hidden="1" customHeight="1">
      <c r="A16989" s="286"/>
    </row>
    <row r="16990" spans="1:1" s="287" customFormat="1" ht="12" hidden="1" customHeight="1">
      <c r="A16990" s="286"/>
    </row>
    <row r="16991" spans="1:1" s="287" customFormat="1" ht="12" hidden="1" customHeight="1">
      <c r="A16991" s="286"/>
    </row>
    <row r="16992" spans="1:1" s="287" customFormat="1" ht="12" hidden="1" customHeight="1">
      <c r="A16992" s="286"/>
    </row>
    <row r="16993" spans="1:1" s="287" customFormat="1" ht="12" hidden="1" customHeight="1">
      <c r="A16993" s="286"/>
    </row>
    <row r="16994" spans="1:1" s="287" customFormat="1" ht="12" hidden="1" customHeight="1">
      <c r="A16994" s="286"/>
    </row>
    <row r="16995" spans="1:1" s="287" customFormat="1" ht="12" hidden="1" customHeight="1">
      <c r="A16995" s="286"/>
    </row>
    <row r="16996" spans="1:1" s="287" customFormat="1" ht="12" hidden="1" customHeight="1">
      <c r="A16996" s="286"/>
    </row>
    <row r="16997" spans="1:1" s="287" customFormat="1" ht="12" hidden="1" customHeight="1">
      <c r="A16997" s="286"/>
    </row>
    <row r="16998" spans="1:1" s="287" customFormat="1" ht="12" hidden="1" customHeight="1">
      <c r="A16998" s="286"/>
    </row>
    <row r="16999" spans="1:1" s="287" customFormat="1" ht="12" hidden="1" customHeight="1">
      <c r="A16999" s="286"/>
    </row>
    <row r="17000" spans="1:1" s="287" customFormat="1" ht="12" hidden="1" customHeight="1">
      <c r="A17000" s="286"/>
    </row>
    <row r="17001" spans="1:1" s="287" customFormat="1" ht="12" hidden="1" customHeight="1">
      <c r="A17001" s="286"/>
    </row>
    <row r="17002" spans="1:1" s="287" customFormat="1" ht="12" hidden="1" customHeight="1">
      <c r="A17002" s="286"/>
    </row>
    <row r="17003" spans="1:1" s="287" customFormat="1" ht="12" hidden="1" customHeight="1">
      <c r="A17003" s="286"/>
    </row>
    <row r="17004" spans="1:1" s="287" customFormat="1" ht="12" hidden="1" customHeight="1">
      <c r="A17004" s="286"/>
    </row>
    <row r="17005" spans="1:1" s="287" customFormat="1" ht="12" hidden="1" customHeight="1">
      <c r="A17005" s="286"/>
    </row>
    <row r="17006" spans="1:1" s="287" customFormat="1" ht="12" hidden="1" customHeight="1">
      <c r="A17006" s="286"/>
    </row>
    <row r="17007" spans="1:1" s="287" customFormat="1" ht="12" hidden="1" customHeight="1">
      <c r="A17007" s="286"/>
    </row>
    <row r="17008" spans="1:1" s="287" customFormat="1" ht="12" hidden="1" customHeight="1">
      <c r="A17008" s="286"/>
    </row>
    <row r="17009" spans="1:1" s="287" customFormat="1" ht="12" hidden="1" customHeight="1">
      <c r="A17009" s="286"/>
    </row>
    <row r="17010" spans="1:1" s="287" customFormat="1" ht="12" hidden="1" customHeight="1">
      <c r="A17010" s="286"/>
    </row>
    <row r="17011" spans="1:1" s="287" customFormat="1" ht="12" hidden="1" customHeight="1">
      <c r="A17011" s="286"/>
    </row>
    <row r="17012" spans="1:1" s="287" customFormat="1" ht="12" hidden="1" customHeight="1">
      <c r="A17012" s="286"/>
    </row>
    <row r="17013" spans="1:1" s="287" customFormat="1" ht="12" hidden="1" customHeight="1">
      <c r="A17013" s="286"/>
    </row>
    <row r="17014" spans="1:1" s="287" customFormat="1" ht="12" hidden="1" customHeight="1">
      <c r="A17014" s="286"/>
    </row>
    <row r="17015" spans="1:1" s="287" customFormat="1" ht="12" hidden="1" customHeight="1">
      <c r="A17015" s="286"/>
    </row>
    <row r="17016" spans="1:1" s="287" customFormat="1" ht="12" hidden="1" customHeight="1">
      <c r="A17016" s="286"/>
    </row>
    <row r="17017" spans="1:1" s="287" customFormat="1" ht="12" hidden="1" customHeight="1">
      <c r="A17017" s="286"/>
    </row>
    <row r="17018" spans="1:1" s="287" customFormat="1" ht="12" hidden="1" customHeight="1">
      <c r="A17018" s="286"/>
    </row>
    <row r="17019" spans="1:1" s="287" customFormat="1" ht="12" hidden="1" customHeight="1">
      <c r="A17019" s="286"/>
    </row>
    <row r="17020" spans="1:1" s="287" customFormat="1" ht="12" hidden="1" customHeight="1">
      <c r="A17020" s="286"/>
    </row>
    <row r="17021" spans="1:1" s="287" customFormat="1" ht="12" hidden="1" customHeight="1">
      <c r="A17021" s="286"/>
    </row>
    <row r="17022" spans="1:1" s="287" customFormat="1" ht="12" hidden="1" customHeight="1">
      <c r="A17022" s="286"/>
    </row>
    <row r="17023" spans="1:1" s="287" customFormat="1" ht="12" hidden="1" customHeight="1">
      <c r="A17023" s="286"/>
    </row>
    <row r="17024" spans="1:1" s="287" customFormat="1" ht="12" hidden="1" customHeight="1">
      <c r="A17024" s="286"/>
    </row>
    <row r="17025" spans="1:1" s="287" customFormat="1" ht="12" hidden="1" customHeight="1">
      <c r="A17025" s="286"/>
    </row>
    <row r="17026" spans="1:1" s="287" customFormat="1" ht="12" hidden="1" customHeight="1">
      <c r="A17026" s="286"/>
    </row>
    <row r="17027" spans="1:1" s="287" customFormat="1" ht="12" hidden="1" customHeight="1">
      <c r="A17027" s="286"/>
    </row>
    <row r="17028" spans="1:1" s="287" customFormat="1" ht="12" hidden="1" customHeight="1">
      <c r="A17028" s="286"/>
    </row>
    <row r="17029" spans="1:1" s="287" customFormat="1" ht="12" hidden="1" customHeight="1">
      <c r="A17029" s="286"/>
    </row>
    <row r="17030" spans="1:1" s="287" customFormat="1" ht="12" hidden="1" customHeight="1">
      <c r="A17030" s="286"/>
    </row>
    <row r="17031" spans="1:1" s="287" customFormat="1" ht="12" hidden="1" customHeight="1">
      <c r="A17031" s="286"/>
    </row>
    <row r="17032" spans="1:1" s="287" customFormat="1" ht="12" hidden="1" customHeight="1">
      <c r="A17032" s="286"/>
    </row>
    <row r="17033" spans="1:1" s="287" customFormat="1" ht="12" hidden="1" customHeight="1">
      <c r="A17033" s="286"/>
    </row>
    <row r="17034" spans="1:1" s="287" customFormat="1" ht="12" hidden="1" customHeight="1">
      <c r="A17034" s="286"/>
    </row>
    <row r="17035" spans="1:1" s="287" customFormat="1" ht="12" hidden="1" customHeight="1">
      <c r="A17035" s="286"/>
    </row>
    <row r="17036" spans="1:1" s="287" customFormat="1" ht="12" hidden="1" customHeight="1">
      <c r="A17036" s="286"/>
    </row>
    <row r="17037" spans="1:1" s="287" customFormat="1" ht="12" hidden="1" customHeight="1">
      <c r="A17037" s="286"/>
    </row>
    <row r="17038" spans="1:1" s="287" customFormat="1" ht="12" hidden="1" customHeight="1">
      <c r="A17038" s="286"/>
    </row>
    <row r="17039" spans="1:1" s="287" customFormat="1" ht="12" hidden="1" customHeight="1">
      <c r="A17039" s="286"/>
    </row>
    <row r="17040" spans="1:1" s="287" customFormat="1" ht="12" hidden="1" customHeight="1">
      <c r="A17040" s="286"/>
    </row>
    <row r="17041" spans="1:1" s="287" customFormat="1" ht="12" hidden="1" customHeight="1">
      <c r="A17041" s="286"/>
    </row>
    <row r="17042" spans="1:1" s="287" customFormat="1" ht="12" hidden="1" customHeight="1">
      <c r="A17042" s="286"/>
    </row>
    <row r="17043" spans="1:1" s="287" customFormat="1" ht="12" hidden="1" customHeight="1">
      <c r="A17043" s="286"/>
    </row>
    <row r="17044" spans="1:1" s="287" customFormat="1" ht="12" hidden="1" customHeight="1">
      <c r="A17044" s="286"/>
    </row>
    <row r="17045" spans="1:1" s="287" customFormat="1" ht="12" hidden="1" customHeight="1">
      <c r="A17045" s="286"/>
    </row>
    <row r="17046" spans="1:1" s="287" customFormat="1" ht="12" hidden="1" customHeight="1">
      <c r="A17046" s="286"/>
    </row>
    <row r="17047" spans="1:1" s="287" customFormat="1" ht="12" hidden="1" customHeight="1">
      <c r="A17047" s="286"/>
    </row>
    <row r="17048" spans="1:1" s="287" customFormat="1" ht="12" hidden="1" customHeight="1">
      <c r="A17048" s="286"/>
    </row>
    <row r="17049" spans="1:1" s="287" customFormat="1" ht="12" hidden="1" customHeight="1">
      <c r="A17049" s="286"/>
    </row>
    <row r="17050" spans="1:1" s="287" customFormat="1" ht="12" hidden="1" customHeight="1">
      <c r="A17050" s="286"/>
    </row>
    <row r="17051" spans="1:1" s="287" customFormat="1" ht="12" hidden="1" customHeight="1">
      <c r="A17051" s="286"/>
    </row>
    <row r="17052" spans="1:1" s="287" customFormat="1" ht="12" hidden="1" customHeight="1">
      <c r="A17052" s="286"/>
    </row>
    <row r="17053" spans="1:1" s="287" customFormat="1" ht="12" hidden="1" customHeight="1">
      <c r="A17053" s="286"/>
    </row>
    <row r="17054" spans="1:1" s="287" customFormat="1" ht="12" hidden="1" customHeight="1">
      <c r="A17054" s="286"/>
    </row>
    <row r="17055" spans="1:1" s="287" customFormat="1" ht="12" hidden="1" customHeight="1">
      <c r="A17055" s="286"/>
    </row>
    <row r="17056" spans="1:1" s="287" customFormat="1" ht="12" hidden="1" customHeight="1">
      <c r="A17056" s="286"/>
    </row>
    <row r="17057" spans="1:1" s="287" customFormat="1" ht="12" hidden="1" customHeight="1">
      <c r="A17057" s="286"/>
    </row>
    <row r="17058" spans="1:1" s="287" customFormat="1" ht="12" hidden="1" customHeight="1">
      <c r="A17058" s="286"/>
    </row>
    <row r="17059" spans="1:1" s="287" customFormat="1" ht="12" hidden="1" customHeight="1">
      <c r="A17059" s="286"/>
    </row>
    <row r="17060" spans="1:1" s="287" customFormat="1" ht="12" hidden="1" customHeight="1">
      <c r="A17060" s="286"/>
    </row>
    <row r="17061" spans="1:1" s="287" customFormat="1" ht="12" hidden="1" customHeight="1">
      <c r="A17061" s="286"/>
    </row>
    <row r="17062" spans="1:1" s="287" customFormat="1" ht="12" hidden="1" customHeight="1">
      <c r="A17062" s="286"/>
    </row>
    <row r="17063" spans="1:1" s="287" customFormat="1" ht="12" hidden="1" customHeight="1">
      <c r="A17063" s="286"/>
    </row>
    <row r="17064" spans="1:1" s="287" customFormat="1" ht="12" hidden="1" customHeight="1">
      <c r="A17064" s="286"/>
    </row>
    <row r="17065" spans="1:1" s="287" customFormat="1" ht="12" hidden="1" customHeight="1">
      <c r="A17065" s="286"/>
    </row>
    <row r="17066" spans="1:1" s="287" customFormat="1" ht="12" hidden="1" customHeight="1">
      <c r="A17066" s="286"/>
    </row>
    <row r="17067" spans="1:1" s="287" customFormat="1" ht="12" hidden="1" customHeight="1">
      <c r="A17067" s="286"/>
    </row>
    <row r="17068" spans="1:1" s="287" customFormat="1" ht="12" hidden="1" customHeight="1">
      <c r="A17068" s="286"/>
    </row>
    <row r="17069" spans="1:1" s="287" customFormat="1" ht="12" hidden="1" customHeight="1">
      <c r="A17069" s="286"/>
    </row>
    <row r="17070" spans="1:1" s="287" customFormat="1" ht="12" hidden="1" customHeight="1">
      <c r="A17070" s="286"/>
    </row>
    <row r="17071" spans="1:1" s="287" customFormat="1" ht="12" hidden="1" customHeight="1">
      <c r="A17071" s="286"/>
    </row>
    <row r="17072" spans="1:1" s="287" customFormat="1" ht="12" hidden="1" customHeight="1">
      <c r="A17072" s="286"/>
    </row>
    <row r="17073" spans="1:1" s="287" customFormat="1" ht="12" hidden="1" customHeight="1">
      <c r="A17073" s="286"/>
    </row>
    <row r="17074" spans="1:1" s="287" customFormat="1" ht="12" hidden="1" customHeight="1">
      <c r="A17074" s="286"/>
    </row>
    <row r="17075" spans="1:1" s="287" customFormat="1" ht="12" hidden="1" customHeight="1">
      <c r="A17075" s="286"/>
    </row>
    <row r="17076" spans="1:1" s="287" customFormat="1" ht="12" hidden="1" customHeight="1">
      <c r="A17076" s="286"/>
    </row>
    <row r="17077" spans="1:1" s="287" customFormat="1" ht="12" hidden="1" customHeight="1">
      <c r="A17077" s="286"/>
    </row>
    <row r="17078" spans="1:1" s="287" customFormat="1" ht="12" hidden="1" customHeight="1">
      <c r="A17078" s="286"/>
    </row>
    <row r="17079" spans="1:1" s="287" customFormat="1" ht="12" hidden="1" customHeight="1">
      <c r="A17079" s="286"/>
    </row>
    <row r="17080" spans="1:1" s="287" customFormat="1" ht="12" hidden="1" customHeight="1">
      <c r="A17080" s="286"/>
    </row>
    <row r="17081" spans="1:1" s="287" customFormat="1" ht="12" hidden="1" customHeight="1">
      <c r="A17081" s="286"/>
    </row>
    <row r="17082" spans="1:1" s="287" customFormat="1" ht="12" hidden="1" customHeight="1">
      <c r="A17082" s="286"/>
    </row>
    <row r="17083" spans="1:1" s="287" customFormat="1" ht="12" hidden="1" customHeight="1">
      <c r="A17083" s="286"/>
    </row>
    <row r="17084" spans="1:1" s="287" customFormat="1" ht="12" hidden="1" customHeight="1">
      <c r="A17084" s="286"/>
    </row>
    <row r="17085" spans="1:1" s="287" customFormat="1" ht="12" hidden="1" customHeight="1">
      <c r="A17085" s="286"/>
    </row>
    <row r="17086" spans="1:1" s="287" customFormat="1" ht="12" hidden="1" customHeight="1">
      <c r="A17086" s="286"/>
    </row>
    <row r="17087" spans="1:1" s="287" customFormat="1" ht="12" hidden="1" customHeight="1">
      <c r="A17087" s="286"/>
    </row>
    <row r="17088" spans="1:1" s="287" customFormat="1" ht="12" hidden="1" customHeight="1">
      <c r="A17088" s="286"/>
    </row>
    <row r="17089" spans="1:1" s="287" customFormat="1" ht="12" hidden="1" customHeight="1">
      <c r="A17089" s="286"/>
    </row>
    <row r="17090" spans="1:1" s="287" customFormat="1" ht="12" hidden="1" customHeight="1">
      <c r="A17090" s="286"/>
    </row>
    <row r="17091" spans="1:1" s="287" customFormat="1" ht="12" hidden="1" customHeight="1">
      <c r="A17091" s="286"/>
    </row>
    <row r="17092" spans="1:1" s="287" customFormat="1" ht="12" hidden="1" customHeight="1">
      <c r="A17092" s="286"/>
    </row>
    <row r="17093" spans="1:1" s="287" customFormat="1" ht="12" hidden="1" customHeight="1">
      <c r="A17093" s="286"/>
    </row>
    <row r="17094" spans="1:1" s="287" customFormat="1" ht="12" hidden="1" customHeight="1">
      <c r="A17094" s="286"/>
    </row>
    <row r="17095" spans="1:1" s="287" customFormat="1" ht="12" hidden="1" customHeight="1">
      <c r="A17095" s="286"/>
    </row>
    <row r="17096" spans="1:1" s="287" customFormat="1" ht="12" hidden="1" customHeight="1">
      <c r="A17096" s="286"/>
    </row>
    <row r="17097" spans="1:1" s="287" customFormat="1" ht="12" hidden="1" customHeight="1">
      <c r="A17097" s="286"/>
    </row>
    <row r="17098" spans="1:1" s="287" customFormat="1" ht="12" hidden="1" customHeight="1">
      <c r="A17098" s="286"/>
    </row>
    <row r="17099" spans="1:1" s="287" customFormat="1" ht="12" hidden="1" customHeight="1">
      <c r="A17099" s="286"/>
    </row>
    <row r="17100" spans="1:1" s="287" customFormat="1" ht="12" hidden="1" customHeight="1">
      <c r="A17100" s="286"/>
    </row>
    <row r="17101" spans="1:1" s="287" customFormat="1" ht="12" hidden="1" customHeight="1">
      <c r="A17101" s="286"/>
    </row>
    <row r="17102" spans="1:1" s="287" customFormat="1" ht="12" hidden="1" customHeight="1">
      <c r="A17102" s="286"/>
    </row>
    <row r="17103" spans="1:1" s="287" customFormat="1" ht="12" hidden="1" customHeight="1">
      <c r="A17103" s="286"/>
    </row>
    <row r="17104" spans="1:1" s="287" customFormat="1" ht="12" hidden="1" customHeight="1">
      <c r="A17104" s="286"/>
    </row>
    <row r="17105" spans="1:1" s="287" customFormat="1" ht="12" hidden="1" customHeight="1">
      <c r="A17105" s="286"/>
    </row>
    <row r="17106" spans="1:1" s="287" customFormat="1" ht="12" hidden="1" customHeight="1">
      <c r="A17106" s="286"/>
    </row>
    <row r="17107" spans="1:1" s="287" customFormat="1" ht="12" hidden="1" customHeight="1">
      <c r="A17107" s="286"/>
    </row>
    <row r="17108" spans="1:1" s="287" customFormat="1" ht="12" hidden="1" customHeight="1">
      <c r="A17108" s="286"/>
    </row>
    <row r="17109" spans="1:1" s="287" customFormat="1" ht="12" hidden="1" customHeight="1">
      <c r="A17109" s="286"/>
    </row>
    <row r="17110" spans="1:1" s="287" customFormat="1" ht="12" hidden="1" customHeight="1">
      <c r="A17110" s="286"/>
    </row>
    <row r="17111" spans="1:1" s="287" customFormat="1" ht="12" hidden="1" customHeight="1">
      <c r="A17111" s="286"/>
    </row>
    <row r="17112" spans="1:1" s="287" customFormat="1" ht="12" hidden="1" customHeight="1">
      <c r="A17112" s="286"/>
    </row>
    <row r="17113" spans="1:1" s="287" customFormat="1" ht="12" hidden="1" customHeight="1">
      <c r="A17113" s="286"/>
    </row>
    <row r="17114" spans="1:1" s="287" customFormat="1" ht="12" hidden="1" customHeight="1">
      <c r="A17114" s="286"/>
    </row>
    <row r="17115" spans="1:1" s="287" customFormat="1" ht="12" hidden="1" customHeight="1">
      <c r="A17115" s="286"/>
    </row>
    <row r="17116" spans="1:1" s="287" customFormat="1" ht="12" hidden="1" customHeight="1">
      <c r="A17116" s="286"/>
    </row>
    <row r="17117" spans="1:1" s="287" customFormat="1" ht="12" hidden="1" customHeight="1">
      <c r="A17117" s="286"/>
    </row>
    <row r="17118" spans="1:1" s="287" customFormat="1" ht="12" hidden="1" customHeight="1">
      <c r="A17118" s="286"/>
    </row>
    <row r="17119" spans="1:1" s="287" customFormat="1" ht="12" hidden="1" customHeight="1">
      <c r="A17119" s="286"/>
    </row>
    <row r="17120" spans="1:1" s="287" customFormat="1" ht="12" hidden="1" customHeight="1">
      <c r="A17120" s="286"/>
    </row>
    <row r="17121" spans="1:1" s="287" customFormat="1" ht="12" hidden="1" customHeight="1">
      <c r="A17121" s="286"/>
    </row>
    <row r="17122" spans="1:1" s="287" customFormat="1" ht="12" hidden="1" customHeight="1">
      <c r="A17122" s="286"/>
    </row>
    <row r="17123" spans="1:1" s="287" customFormat="1" ht="12" hidden="1" customHeight="1">
      <c r="A17123" s="286"/>
    </row>
    <row r="17124" spans="1:1" s="287" customFormat="1" ht="12" hidden="1" customHeight="1">
      <c r="A17124" s="286"/>
    </row>
    <row r="17125" spans="1:1" s="287" customFormat="1" ht="12" hidden="1" customHeight="1">
      <c r="A17125" s="286"/>
    </row>
    <row r="17126" spans="1:1" s="287" customFormat="1" ht="12" hidden="1" customHeight="1">
      <c r="A17126" s="286"/>
    </row>
    <row r="17127" spans="1:1" s="287" customFormat="1" ht="12" hidden="1" customHeight="1">
      <c r="A17127" s="286"/>
    </row>
    <row r="17128" spans="1:1" s="287" customFormat="1" ht="12" hidden="1" customHeight="1">
      <c r="A17128" s="286"/>
    </row>
    <row r="17129" spans="1:1" s="287" customFormat="1" ht="12" hidden="1" customHeight="1">
      <c r="A17129" s="286"/>
    </row>
    <row r="17130" spans="1:1" s="287" customFormat="1" ht="12" hidden="1" customHeight="1">
      <c r="A17130" s="286"/>
    </row>
    <row r="17131" spans="1:1" s="287" customFormat="1" ht="12" hidden="1" customHeight="1">
      <c r="A17131" s="286"/>
    </row>
    <row r="17132" spans="1:1" s="287" customFormat="1" ht="12" hidden="1" customHeight="1">
      <c r="A17132" s="286"/>
    </row>
    <row r="17133" spans="1:1" s="287" customFormat="1" ht="12" hidden="1" customHeight="1">
      <c r="A17133" s="286"/>
    </row>
    <row r="17134" spans="1:1" s="287" customFormat="1" ht="12" hidden="1" customHeight="1">
      <c r="A17134" s="286"/>
    </row>
    <row r="17135" spans="1:1" s="287" customFormat="1" ht="12" hidden="1" customHeight="1">
      <c r="A17135" s="286"/>
    </row>
    <row r="17136" spans="1:1" s="287" customFormat="1" ht="12" hidden="1" customHeight="1">
      <c r="A17136" s="286"/>
    </row>
    <row r="17137" spans="1:1" s="287" customFormat="1" ht="12" hidden="1" customHeight="1">
      <c r="A17137" s="286"/>
    </row>
    <row r="17138" spans="1:1" s="287" customFormat="1" ht="12" hidden="1" customHeight="1">
      <c r="A17138" s="286"/>
    </row>
    <row r="17139" spans="1:1" s="287" customFormat="1" ht="12" hidden="1" customHeight="1">
      <c r="A17139" s="286"/>
    </row>
    <row r="17140" spans="1:1" s="287" customFormat="1" ht="12" hidden="1" customHeight="1">
      <c r="A17140" s="286"/>
    </row>
    <row r="17141" spans="1:1" s="287" customFormat="1" ht="12" hidden="1" customHeight="1">
      <c r="A17141" s="286"/>
    </row>
    <row r="17142" spans="1:1" s="287" customFormat="1" ht="12" hidden="1" customHeight="1">
      <c r="A17142" s="286"/>
    </row>
    <row r="17143" spans="1:1" s="287" customFormat="1" ht="12" hidden="1" customHeight="1">
      <c r="A17143" s="286"/>
    </row>
    <row r="17144" spans="1:1" s="287" customFormat="1" ht="12" hidden="1" customHeight="1">
      <c r="A17144" s="286"/>
    </row>
    <row r="17145" spans="1:1" s="287" customFormat="1" ht="12" hidden="1" customHeight="1">
      <c r="A17145" s="286"/>
    </row>
    <row r="17146" spans="1:1" s="287" customFormat="1" ht="12" hidden="1" customHeight="1">
      <c r="A17146" s="286"/>
    </row>
    <row r="17147" spans="1:1" s="287" customFormat="1" ht="12" hidden="1" customHeight="1">
      <c r="A17147" s="286"/>
    </row>
    <row r="17148" spans="1:1" s="287" customFormat="1" ht="12" hidden="1" customHeight="1">
      <c r="A17148" s="286"/>
    </row>
    <row r="17149" spans="1:1" s="287" customFormat="1" ht="12" hidden="1" customHeight="1">
      <c r="A17149" s="286"/>
    </row>
    <row r="17150" spans="1:1" s="287" customFormat="1" ht="12" hidden="1" customHeight="1">
      <c r="A17150" s="286"/>
    </row>
    <row r="17151" spans="1:1" s="287" customFormat="1" ht="12" hidden="1" customHeight="1">
      <c r="A17151" s="286"/>
    </row>
    <row r="17152" spans="1:1" s="287" customFormat="1" ht="12" hidden="1" customHeight="1">
      <c r="A17152" s="286"/>
    </row>
    <row r="17153" spans="1:1" s="287" customFormat="1" ht="12" hidden="1" customHeight="1">
      <c r="A17153" s="286"/>
    </row>
    <row r="17154" spans="1:1" s="287" customFormat="1" ht="12" hidden="1" customHeight="1">
      <c r="A17154" s="286"/>
    </row>
    <row r="17155" spans="1:1" s="287" customFormat="1" ht="12" hidden="1" customHeight="1">
      <c r="A17155" s="286"/>
    </row>
    <row r="17156" spans="1:1" s="287" customFormat="1" ht="12" hidden="1" customHeight="1">
      <c r="A17156" s="286"/>
    </row>
    <row r="17157" spans="1:1" s="287" customFormat="1" ht="12" hidden="1" customHeight="1">
      <c r="A17157" s="286"/>
    </row>
    <row r="17158" spans="1:1" s="287" customFormat="1" ht="12" hidden="1" customHeight="1">
      <c r="A17158" s="286"/>
    </row>
    <row r="17159" spans="1:1" s="287" customFormat="1" ht="12" hidden="1" customHeight="1">
      <c r="A17159" s="286"/>
    </row>
    <row r="17160" spans="1:1" s="287" customFormat="1" ht="12" hidden="1" customHeight="1">
      <c r="A17160" s="286"/>
    </row>
    <row r="17161" spans="1:1" s="287" customFormat="1" ht="12" hidden="1" customHeight="1">
      <c r="A17161" s="286"/>
    </row>
    <row r="17162" spans="1:1" s="287" customFormat="1" ht="12" hidden="1" customHeight="1">
      <c r="A17162" s="286"/>
    </row>
    <row r="17163" spans="1:1" s="287" customFormat="1" ht="12" hidden="1" customHeight="1">
      <c r="A17163" s="286"/>
    </row>
    <row r="17164" spans="1:1" s="287" customFormat="1" ht="12" hidden="1" customHeight="1">
      <c r="A17164" s="286"/>
    </row>
    <row r="17165" spans="1:1" s="287" customFormat="1" ht="12" hidden="1" customHeight="1">
      <c r="A17165" s="286"/>
    </row>
    <row r="17166" spans="1:1" s="287" customFormat="1" ht="12" hidden="1" customHeight="1">
      <c r="A17166" s="286"/>
    </row>
    <row r="17167" spans="1:1" s="287" customFormat="1" ht="12" hidden="1" customHeight="1">
      <c r="A17167" s="286"/>
    </row>
    <row r="17168" spans="1:1" s="287" customFormat="1" ht="12" hidden="1" customHeight="1">
      <c r="A17168" s="286"/>
    </row>
    <row r="17169" spans="1:1" s="287" customFormat="1" ht="12" hidden="1" customHeight="1">
      <c r="A17169" s="286"/>
    </row>
    <row r="17170" spans="1:1" s="287" customFormat="1" ht="12" hidden="1" customHeight="1">
      <c r="A17170" s="286"/>
    </row>
    <row r="17171" spans="1:1" s="287" customFormat="1" ht="12" hidden="1" customHeight="1">
      <c r="A17171" s="286"/>
    </row>
    <row r="17172" spans="1:1" s="287" customFormat="1" ht="12" hidden="1" customHeight="1">
      <c r="A17172" s="286"/>
    </row>
    <row r="17173" spans="1:1" s="287" customFormat="1" ht="12" hidden="1" customHeight="1">
      <c r="A17173" s="286"/>
    </row>
    <row r="17174" spans="1:1" s="287" customFormat="1" ht="12" hidden="1" customHeight="1">
      <c r="A17174" s="286"/>
    </row>
    <row r="17175" spans="1:1" s="287" customFormat="1" ht="12" hidden="1" customHeight="1">
      <c r="A17175" s="286"/>
    </row>
    <row r="17176" spans="1:1" s="287" customFormat="1" ht="12" hidden="1" customHeight="1">
      <c r="A17176" s="286"/>
    </row>
    <row r="17177" spans="1:1" s="287" customFormat="1" ht="12" hidden="1" customHeight="1">
      <c r="A17177" s="286"/>
    </row>
    <row r="17178" spans="1:1" s="287" customFormat="1" ht="12" hidden="1" customHeight="1">
      <c r="A17178" s="286"/>
    </row>
    <row r="17179" spans="1:1" s="287" customFormat="1" ht="12" hidden="1" customHeight="1">
      <c r="A17179" s="286"/>
    </row>
    <row r="17180" spans="1:1" s="287" customFormat="1" ht="12" hidden="1" customHeight="1">
      <c r="A17180" s="286"/>
    </row>
    <row r="17181" spans="1:1" s="287" customFormat="1" ht="12" hidden="1" customHeight="1">
      <c r="A17181" s="286"/>
    </row>
    <row r="17182" spans="1:1" s="287" customFormat="1" ht="12" hidden="1" customHeight="1">
      <c r="A17182" s="286"/>
    </row>
    <row r="17183" spans="1:1" s="287" customFormat="1" ht="12" hidden="1" customHeight="1">
      <c r="A17183" s="286"/>
    </row>
    <row r="17184" spans="1:1" s="287" customFormat="1" ht="12" hidden="1" customHeight="1">
      <c r="A17184" s="286"/>
    </row>
    <row r="17185" spans="1:1" s="287" customFormat="1" ht="12" hidden="1" customHeight="1">
      <c r="A17185" s="286"/>
    </row>
    <row r="17186" spans="1:1" s="287" customFormat="1" ht="12" hidden="1" customHeight="1">
      <c r="A17186" s="286"/>
    </row>
    <row r="17187" spans="1:1" s="287" customFormat="1" ht="12" hidden="1" customHeight="1">
      <c r="A17187" s="286"/>
    </row>
    <row r="17188" spans="1:1" s="287" customFormat="1" ht="12" hidden="1" customHeight="1">
      <c r="A17188" s="286"/>
    </row>
    <row r="17189" spans="1:1" s="287" customFormat="1" ht="12" hidden="1" customHeight="1">
      <c r="A17189" s="286"/>
    </row>
    <row r="17190" spans="1:1" s="287" customFormat="1" ht="12" hidden="1" customHeight="1">
      <c r="A17190" s="286"/>
    </row>
    <row r="17191" spans="1:1" s="287" customFormat="1" ht="12" hidden="1" customHeight="1">
      <c r="A17191" s="286"/>
    </row>
    <row r="17192" spans="1:1" s="287" customFormat="1" ht="12" hidden="1" customHeight="1">
      <c r="A17192" s="286"/>
    </row>
    <row r="17193" spans="1:1" s="287" customFormat="1" ht="12" hidden="1" customHeight="1">
      <c r="A17193" s="286"/>
    </row>
    <row r="17194" spans="1:1" s="287" customFormat="1" ht="12" hidden="1" customHeight="1">
      <c r="A17194" s="286"/>
    </row>
    <row r="17195" spans="1:1" s="287" customFormat="1" ht="12" hidden="1" customHeight="1">
      <c r="A17195" s="286"/>
    </row>
    <row r="17196" spans="1:1" s="287" customFormat="1" ht="12" hidden="1" customHeight="1">
      <c r="A17196" s="286"/>
    </row>
    <row r="17197" spans="1:1" s="287" customFormat="1" ht="12" hidden="1" customHeight="1">
      <c r="A17197" s="286"/>
    </row>
    <row r="17198" spans="1:1" s="287" customFormat="1" ht="12" hidden="1" customHeight="1">
      <c r="A17198" s="286"/>
    </row>
    <row r="17199" spans="1:1" s="287" customFormat="1" ht="12" hidden="1" customHeight="1">
      <c r="A17199" s="286"/>
    </row>
    <row r="17200" spans="1:1" s="287" customFormat="1" ht="12" hidden="1" customHeight="1">
      <c r="A17200" s="286"/>
    </row>
    <row r="17201" spans="1:1" s="287" customFormat="1" ht="12" hidden="1" customHeight="1">
      <c r="A17201" s="286"/>
    </row>
    <row r="17202" spans="1:1" s="287" customFormat="1" ht="12" hidden="1" customHeight="1">
      <c r="A17202" s="286"/>
    </row>
    <row r="17203" spans="1:1" s="287" customFormat="1" ht="12" hidden="1" customHeight="1">
      <c r="A17203" s="286"/>
    </row>
    <row r="17204" spans="1:1" s="287" customFormat="1" ht="12" hidden="1" customHeight="1">
      <c r="A17204" s="286"/>
    </row>
    <row r="17205" spans="1:1" s="287" customFormat="1" ht="12" hidden="1" customHeight="1">
      <c r="A17205" s="286"/>
    </row>
    <row r="17206" spans="1:1" s="287" customFormat="1" ht="12" hidden="1" customHeight="1">
      <c r="A17206" s="286"/>
    </row>
    <row r="17207" spans="1:1" s="287" customFormat="1" ht="12" hidden="1" customHeight="1">
      <c r="A17207" s="286"/>
    </row>
    <row r="17208" spans="1:1" s="287" customFormat="1" ht="12" hidden="1" customHeight="1">
      <c r="A17208" s="286"/>
    </row>
    <row r="17209" spans="1:1" s="287" customFormat="1" ht="12" hidden="1" customHeight="1">
      <c r="A17209" s="286"/>
    </row>
    <row r="17210" spans="1:1" s="287" customFormat="1" ht="12" hidden="1" customHeight="1">
      <c r="A17210" s="286"/>
    </row>
    <row r="17211" spans="1:1" s="287" customFormat="1" ht="12" hidden="1" customHeight="1">
      <c r="A17211" s="286"/>
    </row>
    <row r="17212" spans="1:1" s="287" customFormat="1" ht="12" hidden="1" customHeight="1">
      <c r="A17212" s="286"/>
    </row>
    <row r="17213" spans="1:1" s="287" customFormat="1" ht="12" hidden="1" customHeight="1">
      <c r="A17213" s="286"/>
    </row>
    <row r="17214" spans="1:1" s="287" customFormat="1" ht="12" hidden="1" customHeight="1">
      <c r="A17214" s="286"/>
    </row>
    <row r="17215" spans="1:1" s="287" customFormat="1" ht="12" hidden="1" customHeight="1">
      <c r="A17215" s="286"/>
    </row>
    <row r="17216" spans="1:1" s="287" customFormat="1" ht="12" hidden="1" customHeight="1">
      <c r="A17216" s="286"/>
    </row>
    <row r="17217" spans="1:1" s="287" customFormat="1" ht="12" hidden="1" customHeight="1">
      <c r="A17217" s="286"/>
    </row>
    <row r="17218" spans="1:1" s="287" customFormat="1" ht="12" hidden="1" customHeight="1">
      <c r="A17218" s="286"/>
    </row>
    <row r="17219" spans="1:1" s="287" customFormat="1" ht="12" hidden="1" customHeight="1">
      <c r="A17219" s="286"/>
    </row>
    <row r="17220" spans="1:1" s="287" customFormat="1" ht="12" hidden="1" customHeight="1">
      <c r="A17220" s="286"/>
    </row>
    <row r="17221" spans="1:1" s="287" customFormat="1" ht="12" hidden="1" customHeight="1">
      <c r="A17221" s="286"/>
    </row>
    <row r="17222" spans="1:1" s="287" customFormat="1" ht="12" hidden="1" customHeight="1">
      <c r="A17222" s="286"/>
    </row>
    <row r="17223" spans="1:1" s="287" customFormat="1" ht="12" hidden="1" customHeight="1">
      <c r="A17223" s="286"/>
    </row>
    <row r="17224" spans="1:1" s="287" customFormat="1" ht="12" hidden="1" customHeight="1">
      <c r="A17224" s="286"/>
    </row>
    <row r="17225" spans="1:1" s="287" customFormat="1" ht="12" hidden="1" customHeight="1">
      <c r="A17225" s="286"/>
    </row>
    <row r="17226" spans="1:1" s="287" customFormat="1" ht="12" hidden="1" customHeight="1">
      <c r="A17226" s="286"/>
    </row>
    <row r="17227" spans="1:1" s="287" customFormat="1" ht="12" hidden="1" customHeight="1">
      <c r="A17227" s="286"/>
    </row>
    <row r="17228" spans="1:1" s="287" customFormat="1" ht="12" hidden="1" customHeight="1">
      <c r="A17228" s="286"/>
    </row>
    <row r="17229" spans="1:1" s="287" customFormat="1" ht="12" hidden="1" customHeight="1">
      <c r="A17229" s="286"/>
    </row>
    <row r="17230" spans="1:1" s="287" customFormat="1" ht="12" hidden="1" customHeight="1">
      <c r="A17230" s="286"/>
    </row>
    <row r="17231" spans="1:1" s="287" customFormat="1" ht="12" hidden="1" customHeight="1">
      <c r="A17231" s="286"/>
    </row>
    <row r="17232" spans="1:1" s="287" customFormat="1" ht="12" hidden="1" customHeight="1">
      <c r="A17232" s="286"/>
    </row>
    <row r="17233" spans="1:1" s="287" customFormat="1" ht="12" hidden="1" customHeight="1">
      <c r="A17233" s="286"/>
    </row>
    <row r="17234" spans="1:1" s="287" customFormat="1" ht="12" hidden="1" customHeight="1">
      <c r="A17234" s="286"/>
    </row>
    <row r="17235" spans="1:1" s="287" customFormat="1" ht="12" hidden="1" customHeight="1">
      <c r="A17235" s="286"/>
    </row>
    <row r="17236" spans="1:1" s="287" customFormat="1" ht="12" hidden="1" customHeight="1">
      <c r="A17236" s="286"/>
    </row>
    <row r="17237" spans="1:1" s="287" customFormat="1" ht="12" hidden="1" customHeight="1">
      <c r="A17237" s="286"/>
    </row>
    <row r="17238" spans="1:1" s="287" customFormat="1" ht="12" hidden="1" customHeight="1">
      <c r="A17238" s="286"/>
    </row>
    <row r="17239" spans="1:1" s="287" customFormat="1" ht="12" hidden="1" customHeight="1">
      <c r="A17239" s="286"/>
    </row>
    <row r="17240" spans="1:1" s="287" customFormat="1" ht="12" hidden="1" customHeight="1">
      <c r="A17240" s="286"/>
    </row>
    <row r="17241" spans="1:1" s="287" customFormat="1" ht="12" hidden="1" customHeight="1">
      <c r="A17241" s="286"/>
    </row>
    <row r="17242" spans="1:1" s="287" customFormat="1" ht="12" hidden="1" customHeight="1">
      <c r="A17242" s="286"/>
    </row>
    <row r="17243" spans="1:1" s="287" customFormat="1" ht="12" hidden="1" customHeight="1">
      <c r="A17243" s="286"/>
    </row>
    <row r="17244" spans="1:1" s="287" customFormat="1" ht="12" hidden="1" customHeight="1">
      <c r="A17244" s="286"/>
    </row>
    <row r="17245" spans="1:1" s="287" customFormat="1" ht="12" hidden="1" customHeight="1">
      <c r="A17245" s="286"/>
    </row>
    <row r="17246" spans="1:1" s="287" customFormat="1" ht="12" hidden="1" customHeight="1">
      <c r="A17246" s="286"/>
    </row>
    <row r="17247" spans="1:1" s="287" customFormat="1" ht="12" hidden="1" customHeight="1">
      <c r="A17247" s="286"/>
    </row>
    <row r="17248" spans="1:1" s="287" customFormat="1" ht="12" hidden="1" customHeight="1">
      <c r="A17248" s="286"/>
    </row>
    <row r="17249" spans="1:1" s="287" customFormat="1" ht="12" hidden="1" customHeight="1">
      <c r="A17249" s="286"/>
    </row>
    <row r="17250" spans="1:1" s="287" customFormat="1" ht="12" hidden="1" customHeight="1">
      <c r="A17250" s="286"/>
    </row>
    <row r="17251" spans="1:1" s="287" customFormat="1" ht="12" hidden="1" customHeight="1">
      <c r="A17251" s="286"/>
    </row>
    <row r="17252" spans="1:1" s="287" customFormat="1" ht="12" hidden="1" customHeight="1">
      <c r="A17252" s="286"/>
    </row>
    <row r="17253" spans="1:1" s="287" customFormat="1" ht="12" hidden="1" customHeight="1">
      <c r="A17253" s="286"/>
    </row>
    <row r="17254" spans="1:1" s="287" customFormat="1" ht="12" hidden="1" customHeight="1">
      <c r="A17254" s="286"/>
    </row>
    <row r="17255" spans="1:1" s="287" customFormat="1" ht="12" hidden="1" customHeight="1">
      <c r="A17255" s="286"/>
    </row>
    <row r="17256" spans="1:1" s="287" customFormat="1" ht="12" hidden="1" customHeight="1">
      <c r="A17256" s="286"/>
    </row>
    <row r="17257" spans="1:1" s="287" customFormat="1" ht="12" hidden="1" customHeight="1">
      <c r="A17257" s="286"/>
    </row>
    <row r="17258" spans="1:1" s="287" customFormat="1" ht="12" hidden="1" customHeight="1">
      <c r="A17258" s="286"/>
    </row>
    <row r="17259" spans="1:1" s="287" customFormat="1" ht="12" hidden="1" customHeight="1">
      <c r="A17259" s="286"/>
    </row>
    <row r="17260" spans="1:1" s="287" customFormat="1" ht="12" hidden="1" customHeight="1">
      <c r="A17260" s="286"/>
    </row>
    <row r="17261" spans="1:1" s="287" customFormat="1" ht="12" hidden="1" customHeight="1">
      <c r="A17261" s="286"/>
    </row>
    <row r="17262" spans="1:1" s="287" customFormat="1" ht="12" hidden="1" customHeight="1">
      <c r="A17262" s="286"/>
    </row>
    <row r="17263" spans="1:1" s="287" customFormat="1" ht="12" hidden="1" customHeight="1">
      <c r="A17263" s="286"/>
    </row>
    <row r="17264" spans="1:1" s="287" customFormat="1" ht="12" hidden="1" customHeight="1">
      <c r="A17264" s="286"/>
    </row>
    <row r="17265" spans="1:1" s="287" customFormat="1" ht="12" hidden="1" customHeight="1">
      <c r="A17265" s="286"/>
    </row>
    <row r="17266" spans="1:1" s="287" customFormat="1" ht="12" hidden="1" customHeight="1">
      <c r="A17266" s="286"/>
    </row>
    <row r="17267" spans="1:1" s="287" customFormat="1" ht="12" hidden="1" customHeight="1">
      <c r="A17267" s="286"/>
    </row>
    <row r="17268" spans="1:1" s="287" customFormat="1" ht="12" hidden="1" customHeight="1">
      <c r="A17268" s="286"/>
    </row>
    <row r="17269" spans="1:1" s="287" customFormat="1" ht="12" hidden="1" customHeight="1">
      <c r="A17269" s="286"/>
    </row>
    <row r="17270" spans="1:1" s="287" customFormat="1" ht="12" hidden="1" customHeight="1">
      <c r="A17270" s="286"/>
    </row>
    <row r="17271" spans="1:1" s="287" customFormat="1" ht="12" hidden="1" customHeight="1">
      <c r="A17271" s="286"/>
    </row>
    <row r="17272" spans="1:1" s="287" customFormat="1" ht="12" hidden="1" customHeight="1">
      <c r="A17272" s="286"/>
    </row>
    <row r="17273" spans="1:1" s="287" customFormat="1" ht="12" hidden="1" customHeight="1">
      <c r="A17273" s="286"/>
    </row>
    <row r="17274" spans="1:1" s="287" customFormat="1" ht="12" hidden="1" customHeight="1">
      <c r="A17274" s="286"/>
    </row>
    <row r="17275" spans="1:1" s="287" customFormat="1" ht="12" hidden="1" customHeight="1">
      <c r="A17275" s="286"/>
    </row>
    <row r="17276" spans="1:1" s="287" customFormat="1" ht="12" hidden="1" customHeight="1">
      <c r="A17276" s="286"/>
    </row>
    <row r="17277" spans="1:1" s="287" customFormat="1" ht="12" hidden="1" customHeight="1">
      <c r="A17277" s="286"/>
    </row>
    <row r="17278" spans="1:1" s="287" customFormat="1" ht="12" hidden="1" customHeight="1">
      <c r="A17278" s="286"/>
    </row>
    <row r="17279" spans="1:1" s="287" customFormat="1" ht="12" hidden="1" customHeight="1">
      <c r="A17279" s="286"/>
    </row>
    <row r="17280" spans="1:1" s="287" customFormat="1" ht="12" hidden="1" customHeight="1">
      <c r="A17280" s="286"/>
    </row>
    <row r="17281" spans="1:1" s="287" customFormat="1" ht="12" hidden="1" customHeight="1">
      <c r="A17281" s="286"/>
    </row>
    <row r="17282" spans="1:1" s="287" customFormat="1" ht="12" hidden="1" customHeight="1">
      <c r="A17282" s="286"/>
    </row>
    <row r="17283" spans="1:1" s="287" customFormat="1" ht="12" hidden="1" customHeight="1">
      <c r="A17283" s="286"/>
    </row>
    <row r="17284" spans="1:1" s="287" customFormat="1" ht="12" hidden="1" customHeight="1">
      <c r="A17284" s="286"/>
    </row>
    <row r="17285" spans="1:1" s="287" customFormat="1" ht="12" hidden="1" customHeight="1">
      <c r="A17285" s="286"/>
    </row>
    <row r="17286" spans="1:1" s="287" customFormat="1" ht="12" hidden="1" customHeight="1">
      <c r="A17286" s="286"/>
    </row>
    <row r="17287" spans="1:1" s="287" customFormat="1" ht="12" hidden="1" customHeight="1">
      <c r="A17287" s="286"/>
    </row>
    <row r="17288" spans="1:1" s="287" customFormat="1" ht="12" hidden="1" customHeight="1">
      <c r="A17288" s="286"/>
    </row>
    <row r="17289" spans="1:1" s="287" customFormat="1" ht="12" hidden="1" customHeight="1">
      <c r="A17289" s="286"/>
    </row>
    <row r="17290" spans="1:1" s="287" customFormat="1" ht="12" hidden="1" customHeight="1">
      <c r="A17290" s="286"/>
    </row>
    <row r="17291" spans="1:1" s="287" customFormat="1" ht="12" hidden="1" customHeight="1">
      <c r="A17291" s="286"/>
    </row>
    <row r="17292" spans="1:1" s="287" customFormat="1" ht="12" hidden="1" customHeight="1">
      <c r="A17292" s="286"/>
    </row>
    <row r="17293" spans="1:1" s="287" customFormat="1" ht="12" hidden="1" customHeight="1">
      <c r="A17293" s="286"/>
    </row>
    <row r="17294" spans="1:1" s="287" customFormat="1" ht="12" hidden="1" customHeight="1">
      <c r="A17294" s="286"/>
    </row>
    <row r="17295" spans="1:1" s="287" customFormat="1" ht="12" hidden="1" customHeight="1">
      <c r="A17295" s="286"/>
    </row>
    <row r="17296" spans="1:1" s="287" customFormat="1" ht="12" hidden="1" customHeight="1">
      <c r="A17296" s="286"/>
    </row>
    <row r="17297" spans="1:1" s="287" customFormat="1" ht="12" hidden="1" customHeight="1">
      <c r="A17297" s="286"/>
    </row>
    <row r="17298" spans="1:1" s="287" customFormat="1" ht="12" hidden="1" customHeight="1">
      <c r="A17298" s="286"/>
    </row>
    <row r="17299" spans="1:1" s="287" customFormat="1" ht="12" hidden="1" customHeight="1">
      <c r="A17299" s="286"/>
    </row>
    <row r="17300" spans="1:1" s="287" customFormat="1" ht="12" hidden="1" customHeight="1">
      <c r="A17300" s="286"/>
    </row>
    <row r="17301" spans="1:1" s="287" customFormat="1" ht="12" hidden="1" customHeight="1">
      <c r="A17301" s="286"/>
    </row>
    <row r="17302" spans="1:1" s="287" customFormat="1" ht="12" hidden="1" customHeight="1">
      <c r="A17302" s="286"/>
    </row>
    <row r="17303" spans="1:1" s="287" customFormat="1" ht="12" hidden="1" customHeight="1">
      <c r="A17303" s="286"/>
    </row>
    <row r="17304" spans="1:1" s="287" customFormat="1" ht="12" hidden="1" customHeight="1">
      <c r="A17304" s="286"/>
    </row>
    <row r="17305" spans="1:1" s="287" customFormat="1" ht="12" hidden="1" customHeight="1">
      <c r="A17305" s="286"/>
    </row>
    <row r="17306" spans="1:1" s="287" customFormat="1" ht="12" hidden="1" customHeight="1">
      <c r="A17306" s="286"/>
    </row>
    <row r="17307" spans="1:1" s="287" customFormat="1" ht="12" hidden="1" customHeight="1">
      <c r="A17307" s="286"/>
    </row>
    <row r="17308" spans="1:1" s="287" customFormat="1" ht="12" hidden="1" customHeight="1">
      <c r="A17308" s="286"/>
    </row>
    <row r="17309" spans="1:1" s="287" customFormat="1" ht="12" hidden="1" customHeight="1">
      <c r="A17309" s="286"/>
    </row>
    <row r="17310" spans="1:1" s="287" customFormat="1" ht="12" hidden="1" customHeight="1">
      <c r="A17310" s="286"/>
    </row>
    <row r="17311" spans="1:1" s="287" customFormat="1" ht="12" hidden="1" customHeight="1">
      <c r="A17311" s="286"/>
    </row>
    <row r="17312" spans="1:1" s="287" customFormat="1" ht="12" hidden="1" customHeight="1">
      <c r="A17312" s="286"/>
    </row>
    <row r="17313" spans="1:1" s="287" customFormat="1" ht="12" hidden="1" customHeight="1">
      <c r="A17313" s="286"/>
    </row>
    <row r="17314" spans="1:1" s="287" customFormat="1" ht="12" hidden="1" customHeight="1">
      <c r="A17314" s="286"/>
    </row>
    <row r="17315" spans="1:1" s="287" customFormat="1" ht="12" hidden="1" customHeight="1">
      <c r="A17315" s="286"/>
    </row>
    <row r="17316" spans="1:1" s="287" customFormat="1" ht="12" hidden="1" customHeight="1">
      <c r="A17316" s="286"/>
    </row>
    <row r="17317" spans="1:1" s="287" customFormat="1" ht="12" hidden="1" customHeight="1">
      <c r="A17317" s="286"/>
    </row>
    <row r="17318" spans="1:1" s="287" customFormat="1" ht="12" hidden="1" customHeight="1">
      <c r="A17318" s="286"/>
    </row>
    <row r="17319" spans="1:1" s="287" customFormat="1" ht="12" hidden="1" customHeight="1">
      <c r="A17319" s="286"/>
    </row>
    <row r="17320" spans="1:1" s="287" customFormat="1" ht="12" hidden="1" customHeight="1">
      <c r="A17320" s="286"/>
    </row>
    <row r="17321" spans="1:1" s="287" customFormat="1" ht="12" hidden="1" customHeight="1">
      <c r="A17321" s="286"/>
    </row>
    <row r="17322" spans="1:1" s="287" customFormat="1" ht="12" hidden="1" customHeight="1">
      <c r="A17322" s="286"/>
    </row>
    <row r="17323" spans="1:1" s="287" customFormat="1" ht="12" hidden="1" customHeight="1">
      <c r="A17323" s="286"/>
    </row>
    <row r="17324" spans="1:1" s="287" customFormat="1" ht="12" hidden="1" customHeight="1">
      <c r="A17324" s="286"/>
    </row>
    <row r="17325" spans="1:1" s="287" customFormat="1" ht="12" hidden="1" customHeight="1">
      <c r="A17325" s="286"/>
    </row>
    <row r="17326" spans="1:1" s="287" customFormat="1" ht="12" hidden="1" customHeight="1">
      <c r="A17326" s="286"/>
    </row>
    <row r="17327" spans="1:1" s="287" customFormat="1" ht="12" hidden="1" customHeight="1">
      <c r="A17327" s="286"/>
    </row>
    <row r="17328" spans="1:1" s="287" customFormat="1" ht="12" hidden="1" customHeight="1">
      <c r="A17328" s="286"/>
    </row>
    <row r="17329" spans="1:1" s="287" customFormat="1" ht="12" hidden="1" customHeight="1">
      <c r="A17329" s="286"/>
    </row>
    <row r="17330" spans="1:1" s="287" customFormat="1" ht="12" hidden="1" customHeight="1">
      <c r="A17330" s="286"/>
    </row>
    <row r="17331" spans="1:1" s="287" customFormat="1" ht="12" hidden="1" customHeight="1">
      <c r="A17331" s="286"/>
    </row>
    <row r="17332" spans="1:1" s="287" customFormat="1" ht="12" hidden="1" customHeight="1">
      <c r="A17332" s="286"/>
    </row>
    <row r="17333" spans="1:1" s="287" customFormat="1" ht="12" hidden="1" customHeight="1">
      <c r="A17333" s="286"/>
    </row>
    <row r="17334" spans="1:1" s="287" customFormat="1" ht="12" hidden="1" customHeight="1">
      <c r="A17334" s="286"/>
    </row>
    <row r="17335" spans="1:1" s="287" customFormat="1" ht="12" hidden="1" customHeight="1">
      <c r="A17335" s="286"/>
    </row>
    <row r="17336" spans="1:1" s="287" customFormat="1" ht="12" hidden="1" customHeight="1">
      <c r="A17336" s="286"/>
    </row>
    <row r="17337" spans="1:1" s="287" customFormat="1" ht="12" hidden="1" customHeight="1">
      <c r="A17337" s="286"/>
    </row>
    <row r="17338" spans="1:1" s="287" customFormat="1" ht="12" hidden="1" customHeight="1">
      <c r="A17338" s="286"/>
    </row>
    <row r="17339" spans="1:1" s="287" customFormat="1" ht="12" hidden="1" customHeight="1">
      <c r="A17339" s="286"/>
    </row>
    <row r="17340" spans="1:1" s="287" customFormat="1" ht="12" hidden="1" customHeight="1">
      <c r="A17340" s="286"/>
    </row>
    <row r="17341" spans="1:1" s="287" customFormat="1" ht="12" hidden="1" customHeight="1">
      <c r="A17341" s="286"/>
    </row>
    <row r="17342" spans="1:1" s="287" customFormat="1" ht="12" hidden="1" customHeight="1">
      <c r="A17342" s="286"/>
    </row>
    <row r="17343" spans="1:1" s="287" customFormat="1" ht="12" hidden="1" customHeight="1">
      <c r="A17343" s="286"/>
    </row>
    <row r="17344" spans="1:1" s="287" customFormat="1" ht="12" hidden="1" customHeight="1">
      <c r="A17344" s="286"/>
    </row>
    <row r="17345" spans="1:1" s="287" customFormat="1" ht="12" hidden="1" customHeight="1">
      <c r="A17345" s="286"/>
    </row>
    <row r="17346" spans="1:1" s="287" customFormat="1" ht="12" hidden="1" customHeight="1">
      <c r="A17346" s="286"/>
    </row>
    <row r="17347" spans="1:1" s="287" customFormat="1" ht="12" hidden="1" customHeight="1">
      <c r="A17347" s="286"/>
    </row>
    <row r="17348" spans="1:1" s="287" customFormat="1" ht="12" hidden="1" customHeight="1">
      <c r="A17348" s="286"/>
    </row>
    <row r="17349" spans="1:1" s="287" customFormat="1" ht="12" hidden="1" customHeight="1">
      <c r="A17349" s="286"/>
    </row>
    <row r="17350" spans="1:1" s="287" customFormat="1" ht="12" hidden="1" customHeight="1">
      <c r="A17350" s="286"/>
    </row>
    <row r="17351" spans="1:1" s="287" customFormat="1" ht="12" hidden="1" customHeight="1">
      <c r="A17351" s="286"/>
    </row>
    <row r="17352" spans="1:1" s="287" customFormat="1" ht="12" hidden="1" customHeight="1">
      <c r="A17352" s="286"/>
    </row>
    <row r="17353" spans="1:1" s="287" customFormat="1" ht="12" hidden="1" customHeight="1">
      <c r="A17353" s="286"/>
    </row>
    <row r="17354" spans="1:1" s="287" customFormat="1" ht="12" hidden="1" customHeight="1">
      <c r="A17354" s="286"/>
    </row>
    <row r="17355" spans="1:1" s="287" customFormat="1" ht="12" hidden="1" customHeight="1">
      <c r="A17355" s="286"/>
    </row>
    <row r="17356" spans="1:1" s="287" customFormat="1" ht="12" hidden="1" customHeight="1">
      <c r="A17356" s="286"/>
    </row>
    <row r="17357" spans="1:1" s="287" customFormat="1" ht="12" hidden="1" customHeight="1">
      <c r="A17357" s="286"/>
    </row>
    <row r="17358" spans="1:1" s="287" customFormat="1" ht="12" hidden="1" customHeight="1">
      <c r="A17358" s="286"/>
    </row>
    <row r="17359" spans="1:1" s="287" customFormat="1" ht="12" hidden="1" customHeight="1">
      <c r="A17359" s="286"/>
    </row>
    <row r="17360" spans="1:1" s="287" customFormat="1" ht="12" hidden="1" customHeight="1">
      <c r="A17360" s="286"/>
    </row>
    <row r="17361" spans="1:1" s="287" customFormat="1" ht="12" hidden="1" customHeight="1">
      <c r="A17361" s="286"/>
    </row>
    <row r="17362" spans="1:1" s="287" customFormat="1" ht="12" hidden="1" customHeight="1">
      <c r="A17362" s="286"/>
    </row>
    <row r="17363" spans="1:1" s="287" customFormat="1" ht="12" hidden="1" customHeight="1">
      <c r="A17363" s="286"/>
    </row>
    <row r="17364" spans="1:1" s="287" customFormat="1" ht="12" hidden="1" customHeight="1">
      <c r="A17364" s="286"/>
    </row>
    <row r="17365" spans="1:1" s="287" customFormat="1" ht="12" hidden="1" customHeight="1">
      <c r="A17365" s="286"/>
    </row>
    <row r="17366" spans="1:1" s="287" customFormat="1" ht="12" hidden="1" customHeight="1">
      <c r="A17366" s="286"/>
    </row>
    <row r="17367" spans="1:1" s="287" customFormat="1" ht="12" hidden="1" customHeight="1">
      <c r="A17367" s="286"/>
    </row>
    <row r="17368" spans="1:1" s="287" customFormat="1" ht="12" hidden="1" customHeight="1">
      <c r="A17368" s="286"/>
    </row>
    <row r="17369" spans="1:1" s="287" customFormat="1" ht="12" hidden="1" customHeight="1">
      <c r="A17369" s="286"/>
    </row>
    <row r="17370" spans="1:1" s="287" customFormat="1" ht="12" hidden="1" customHeight="1">
      <c r="A17370" s="286"/>
    </row>
    <row r="17371" spans="1:1" s="287" customFormat="1" ht="12" hidden="1" customHeight="1">
      <c r="A17371" s="286"/>
    </row>
    <row r="17372" spans="1:1" s="287" customFormat="1" ht="12" hidden="1" customHeight="1">
      <c r="A17372" s="286"/>
    </row>
    <row r="17373" spans="1:1" s="287" customFormat="1" ht="12" hidden="1" customHeight="1">
      <c r="A17373" s="286"/>
    </row>
    <row r="17374" spans="1:1" s="287" customFormat="1" ht="12" hidden="1" customHeight="1">
      <c r="A17374" s="286"/>
    </row>
    <row r="17375" spans="1:1" s="287" customFormat="1" ht="12" hidden="1" customHeight="1">
      <c r="A17375" s="286"/>
    </row>
    <row r="17376" spans="1:1" s="287" customFormat="1" ht="12" hidden="1" customHeight="1">
      <c r="A17376" s="286"/>
    </row>
    <row r="17377" spans="1:1" s="287" customFormat="1" ht="12" hidden="1" customHeight="1">
      <c r="A17377" s="286"/>
    </row>
    <row r="17378" spans="1:1" s="287" customFormat="1" ht="12" hidden="1" customHeight="1">
      <c r="A17378" s="286"/>
    </row>
    <row r="17379" spans="1:1" s="287" customFormat="1" ht="12" hidden="1" customHeight="1">
      <c r="A17379" s="286"/>
    </row>
    <row r="17380" spans="1:1" s="287" customFormat="1" ht="12" hidden="1" customHeight="1">
      <c r="A17380" s="286"/>
    </row>
    <row r="17381" spans="1:1" s="287" customFormat="1" ht="12" hidden="1" customHeight="1">
      <c r="A17381" s="286"/>
    </row>
    <row r="17382" spans="1:1" s="287" customFormat="1" ht="12" hidden="1" customHeight="1">
      <c r="A17382" s="286"/>
    </row>
    <row r="17383" spans="1:1" s="287" customFormat="1" ht="12" hidden="1" customHeight="1">
      <c r="A17383" s="286"/>
    </row>
    <row r="17384" spans="1:1" s="287" customFormat="1" ht="12" hidden="1" customHeight="1">
      <c r="A17384" s="286"/>
    </row>
    <row r="17385" spans="1:1" s="287" customFormat="1" ht="12" hidden="1" customHeight="1">
      <c r="A17385" s="286"/>
    </row>
    <row r="17386" spans="1:1" s="287" customFormat="1" ht="12" hidden="1" customHeight="1">
      <c r="A17386" s="286"/>
    </row>
    <row r="17387" spans="1:1" s="287" customFormat="1" ht="12" hidden="1" customHeight="1">
      <c r="A17387" s="286"/>
    </row>
    <row r="17388" spans="1:1" s="287" customFormat="1" ht="12" hidden="1" customHeight="1">
      <c r="A17388" s="286"/>
    </row>
    <row r="17389" spans="1:1" s="287" customFormat="1" ht="12" hidden="1" customHeight="1">
      <c r="A17389" s="286"/>
    </row>
    <row r="17390" spans="1:1" s="287" customFormat="1" ht="12" hidden="1" customHeight="1">
      <c r="A17390" s="286"/>
    </row>
    <row r="17391" spans="1:1" s="287" customFormat="1" ht="12" hidden="1" customHeight="1">
      <c r="A17391" s="286"/>
    </row>
    <row r="17392" spans="1:1" s="287" customFormat="1" ht="12" hidden="1" customHeight="1">
      <c r="A17392" s="286"/>
    </row>
    <row r="17393" spans="1:1" s="287" customFormat="1" ht="12" hidden="1" customHeight="1">
      <c r="A17393" s="286"/>
    </row>
    <row r="17394" spans="1:1" s="287" customFormat="1" ht="12" hidden="1" customHeight="1">
      <c r="A17394" s="286"/>
    </row>
    <row r="17395" spans="1:1" s="287" customFormat="1" ht="12" hidden="1" customHeight="1">
      <c r="A17395" s="286"/>
    </row>
    <row r="17396" spans="1:1" s="287" customFormat="1" ht="12" hidden="1" customHeight="1">
      <c r="A17396" s="286"/>
    </row>
    <row r="17397" spans="1:1" s="287" customFormat="1" ht="12" hidden="1" customHeight="1">
      <c r="A17397" s="286"/>
    </row>
    <row r="17398" spans="1:1" s="287" customFormat="1" ht="12" hidden="1" customHeight="1">
      <c r="A17398" s="286"/>
    </row>
    <row r="17399" spans="1:1" s="287" customFormat="1" ht="12" hidden="1" customHeight="1">
      <c r="A17399" s="286"/>
    </row>
    <row r="17400" spans="1:1" s="287" customFormat="1" ht="12" hidden="1" customHeight="1">
      <c r="A17400" s="286"/>
    </row>
    <row r="17401" spans="1:1" s="287" customFormat="1" ht="12" hidden="1" customHeight="1">
      <c r="A17401" s="286"/>
    </row>
    <row r="17402" spans="1:1" s="287" customFormat="1" ht="12" hidden="1" customHeight="1">
      <c r="A17402" s="286"/>
    </row>
    <row r="17403" spans="1:1" s="287" customFormat="1" ht="12" hidden="1" customHeight="1">
      <c r="A17403" s="286"/>
    </row>
    <row r="17404" spans="1:1" s="287" customFormat="1" ht="12" hidden="1" customHeight="1">
      <c r="A17404" s="286"/>
    </row>
    <row r="17405" spans="1:1" s="287" customFormat="1" ht="12" hidden="1" customHeight="1">
      <c r="A17405" s="286"/>
    </row>
    <row r="17406" spans="1:1" s="287" customFormat="1" ht="12" hidden="1" customHeight="1">
      <c r="A17406" s="286"/>
    </row>
    <row r="17407" spans="1:1" s="287" customFormat="1" ht="12" hidden="1" customHeight="1">
      <c r="A17407" s="286"/>
    </row>
    <row r="17408" spans="1:1" s="287" customFormat="1" ht="12" hidden="1" customHeight="1">
      <c r="A17408" s="286"/>
    </row>
    <row r="17409" spans="1:1" s="287" customFormat="1" ht="12" hidden="1" customHeight="1">
      <c r="A17409" s="286"/>
    </row>
    <row r="17410" spans="1:1" s="287" customFormat="1" ht="12" hidden="1" customHeight="1">
      <c r="A17410" s="286"/>
    </row>
    <row r="17411" spans="1:1" s="287" customFormat="1" ht="12" hidden="1" customHeight="1">
      <c r="A17411" s="286"/>
    </row>
    <row r="17412" spans="1:1" s="287" customFormat="1" ht="12" hidden="1" customHeight="1">
      <c r="A17412" s="286"/>
    </row>
    <row r="17413" spans="1:1" s="287" customFormat="1" ht="12" hidden="1" customHeight="1">
      <c r="A17413" s="286"/>
    </row>
    <row r="17414" spans="1:1" s="287" customFormat="1" ht="12" hidden="1" customHeight="1">
      <c r="A17414" s="286"/>
    </row>
    <row r="17415" spans="1:1" s="287" customFormat="1" ht="12" hidden="1" customHeight="1">
      <c r="A17415" s="286"/>
    </row>
    <row r="17416" spans="1:1" s="287" customFormat="1" ht="12" hidden="1" customHeight="1">
      <c r="A17416" s="286"/>
    </row>
    <row r="17417" spans="1:1" s="287" customFormat="1" ht="12" hidden="1" customHeight="1">
      <c r="A17417" s="286"/>
    </row>
    <row r="17418" spans="1:1" s="287" customFormat="1" ht="12" hidden="1" customHeight="1">
      <c r="A17418" s="286"/>
    </row>
    <row r="17419" spans="1:1" s="287" customFormat="1" ht="12" hidden="1" customHeight="1">
      <c r="A17419" s="286"/>
    </row>
    <row r="17420" spans="1:1" s="287" customFormat="1" ht="12" hidden="1" customHeight="1">
      <c r="A17420" s="286"/>
    </row>
    <row r="17421" spans="1:1" s="287" customFormat="1" ht="12" hidden="1" customHeight="1">
      <c r="A17421" s="286"/>
    </row>
    <row r="17422" spans="1:1" s="287" customFormat="1" ht="12" hidden="1" customHeight="1">
      <c r="A17422" s="286"/>
    </row>
    <row r="17423" spans="1:1" s="287" customFormat="1" ht="12" hidden="1" customHeight="1">
      <c r="A17423" s="286"/>
    </row>
    <row r="17424" spans="1:1" s="287" customFormat="1" ht="12" hidden="1" customHeight="1">
      <c r="A17424" s="286"/>
    </row>
    <row r="17425" spans="1:1" s="287" customFormat="1" ht="12" hidden="1" customHeight="1">
      <c r="A17425" s="286"/>
    </row>
    <row r="17426" spans="1:1" s="287" customFormat="1" ht="12" hidden="1" customHeight="1">
      <c r="A17426" s="286"/>
    </row>
    <row r="17427" spans="1:1" s="287" customFormat="1" ht="12" hidden="1" customHeight="1">
      <c r="A17427" s="286"/>
    </row>
    <row r="17428" spans="1:1" s="287" customFormat="1" ht="12" hidden="1" customHeight="1">
      <c r="A17428" s="286"/>
    </row>
    <row r="17429" spans="1:1" s="287" customFormat="1" ht="12" hidden="1" customHeight="1">
      <c r="A17429" s="286"/>
    </row>
    <row r="17430" spans="1:1" s="287" customFormat="1" ht="12" hidden="1" customHeight="1">
      <c r="A17430" s="286"/>
    </row>
    <row r="17431" spans="1:1" s="287" customFormat="1" ht="12" hidden="1" customHeight="1">
      <c r="A17431" s="286"/>
    </row>
    <row r="17432" spans="1:1" s="287" customFormat="1" ht="12" hidden="1" customHeight="1">
      <c r="A17432" s="286"/>
    </row>
    <row r="17433" spans="1:1" s="287" customFormat="1" ht="12" hidden="1" customHeight="1">
      <c r="A17433" s="286"/>
    </row>
    <row r="17434" spans="1:1" s="287" customFormat="1" ht="12" hidden="1" customHeight="1">
      <c r="A17434" s="286"/>
    </row>
    <row r="17435" spans="1:1" s="287" customFormat="1" ht="12" hidden="1" customHeight="1">
      <c r="A17435" s="286"/>
    </row>
    <row r="17436" spans="1:1" s="287" customFormat="1" ht="12" hidden="1" customHeight="1">
      <c r="A17436" s="286"/>
    </row>
    <row r="17437" spans="1:1" s="287" customFormat="1" ht="12" hidden="1" customHeight="1">
      <c r="A17437" s="286"/>
    </row>
    <row r="17438" spans="1:1" s="287" customFormat="1" ht="12" hidden="1" customHeight="1">
      <c r="A17438" s="286"/>
    </row>
    <row r="17439" spans="1:1" s="287" customFormat="1" ht="12" hidden="1" customHeight="1">
      <c r="A17439" s="286"/>
    </row>
    <row r="17440" spans="1:1" s="287" customFormat="1" ht="12" hidden="1" customHeight="1">
      <c r="A17440" s="286"/>
    </row>
    <row r="17441" spans="1:1" s="287" customFormat="1" ht="12" hidden="1" customHeight="1">
      <c r="A17441" s="286"/>
    </row>
    <row r="17442" spans="1:1" s="287" customFormat="1" ht="12" hidden="1" customHeight="1">
      <c r="A17442" s="286"/>
    </row>
    <row r="17443" spans="1:1" s="287" customFormat="1" ht="12" hidden="1" customHeight="1">
      <c r="A17443" s="286"/>
    </row>
    <row r="17444" spans="1:1" s="287" customFormat="1" ht="12" hidden="1" customHeight="1">
      <c r="A17444" s="286"/>
    </row>
    <row r="17445" spans="1:1" s="287" customFormat="1" ht="12" hidden="1" customHeight="1">
      <c r="A17445" s="286"/>
    </row>
    <row r="17446" spans="1:1" s="287" customFormat="1" ht="12" hidden="1" customHeight="1">
      <c r="A17446" s="286"/>
    </row>
    <row r="17447" spans="1:1" s="287" customFormat="1" ht="12" hidden="1" customHeight="1">
      <c r="A17447" s="286"/>
    </row>
    <row r="17448" spans="1:1" s="287" customFormat="1" ht="12" hidden="1" customHeight="1">
      <c r="A17448" s="286"/>
    </row>
    <row r="17449" spans="1:1" s="287" customFormat="1" ht="12" hidden="1" customHeight="1">
      <c r="A17449" s="286"/>
    </row>
    <row r="17450" spans="1:1" s="287" customFormat="1" ht="12" hidden="1" customHeight="1">
      <c r="A17450" s="286"/>
    </row>
    <row r="17451" spans="1:1" s="287" customFormat="1" ht="12" hidden="1" customHeight="1">
      <c r="A17451" s="286"/>
    </row>
    <row r="17452" spans="1:1" s="287" customFormat="1" ht="12" hidden="1" customHeight="1">
      <c r="A17452" s="286"/>
    </row>
    <row r="17453" spans="1:1" s="287" customFormat="1" ht="12" hidden="1" customHeight="1">
      <c r="A17453" s="286"/>
    </row>
    <row r="17454" spans="1:1" s="287" customFormat="1" ht="12" hidden="1" customHeight="1">
      <c r="A17454" s="286"/>
    </row>
    <row r="17455" spans="1:1" s="287" customFormat="1" ht="12" hidden="1" customHeight="1">
      <c r="A17455" s="286"/>
    </row>
    <row r="17456" spans="1:1" s="287" customFormat="1" ht="12" hidden="1" customHeight="1">
      <c r="A17456" s="286"/>
    </row>
    <row r="17457" spans="1:1" s="287" customFormat="1" ht="12" hidden="1" customHeight="1">
      <c r="A17457" s="286"/>
    </row>
    <row r="17458" spans="1:1" s="287" customFormat="1" ht="12" hidden="1" customHeight="1">
      <c r="A17458" s="286"/>
    </row>
    <row r="17459" spans="1:1" s="287" customFormat="1" ht="12" hidden="1" customHeight="1">
      <c r="A17459" s="286"/>
    </row>
    <row r="17460" spans="1:1" s="287" customFormat="1" ht="12" hidden="1" customHeight="1">
      <c r="A17460" s="286"/>
    </row>
    <row r="17461" spans="1:1" s="287" customFormat="1" ht="12" hidden="1" customHeight="1">
      <c r="A17461" s="286"/>
    </row>
    <row r="17462" spans="1:1" s="287" customFormat="1" ht="12" hidden="1" customHeight="1">
      <c r="A17462" s="286"/>
    </row>
    <row r="17463" spans="1:1" s="287" customFormat="1" ht="12" hidden="1" customHeight="1">
      <c r="A17463" s="286"/>
    </row>
    <row r="17464" spans="1:1" s="287" customFormat="1" ht="12" hidden="1" customHeight="1">
      <c r="A17464" s="286"/>
    </row>
    <row r="17465" spans="1:1" s="287" customFormat="1" ht="12" hidden="1" customHeight="1">
      <c r="A17465" s="286"/>
    </row>
    <row r="17466" spans="1:1" s="287" customFormat="1" ht="12" hidden="1" customHeight="1">
      <c r="A17466" s="286"/>
    </row>
    <row r="17467" spans="1:1" s="287" customFormat="1" ht="12" hidden="1" customHeight="1">
      <c r="A17467" s="286"/>
    </row>
    <row r="17468" spans="1:1" s="287" customFormat="1" ht="12" hidden="1" customHeight="1">
      <c r="A17468" s="286"/>
    </row>
    <row r="17469" spans="1:1" s="287" customFormat="1" ht="12" hidden="1" customHeight="1">
      <c r="A17469" s="286"/>
    </row>
    <row r="17470" spans="1:1" s="287" customFormat="1" ht="12" hidden="1" customHeight="1">
      <c r="A17470" s="286"/>
    </row>
    <row r="17471" spans="1:1" s="287" customFormat="1" ht="12" hidden="1" customHeight="1">
      <c r="A17471" s="286"/>
    </row>
    <row r="17472" spans="1:1" s="287" customFormat="1" ht="12" hidden="1" customHeight="1">
      <c r="A17472" s="286"/>
    </row>
    <row r="17473" spans="1:1" s="287" customFormat="1" ht="12" hidden="1" customHeight="1">
      <c r="A17473" s="286"/>
    </row>
    <row r="17474" spans="1:1" s="287" customFormat="1" ht="12" hidden="1" customHeight="1">
      <c r="A17474" s="286"/>
    </row>
    <row r="17475" spans="1:1" s="287" customFormat="1" ht="12" hidden="1" customHeight="1">
      <c r="A17475" s="286"/>
    </row>
    <row r="17476" spans="1:1" s="287" customFormat="1" ht="12" hidden="1" customHeight="1">
      <c r="A17476" s="286"/>
    </row>
    <row r="17477" spans="1:1" s="287" customFormat="1" ht="12" hidden="1" customHeight="1">
      <c r="A17477" s="286"/>
    </row>
    <row r="17478" spans="1:1" s="287" customFormat="1" ht="12" hidden="1" customHeight="1">
      <c r="A17478" s="286"/>
    </row>
    <row r="17479" spans="1:1" s="287" customFormat="1" ht="12" hidden="1" customHeight="1">
      <c r="A17479" s="286"/>
    </row>
    <row r="17480" spans="1:1" s="287" customFormat="1" ht="12" hidden="1" customHeight="1">
      <c r="A17480" s="286"/>
    </row>
    <row r="17481" spans="1:1" s="287" customFormat="1" ht="12" hidden="1" customHeight="1">
      <c r="A17481" s="286"/>
    </row>
    <row r="17482" spans="1:1" s="287" customFormat="1" ht="12" hidden="1" customHeight="1">
      <c r="A17482" s="286"/>
    </row>
    <row r="17483" spans="1:1" s="287" customFormat="1" ht="12" hidden="1" customHeight="1">
      <c r="A17483" s="286"/>
    </row>
    <row r="17484" spans="1:1" s="287" customFormat="1" ht="12" hidden="1" customHeight="1">
      <c r="A17484" s="286"/>
    </row>
    <row r="17485" spans="1:1" s="287" customFormat="1" ht="12" hidden="1" customHeight="1">
      <c r="A17485" s="286"/>
    </row>
    <row r="17486" spans="1:1" s="287" customFormat="1" ht="12" hidden="1" customHeight="1">
      <c r="A17486" s="286"/>
    </row>
    <row r="17487" spans="1:1" s="287" customFormat="1" ht="12" hidden="1" customHeight="1">
      <c r="A17487" s="286"/>
    </row>
    <row r="17488" spans="1:1" s="287" customFormat="1" ht="12" hidden="1" customHeight="1">
      <c r="A17488" s="286"/>
    </row>
    <row r="17489" spans="1:1" s="287" customFormat="1" ht="12" hidden="1" customHeight="1">
      <c r="A17489" s="286"/>
    </row>
    <row r="17490" spans="1:1" s="287" customFormat="1" ht="12" hidden="1" customHeight="1">
      <c r="A17490" s="286"/>
    </row>
    <row r="17491" spans="1:1" s="287" customFormat="1" ht="12" hidden="1" customHeight="1">
      <c r="A17491" s="286"/>
    </row>
    <row r="17492" spans="1:1" s="287" customFormat="1" ht="12" hidden="1" customHeight="1">
      <c r="A17492" s="286"/>
    </row>
    <row r="17493" spans="1:1" s="287" customFormat="1" ht="12" hidden="1" customHeight="1">
      <c r="A17493" s="286"/>
    </row>
    <row r="17494" spans="1:1" s="287" customFormat="1" ht="12" hidden="1" customHeight="1">
      <c r="A17494" s="286"/>
    </row>
    <row r="17495" spans="1:1" s="287" customFormat="1" ht="12" hidden="1" customHeight="1">
      <c r="A17495" s="286"/>
    </row>
    <row r="17496" spans="1:1" s="287" customFormat="1" ht="12" hidden="1" customHeight="1">
      <c r="A17496" s="286"/>
    </row>
    <row r="17497" spans="1:1" s="287" customFormat="1" ht="12" hidden="1" customHeight="1">
      <c r="A17497" s="286"/>
    </row>
    <row r="17498" spans="1:1" s="287" customFormat="1" ht="12" hidden="1" customHeight="1">
      <c r="A17498" s="286"/>
    </row>
    <row r="17499" spans="1:1" s="287" customFormat="1" ht="12" hidden="1" customHeight="1">
      <c r="A17499" s="286"/>
    </row>
    <row r="17500" spans="1:1" s="287" customFormat="1" ht="12" hidden="1" customHeight="1">
      <c r="A17500" s="286"/>
    </row>
    <row r="17501" spans="1:1" s="287" customFormat="1" ht="12" hidden="1" customHeight="1">
      <c r="A17501" s="286"/>
    </row>
    <row r="17502" spans="1:1" s="287" customFormat="1" ht="12" hidden="1" customHeight="1">
      <c r="A17502" s="286"/>
    </row>
    <row r="17503" spans="1:1" s="287" customFormat="1" ht="12" hidden="1" customHeight="1">
      <c r="A17503" s="286"/>
    </row>
    <row r="17504" spans="1:1" s="287" customFormat="1" ht="12" hidden="1" customHeight="1">
      <c r="A17504" s="286"/>
    </row>
    <row r="17505" spans="1:1" s="287" customFormat="1" ht="12" hidden="1" customHeight="1">
      <c r="A17505" s="286"/>
    </row>
    <row r="17506" spans="1:1" s="287" customFormat="1" ht="12" hidden="1" customHeight="1">
      <c r="A17506" s="286"/>
    </row>
    <row r="17507" spans="1:1" s="287" customFormat="1" ht="12" hidden="1" customHeight="1">
      <c r="A17507" s="286"/>
    </row>
    <row r="17508" spans="1:1" s="287" customFormat="1" ht="12" hidden="1" customHeight="1">
      <c r="A17508" s="286"/>
    </row>
    <row r="17509" spans="1:1" s="287" customFormat="1" ht="12" hidden="1" customHeight="1">
      <c r="A17509" s="286"/>
    </row>
    <row r="17510" spans="1:1" s="287" customFormat="1" ht="12" hidden="1" customHeight="1">
      <c r="A17510" s="286"/>
    </row>
    <row r="17511" spans="1:1" s="287" customFormat="1" ht="12" hidden="1" customHeight="1">
      <c r="A17511" s="286"/>
    </row>
    <row r="17512" spans="1:1" s="287" customFormat="1" ht="12" hidden="1" customHeight="1">
      <c r="A17512" s="286"/>
    </row>
    <row r="17513" spans="1:1" s="287" customFormat="1" ht="12" hidden="1" customHeight="1">
      <c r="A17513" s="286"/>
    </row>
    <row r="17514" spans="1:1" s="287" customFormat="1" ht="12" hidden="1" customHeight="1">
      <c r="A17514" s="286"/>
    </row>
    <row r="17515" spans="1:1" s="287" customFormat="1" ht="12" hidden="1" customHeight="1">
      <c r="A17515" s="286"/>
    </row>
    <row r="17516" spans="1:1" s="287" customFormat="1" ht="12" hidden="1" customHeight="1">
      <c r="A17516" s="286"/>
    </row>
    <row r="17517" spans="1:1" s="287" customFormat="1" ht="12" hidden="1" customHeight="1">
      <c r="A17517" s="286"/>
    </row>
    <row r="17518" spans="1:1" s="287" customFormat="1" ht="12" hidden="1" customHeight="1">
      <c r="A17518" s="286"/>
    </row>
    <row r="17519" spans="1:1" s="287" customFormat="1" ht="12" hidden="1" customHeight="1">
      <c r="A17519" s="286"/>
    </row>
    <row r="17520" spans="1:1" s="287" customFormat="1" ht="12" hidden="1" customHeight="1">
      <c r="A17520" s="286"/>
    </row>
    <row r="17521" spans="1:1" s="287" customFormat="1" ht="12" hidden="1" customHeight="1">
      <c r="A17521" s="286"/>
    </row>
    <row r="17522" spans="1:1" s="287" customFormat="1" ht="12" hidden="1" customHeight="1">
      <c r="A17522" s="286"/>
    </row>
    <row r="17523" spans="1:1" s="287" customFormat="1" ht="12" hidden="1" customHeight="1">
      <c r="A17523" s="286"/>
    </row>
    <row r="17524" spans="1:1" s="287" customFormat="1" ht="12" hidden="1" customHeight="1">
      <c r="A17524" s="286"/>
    </row>
    <row r="17525" spans="1:1" s="287" customFormat="1" ht="12" hidden="1" customHeight="1">
      <c r="A17525" s="286"/>
    </row>
    <row r="17526" spans="1:1" s="287" customFormat="1" ht="12" hidden="1" customHeight="1">
      <c r="A17526" s="286"/>
    </row>
    <row r="17527" spans="1:1" s="287" customFormat="1" ht="12" hidden="1" customHeight="1">
      <c r="A17527" s="286"/>
    </row>
    <row r="17528" spans="1:1" s="287" customFormat="1" ht="12" hidden="1" customHeight="1">
      <c r="A17528" s="286"/>
    </row>
    <row r="17529" spans="1:1" s="287" customFormat="1" ht="12" hidden="1" customHeight="1">
      <c r="A17529" s="286"/>
    </row>
    <row r="17530" spans="1:1" s="287" customFormat="1" ht="12" hidden="1" customHeight="1">
      <c r="A17530" s="286"/>
    </row>
    <row r="17531" spans="1:1" s="287" customFormat="1" ht="12" hidden="1" customHeight="1">
      <c r="A17531" s="286"/>
    </row>
    <row r="17532" spans="1:1" s="287" customFormat="1" ht="12" hidden="1" customHeight="1">
      <c r="A17532" s="286"/>
    </row>
    <row r="17533" spans="1:1" s="287" customFormat="1" ht="12" hidden="1" customHeight="1">
      <c r="A17533" s="286"/>
    </row>
    <row r="17534" spans="1:1" s="287" customFormat="1" ht="12" hidden="1" customHeight="1">
      <c r="A17534" s="286"/>
    </row>
    <row r="17535" spans="1:1" s="287" customFormat="1" ht="12" hidden="1" customHeight="1">
      <c r="A17535" s="286"/>
    </row>
    <row r="17536" spans="1:1" s="287" customFormat="1" ht="12" hidden="1" customHeight="1">
      <c r="A17536" s="286"/>
    </row>
    <row r="17537" spans="1:1" s="287" customFormat="1" ht="12" hidden="1" customHeight="1">
      <c r="A17537" s="286"/>
    </row>
    <row r="17538" spans="1:1" s="287" customFormat="1" ht="12" hidden="1" customHeight="1">
      <c r="A17538" s="286"/>
    </row>
    <row r="17539" spans="1:1" s="287" customFormat="1" ht="12" hidden="1" customHeight="1">
      <c r="A17539" s="286"/>
    </row>
    <row r="17540" spans="1:1" s="287" customFormat="1" ht="12" hidden="1" customHeight="1">
      <c r="A17540" s="286"/>
    </row>
    <row r="17541" spans="1:1" s="287" customFormat="1" ht="12" hidden="1" customHeight="1">
      <c r="A17541" s="286"/>
    </row>
    <row r="17542" spans="1:1" s="287" customFormat="1" ht="12" hidden="1" customHeight="1">
      <c r="A17542" s="286"/>
    </row>
    <row r="17543" spans="1:1" s="287" customFormat="1" ht="12" hidden="1" customHeight="1">
      <c r="A17543" s="286"/>
    </row>
    <row r="17544" spans="1:1" s="287" customFormat="1" ht="12" hidden="1" customHeight="1">
      <c r="A17544" s="286"/>
    </row>
    <row r="17545" spans="1:1" s="287" customFormat="1" ht="12" hidden="1" customHeight="1">
      <c r="A17545" s="286"/>
    </row>
    <row r="17546" spans="1:1" s="287" customFormat="1" ht="12" hidden="1" customHeight="1">
      <c r="A17546" s="286"/>
    </row>
    <row r="17547" spans="1:1" s="287" customFormat="1" ht="12" hidden="1" customHeight="1">
      <c r="A17547" s="286"/>
    </row>
    <row r="17548" spans="1:1" s="287" customFormat="1" ht="12" hidden="1" customHeight="1">
      <c r="A17548" s="286"/>
    </row>
    <row r="17549" spans="1:1" s="287" customFormat="1" ht="12" hidden="1" customHeight="1">
      <c r="A17549" s="286"/>
    </row>
    <row r="17550" spans="1:1" s="287" customFormat="1" ht="12" hidden="1" customHeight="1">
      <c r="A17550" s="286"/>
    </row>
    <row r="17551" spans="1:1" s="287" customFormat="1" ht="12" hidden="1" customHeight="1">
      <c r="A17551" s="286"/>
    </row>
    <row r="17552" spans="1:1" s="287" customFormat="1" ht="12" hidden="1" customHeight="1">
      <c r="A17552" s="286"/>
    </row>
    <row r="17553" spans="1:1" s="287" customFormat="1" ht="12" hidden="1" customHeight="1">
      <c r="A17553" s="286"/>
    </row>
    <row r="17554" spans="1:1" s="287" customFormat="1" ht="12" hidden="1" customHeight="1">
      <c r="A17554" s="286"/>
    </row>
    <row r="17555" spans="1:1" s="287" customFormat="1" ht="12" hidden="1" customHeight="1">
      <c r="A17555" s="286"/>
    </row>
    <row r="17556" spans="1:1" s="287" customFormat="1" ht="12" hidden="1" customHeight="1">
      <c r="A17556" s="286"/>
    </row>
    <row r="17557" spans="1:1" s="287" customFormat="1" ht="12" hidden="1" customHeight="1">
      <c r="A17557" s="286"/>
    </row>
    <row r="17558" spans="1:1" s="287" customFormat="1" ht="12" hidden="1" customHeight="1">
      <c r="A17558" s="286"/>
    </row>
    <row r="17559" spans="1:1" s="287" customFormat="1" ht="12" hidden="1" customHeight="1">
      <c r="A17559" s="286"/>
    </row>
    <row r="17560" spans="1:1" s="287" customFormat="1" ht="12" hidden="1" customHeight="1">
      <c r="A17560" s="286"/>
    </row>
    <row r="17561" spans="1:1" s="287" customFormat="1" ht="12" hidden="1" customHeight="1">
      <c r="A17561" s="286"/>
    </row>
    <row r="17562" spans="1:1" s="287" customFormat="1" ht="12" hidden="1" customHeight="1">
      <c r="A17562" s="286"/>
    </row>
    <row r="17563" spans="1:1" s="287" customFormat="1" ht="12" hidden="1" customHeight="1">
      <c r="A17563" s="286"/>
    </row>
    <row r="17564" spans="1:1" s="287" customFormat="1" ht="12" hidden="1" customHeight="1">
      <c r="A17564" s="286"/>
    </row>
    <row r="17565" spans="1:1" s="287" customFormat="1" ht="12" hidden="1" customHeight="1">
      <c r="A17565" s="286"/>
    </row>
    <row r="17566" spans="1:1" s="287" customFormat="1" ht="12" hidden="1" customHeight="1">
      <c r="A17566" s="286"/>
    </row>
    <row r="17567" spans="1:1" s="287" customFormat="1" ht="12" hidden="1" customHeight="1">
      <c r="A17567" s="286"/>
    </row>
    <row r="17568" spans="1:1" s="287" customFormat="1" ht="12" hidden="1" customHeight="1">
      <c r="A17568" s="286"/>
    </row>
    <row r="17569" spans="1:1" s="287" customFormat="1" ht="12" hidden="1" customHeight="1">
      <c r="A17569" s="286"/>
    </row>
    <row r="17570" spans="1:1" s="287" customFormat="1" ht="12" hidden="1" customHeight="1">
      <c r="A17570" s="286"/>
    </row>
    <row r="17571" spans="1:1" s="287" customFormat="1" ht="12" hidden="1" customHeight="1">
      <c r="A17571" s="286"/>
    </row>
    <row r="17572" spans="1:1" s="287" customFormat="1" ht="12" hidden="1" customHeight="1">
      <c r="A17572" s="286"/>
    </row>
    <row r="17573" spans="1:1" s="287" customFormat="1" ht="12" hidden="1" customHeight="1">
      <c r="A17573" s="286"/>
    </row>
    <row r="17574" spans="1:1" s="287" customFormat="1" ht="12" hidden="1" customHeight="1">
      <c r="A17574" s="286"/>
    </row>
    <row r="17575" spans="1:1" s="287" customFormat="1" ht="12" hidden="1" customHeight="1">
      <c r="A17575" s="286"/>
    </row>
    <row r="17576" spans="1:1" s="287" customFormat="1" ht="12" hidden="1" customHeight="1">
      <c r="A17576" s="286"/>
    </row>
    <row r="17577" spans="1:1" s="287" customFormat="1" ht="12" hidden="1" customHeight="1">
      <c r="A17577" s="286"/>
    </row>
    <row r="17578" spans="1:1" s="287" customFormat="1" ht="12" hidden="1" customHeight="1">
      <c r="A17578" s="286"/>
    </row>
    <row r="17579" spans="1:1" s="287" customFormat="1" ht="12" hidden="1" customHeight="1">
      <c r="A17579" s="286"/>
    </row>
    <row r="17580" spans="1:1" s="287" customFormat="1" ht="12" hidden="1" customHeight="1">
      <c r="A17580" s="286"/>
    </row>
    <row r="17581" spans="1:1" s="287" customFormat="1" ht="12" hidden="1" customHeight="1">
      <c r="A17581" s="286"/>
    </row>
    <row r="17582" spans="1:1" s="287" customFormat="1" ht="12" hidden="1" customHeight="1">
      <c r="A17582" s="286"/>
    </row>
    <row r="17583" spans="1:1" s="287" customFormat="1" ht="12" hidden="1" customHeight="1">
      <c r="A17583" s="286"/>
    </row>
    <row r="17584" spans="1:1" s="287" customFormat="1" ht="12" hidden="1" customHeight="1">
      <c r="A17584" s="286"/>
    </row>
    <row r="17585" spans="1:1" s="287" customFormat="1" ht="12" hidden="1" customHeight="1">
      <c r="A17585" s="286"/>
    </row>
    <row r="17586" spans="1:1" s="287" customFormat="1" ht="12" hidden="1" customHeight="1">
      <c r="A17586" s="286"/>
    </row>
    <row r="17587" spans="1:1" s="287" customFormat="1" ht="12" hidden="1" customHeight="1">
      <c r="A17587" s="286"/>
    </row>
    <row r="17588" spans="1:1" s="287" customFormat="1" ht="12" hidden="1" customHeight="1">
      <c r="A17588" s="286"/>
    </row>
    <row r="17589" spans="1:1" s="287" customFormat="1" ht="12" hidden="1" customHeight="1">
      <c r="A17589" s="286"/>
    </row>
    <row r="17590" spans="1:1" s="287" customFormat="1" ht="12" hidden="1" customHeight="1">
      <c r="A17590" s="286"/>
    </row>
    <row r="17591" spans="1:1" s="287" customFormat="1" ht="12" hidden="1" customHeight="1">
      <c r="A17591" s="286"/>
    </row>
    <row r="17592" spans="1:1" s="287" customFormat="1" ht="12" hidden="1" customHeight="1">
      <c r="A17592" s="286"/>
    </row>
    <row r="17593" spans="1:1" s="287" customFormat="1" ht="12" hidden="1" customHeight="1">
      <c r="A17593" s="286"/>
    </row>
    <row r="17594" spans="1:1" s="287" customFormat="1" ht="12" hidden="1" customHeight="1">
      <c r="A17594" s="286"/>
    </row>
    <row r="17595" spans="1:1" s="287" customFormat="1" ht="12" hidden="1" customHeight="1">
      <c r="A17595" s="286"/>
    </row>
    <row r="17596" spans="1:1" s="287" customFormat="1" ht="12" hidden="1" customHeight="1">
      <c r="A17596" s="286"/>
    </row>
    <row r="17597" spans="1:1" s="287" customFormat="1" ht="12" hidden="1" customHeight="1">
      <c r="A17597" s="286"/>
    </row>
    <row r="17598" spans="1:1" s="287" customFormat="1" ht="12" hidden="1" customHeight="1">
      <c r="A17598" s="286"/>
    </row>
    <row r="17599" spans="1:1" s="287" customFormat="1" ht="12" hidden="1" customHeight="1">
      <c r="A17599" s="286"/>
    </row>
    <row r="17600" spans="1:1" s="287" customFormat="1" ht="12" hidden="1" customHeight="1">
      <c r="A17600" s="286"/>
    </row>
    <row r="17601" spans="1:1" s="287" customFormat="1" ht="12" hidden="1" customHeight="1">
      <c r="A17601" s="286"/>
    </row>
    <row r="17602" spans="1:1" s="287" customFormat="1" ht="12" hidden="1" customHeight="1">
      <c r="A17602" s="286"/>
    </row>
    <row r="17603" spans="1:1" s="287" customFormat="1" ht="12" hidden="1" customHeight="1">
      <c r="A17603" s="286"/>
    </row>
    <row r="17604" spans="1:1" s="287" customFormat="1" ht="12" hidden="1" customHeight="1">
      <c r="A17604" s="286"/>
    </row>
    <row r="17605" spans="1:1" s="287" customFormat="1" ht="12" hidden="1" customHeight="1">
      <c r="A17605" s="286"/>
    </row>
    <row r="17606" spans="1:1" s="287" customFormat="1" ht="12" hidden="1" customHeight="1">
      <c r="A17606" s="286"/>
    </row>
    <row r="17607" spans="1:1" s="287" customFormat="1" ht="12" hidden="1" customHeight="1">
      <c r="A17607" s="286"/>
    </row>
    <row r="17608" spans="1:1" s="287" customFormat="1" ht="12" hidden="1" customHeight="1">
      <c r="A17608" s="286"/>
    </row>
    <row r="17609" spans="1:1" s="287" customFormat="1" ht="12" hidden="1" customHeight="1">
      <c r="A17609" s="286"/>
    </row>
    <row r="17610" spans="1:1" s="287" customFormat="1" ht="12" hidden="1" customHeight="1">
      <c r="A17610" s="286"/>
    </row>
    <row r="17611" spans="1:1" s="287" customFormat="1" ht="12" hidden="1" customHeight="1">
      <c r="A17611" s="286"/>
    </row>
    <row r="17612" spans="1:1" s="287" customFormat="1" ht="12" hidden="1" customHeight="1">
      <c r="A17612" s="286"/>
    </row>
    <row r="17613" spans="1:1" s="287" customFormat="1" ht="12" hidden="1" customHeight="1">
      <c r="A17613" s="286"/>
    </row>
    <row r="17614" spans="1:1" s="287" customFormat="1" ht="12" hidden="1" customHeight="1">
      <c r="A17614" s="286"/>
    </row>
    <row r="17615" spans="1:1" s="287" customFormat="1" ht="12" hidden="1" customHeight="1">
      <c r="A17615" s="286"/>
    </row>
    <row r="17616" spans="1:1" s="287" customFormat="1" ht="12" hidden="1" customHeight="1">
      <c r="A17616" s="286"/>
    </row>
    <row r="17617" spans="1:1" s="287" customFormat="1" ht="12" hidden="1" customHeight="1">
      <c r="A17617" s="286"/>
    </row>
    <row r="17618" spans="1:1" s="287" customFormat="1" ht="12" hidden="1" customHeight="1">
      <c r="A17618" s="286"/>
    </row>
    <row r="17619" spans="1:1" s="287" customFormat="1" ht="12" hidden="1" customHeight="1">
      <c r="A17619" s="286"/>
    </row>
    <row r="17620" spans="1:1" s="287" customFormat="1" ht="12" hidden="1" customHeight="1">
      <c r="A17620" s="286"/>
    </row>
    <row r="17621" spans="1:1" s="287" customFormat="1" ht="12" hidden="1" customHeight="1">
      <c r="A17621" s="286"/>
    </row>
    <row r="17622" spans="1:1" s="287" customFormat="1" ht="12" hidden="1" customHeight="1">
      <c r="A17622" s="286"/>
    </row>
    <row r="17623" spans="1:1" s="287" customFormat="1" ht="12" hidden="1" customHeight="1">
      <c r="A17623" s="286"/>
    </row>
    <row r="17624" spans="1:1" s="287" customFormat="1" ht="12" hidden="1" customHeight="1">
      <c r="A17624" s="286"/>
    </row>
    <row r="17625" spans="1:1" s="287" customFormat="1" ht="12" hidden="1" customHeight="1">
      <c r="A17625" s="286"/>
    </row>
    <row r="17626" spans="1:1" s="287" customFormat="1" ht="12" hidden="1" customHeight="1">
      <c r="A17626" s="286"/>
    </row>
    <row r="17627" spans="1:1" s="287" customFormat="1" ht="12" hidden="1" customHeight="1">
      <c r="A17627" s="286"/>
    </row>
    <row r="17628" spans="1:1" s="287" customFormat="1" ht="12" hidden="1" customHeight="1">
      <c r="A17628" s="286"/>
    </row>
    <row r="17629" spans="1:1" s="287" customFormat="1" ht="12" hidden="1" customHeight="1">
      <c r="A17629" s="286"/>
    </row>
    <row r="17630" spans="1:1" s="287" customFormat="1" ht="12" hidden="1" customHeight="1">
      <c r="A17630" s="286"/>
    </row>
    <row r="17631" spans="1:1" s="287" customFormat="1" ht="12" hidden="1" customHeight="1">
      <c r="A17631" s="286"/>
    </row>
    <row r="17632" spans="1:1" s="287" customFormat="1" ht="12" hidden="1" customHeight="1">
      <c r="A17632" s="286"/>
    </row>
    <row r="17633" spans="1:1" s="287" customFormat="1" ht="12" hidden="1" customHeight="1">
      <c r="A17633" s="286"/>
    </row>
    <row r="17634" spans="1:1" s="287" customFormat="1" ht="12" hidden="1" customHeight="1">
      <c r="A17634" s="286"/>
    </row>
    <row r="17635" spans="1:1" s="287" customFormat="1" ht="12" hidden="1" customHeight="1">
      <c r="A17635" s="286"/>
    </row>
    <row r="17636" spans="1:1" s="287" customFormat="1" ht="12" hidden="1" customHeight="1">
      <c r="A17636" s="286"/>
    </row>
    <row r="17637" spans="1:1" s="287" customFormat="1" ht="12" hidden="1" customHeight="1">
      <c r="A17637" s="286"/>
    </row>
    <row r="17638" spans="1:1" s="287" customFormat="1" ht="12" hidden="1" customHeight="1">
      <c r="A17638" s="286"/>
    </row>
    <row r="17639" spans="1:1" s="287" customFormat="1" ht="12" hidden="1" customHeight="1">
      <c r="A17639" s="286"/>
    </row>
    <row r="17640" spans="1:1" s="287" customFormat="1" ht="12" hidden="1" customHeight="1">
      <c r="A17640" s="286"/>
    </row>
    <row r="17641" spans="1:1" s="287" customFormat="1" ht="12" hidden="1" customHeight="1">
      <c r="A17641" s="286"/>
    </row>
    <row r="17642" spans="1:1" s="287" customFormat="1" ht="12" hidden="1" customHeight="1">
      <c r="A17642" s="286"/>
    </row>
    <row r="17643" spans="1:1" s="287" customFormat="1" ht="12" hidden="1" customHeight="1">
      <c r="A17643" s="286"/>
    </row>
    <row r="17644" spans="1:1" s="287" customFormat="1" ht="12" hidden="1" customHeight="1">
      <c r="A17644" s="286"/>
    </row>
    <row r="17645" spans="1:1" s="287" customFormat="1" ht="12" hidden="1" customHeight="1">
      <c r="A17645" s="286"/>
    </row>
    <row r="17646" spans="1:1" s="287" customFormat="1" ht="12" hidden="1" customHeight="1">
      <c r="A17646" s="286"/>
    </row>
    <row r="17647" spans="1:1" s="287" customFormat="1" ht="12" hidden="1" customHeight="1">
      <c r="A17647" s="286"/>
    </row>
    <row r="17648" spans="1:1" s="287" customFormat="1" ht="12" hidden="1" customHeight="1">
      <c r="A17648" s="286"/>
    </row>
    <row r="17649" spans="1:1" s="287" customFormat="1" ht="12" hidden="1" customHeight="1">
      <c r="A17649" s="286"/>
    </row>
    <row r="17650" spans="1:1" s="287" customFormat="1" ht="12" hidden="1" customHeight="1">
      <c r="A17650" s="286"/>
    </row>
    <row r="17651" spans="1:1" s="287" customFormat="1" ht="12" hidden="1" customHeight="1">
      <c r="A17651" s="286"/>
    </row>
    <row r="17652" spans="1:1" s="287" customFormat="1" ht="12" hidden="1" customHeight="1">
      <c r="A17652" s="286"/>
    </row>
    <row r="17653" spans="1:1" s="287" customFormat="1" ht="12" hidden="1" customHeight="1">
      <c r="A17653" s="286"/>
    </row>
    <row r="17654" spans="1:1" s="287" customFormat="1" ht="12" hidden="1" customHeight="1">
      <c r="A17654" s="286"/>
    </row>
    <row r="17655" spans="1:1" s="287" customFormat="1" ht="12" hidden="1" customHeight="1">
      <c r="A17655" s="286"/>
    </row>
    <row r="17656" spans="1:1" s="287" customFormat="1" ht="12" hidden="1" customHeight="1">
      <c r="A17656" s="286"/>
    </row>
    <row r="17657" spans="1:1" s="287" customFormat="1" ht="12" hidden="1" customHeight="1">
      <c r="A17657" s="286"/>
    </row>
    <row r="17658" spans="1:1" s="287" customFormat="1" ht="12" hidden="1" customHeight="1">
      <c r="A17658" s="286"/>
    </row>
    <row r="17659" spans="1:1" s="287" customFormat="1" ht="12" hidden="1" customHeight="1">
      <c r="A17659" s="286"/>
    </row>
    <row r="17660" spans="1:1" s="287" customFormat="1" ht="12" hidden="1" customHeight="1">
      <c r="A17660" s="286"/>
    </row>
    <row r="17661" spans="1:1" s="287" customFormat="1" ht="12" hidden="1" customHeight="1">
      <c r="A17661" s="286"/>
    </row>
    <row r="17662" spans="1:1" s="287" customFormat="1" ht="12" hidden="1" customHeight="1">
      <c r="A17662" s="286"/>
    </row>
    <row r="17663" spans="1:1" s="287" customFormat="1" ht="12" hidden="1" customHeight="1">
      <c r="A17663" s="286"/>
    </row>
    <row r="17664" spans="1:1" s="287" customFormat="1" ht="12" hidden="1" customHeight="1">
      <c r="A17664" s="286"/>
    </row>
    <row r="17665" spans="1:1" s="287" customFormat="1" ht="12" hidden="1" customHeight="1">
      <c r="A17665" s="286"/>
    </row>
    <row r="17666" spans="1:1" s="287" customFormat="1" ht="12" hidden="1" customHeight="1">
      <c r="A17666" s="286"/>
    </row>
    <row r="17667" spans="1:1" s="287" customFormat="1" ht="12" hidden="1" customHeight="1">
      <c r="A17667" s="286"/>
    </row>
    <row r="17668" spans="1:1" s="287" customFormat="1" ht="12" hidden="1" customHeight="1">
      <c r="A17668" s="286"/>
    </row>
    <row r="17669" spans="1:1" s="287" customFormat="1" ht="12" hidden="1" customHeight="1">
      <c r="A17669" s="286"/>
    </row>
    <row r="17670" spans="1:1" s="287" customFormat="1" ht="12" hidden="1" customHeight="1">
      <c r="A17670" s="286"/>
    </row>
    <row r="17671" spans="1:1" s="287" customFormat="1" ht="12" hidden="1" customHeight="1">
      <c r="A17671" s="286"/>
    </row>
    <row r="17672" spans="1:1" s="287" customFormat="1" ht="12" hidden="1" customHeight="1">
      <c r="A17672" s="286"/>
    </row>
    <row r="17673" spans="1:1" s="287" customFormat="1" ht="12" hidden="1" customHeight="1">
      <c r="A17673" s="286"/>
    </row>
    <row r="17674" spans="1:1" s="287" customFormat="1" ht="12" hidden="1" customHeight="1">
      <c r="A17674" s="286"/>
    </row>
    <row r="17675" spans="1:1" s="287" customFormat="1" ht="12" hidden="1" customHeight="1">
      <c r="A17675" s="286"/>
    </row>
    <row r="17676" spans="1:1" s="287" customFormat="1" ht="12" hidden="1" customHeight="1">
      <c r="A17676" s="286"/>
    </row>
    <row r="17677" spans="1:1" s="287" customFormat="1" ht="12" hidden="1" customHeight="1">
      <c r="A17677" s="286"/>
    </row>
    <row r="17678" spans="1:1" s="287" customFormat="1" ht="12" hidden="1" customHeight="1">
      <c r="A17678" s="286"/>
    </row>
    <row r="17679" spans="1:1" s="287" customFormat="1" ht="12" hidden="1" customHeight="1">
      <c r="A17679" s="286"/>
    </row>
    <row r="17680" spans="1:1" s="287" customFormat="1" ht="12" hidden="1" customHeight="1">
      <c r="A17680" s="286"/>
    </row>
    <row r="17681" spans="1:1" s="287" customFormat="1" ht="12" hidden="1" customHeight="1">
      <c r="A17681" s="286"/>
    </row>
    <row r="17682" spans="1:1" s="287" customFormat="1" ht="12" hidden="1" customHeight="1">
      <c r="A17682" s="286"/>
    </row>
    <row r="17683" spans="1:1" s="287" customFormat="1" ht="12" hidden="1" customHeight="1">
      <c r="A17683" s="286"/>
    </row>
    <row r="17684" spans="1:1" s="287" customFormat="1" ht="12" hidden="1" customHeight="1">
      <c r="A17684" s="286"/>
    </row>
    <row r="17685" spans="1:1" s="287" customFormat="1" ht="12" hidden="1" customHeight="1">
      <c r="A17685" s="286"/>
    </row>
    <row r="17686" spans="1:1" s="287" customFormat="1" ht="12" hidden="1" customHeight="1">
      <c r="A17686" s="286"/>
    </row>
    <row r="17687" spans="1:1" s="287" customFormat="1" ht="12" hidden="1" customHeight="1">
      <c r="A17687" s="286"/>
    </row>
    <row r="17688" spans="1:1" s="287" customFormat="1" ht="12" hidden="1" customHeight="1">
      <c r="A17688" s="286"/>
    </row>
    <row r="17689" spans="1:1" s="287" customFormat="1" ht="12" hidden="1" customHeight="1">
      <c r="A17689" s="286"/>
    </row>
    <row r="17690" spans="1:1" s="287" customFormat="1" ht="12" hidden="1" customHeight="1">
      <c r="A17690" s="286"/>
    </row>
    <row r="17691" spans="1:1" s="287" customFormat="1" ht="12" hidden="1" customHeight="1">
      <c r="A17691" s="286"/>
    </row>
    <row r="17692" spans="1:1" s="287" customFormat="1" ht="12" hidden="1" customHeight="1">
      <c r="A17692" s="286"/>
    </row>
    <row r="17693" spans="1:1" s="287" customFormat="1" ht="12" hidden="1" customHeight="1">
      <c r="A17693" s="286"/>
    </row>
    <row r="17694" spans="1:1" s="287" customFormat="1" ht="12" hidden="1" customHeight="1">
      <c r="A17694" s="286"/>
    </row>
    <row r="17695" spans="1:1" s="287" customFormat="1" ht="12" hidden="1" customHeight="1">
      <c r="A17695" s="286"/>
    </row>
    <row r="17696" spans="1:1" s="287" customFormat="1" ht="12" hidden="1" customHeight="1">
      <c r="A17696" s="286"/>
    </row>
    <row r="17697" spans="1:1" s="287" customFormat="1" ht="12" hidden="1" customHeight="1">
      <c r="A17697" s="286"/>
    </row>
    <row r="17698" spans="1:1" s="287" customFormat="1" ht="12" hidden="1" customHeight="1">
      <c r="A17698" s="286"/>
    </row>
    <row r="17699" spans="1:1" s="287" customFormat="1" ht="12" hidden="1" customHeight="1">
      <c r="A17699" s="286"/>
    </row>
    <row r="17700" spans="1:1" s="287" customFormat="1" ht="12" hidden="1" customHeight="1">
      <c r="A17700" s="286"/>
    </row>
    <row r="17701" spans="1:1" s="287" customFormat="1" ht="12" hidden="1" customHeight="1">
      <c r="A17701" s="286"/>
    </row>
    <row r="17702" spans="1:1" s="287" customFormat="1" ht="12" hidden="1" customHeight="1">
      <c r="A17702" s="286"/>
    </row>
    <row r="17703" spans="1:1" s="287" customFormat="1" ht="12" hidden="1" customHeight="1">
      <c r="A17703" s="286"/>
    </row>
    <row r="17704" spans="1:1" s="287" customFormat="1" ht="12" hidden="1" customHeight="1">
      <c r="A17704" s="286"/>
    </row>
    <row r="17705" spans="1:1" s="287" customFormat="1" ht="12" hidden="1" customHeight="1">
      <c r="A17705" s="286"/>
    </row>
    <row r="17706" spans="1:1" s="287" customFormat="1" ht="12" hidden="1" customHeight="1">
      <c r="A17706" s="286"/>
    </row>
    <row r="17707" spans="1:1" s="287" customFormat="1" ht="12" hidden="1" customHeight="1">
      <c r="A17707" s="286"/>
    </row>
    <row r="17708" spans="1:1" s="287" customFormat="1" ht="12" hidden="1" customHeight="1">
      <c r="A17708" s="286"/>
    </row>
    <row r="17709" spans="1:1" s="287" customFormat="1" ht="12" hidden="1" customHeight="1">
      <c r="A17709" s="286"/>
    </row>
    <row r="17710" spans="1:1" s="287" customFormat="1" ht="12" hidden="1" customHeight="1">
      <c r="A17710" s="286"/>
    </row>
    <row r="17711" spans="1:1" s="287" customFormat="1" ht="12" hidden="1" customHeight="1">
      <c r="A17711" s="286"/>
    </row>
    <row r="17712" spans="1:1" s="287" customFormat="1" ht="12" hidden="1" customHeight="1">
      <c r="A17712" s="286"/>
    </row>
    <row r="17713" spans="1:1" s="287" customFormat="1" ht="12" hidden="1" customHeight="1">
      <c r="A17713" s="286"/>
    </row>
    <row r="17714" spans="1:1" s="287" customFormat="1" ht="12" hidden="1" customHeight="1">
      <c r="A17714" s="286"/>
    </row>
    <row r="17715" spans="1:1" s="287" customFormat="1" ht="12" hidden="1" customHeight="1">
      <c r="A17715" s="286"/>
    </row>
    <row r="17716" spans="1:1" s="287" customFormat="1" ht="12" hidden="1" customHeight="1">
      <c r="A17716" s="286"/>
    </row>
    <row r="17717" spans="1:1" s="287" customFormat="1" ht="12" hidden="1" customHeight="1">
      <c r="A17717" s="286"/>
    </row>
    <row r="17718" spans="1:1" s="287" customFormat="1" ht="12" hidden="1" customHeight="1">
      <c r="A17718" s="286"/>
    </row>
    <row r="17719" spans="1:1" s="287" customFormat="1" ht="12" hidden="1" customHeight="1">
      <c r="A17719" s="286"/>
    </row>
    <row r="17720" spans="1:1" s="287" customFormat="1" ht="12" hidden="1" customHeight="1">
      <c r="A17720" s="286"/>
    </row>
    <row r="17721" spans="1:1" s="287" customFormat="1" ht="12" hidden="1" customHeight="1">
      <c r="A17721" s="286"/>
    </row>
    <row r="17722" spans="1:1" s="287" customFormat="1" ht="12" hidden="1" customHeight="1">
      <c r="A17722" s="286"/>
    </row>
    <row r="17723" spans="1:1" s="287" customFormat="1" ht="12" hidden="1" customHeight="1">
      <c r="A17723" s="286"/>
    </row>
    <row r="17724" spans="1:1" s="287" customFormat="1" ht="12" hidden="1" customHeight="1">
      <c r="A17724" s="286"/>
    </row>
    <row r="17725" spans="1:1" s="287" customFormat="1" ht="12" hidden="1" customHeight="1">
      <c r="A17725" s="286"/>
    </row>
    <row r="17726" spans="1:1" s="287" customFormat="1" ht="12" hidden="1" customHeight="1">
      <c r="A17726" s="286"/>
    </row>
    <row r="17727" spans="1:1" s="287" customFormat="1" ht="12" hidden="1" customHeight="1">
      <c r="A17727" s="286"/>
    </row>
    <row r="17728" spans="1:1" s="287" customFormat="1" ht="12" hidden="1" customHeight="1">
      <c r="A17728" s="286"/>
    </row>
    <row r="17729" spans="1:1" s="287" customFormat="1" ht="12" hidden="1" customHeight="1">
      <c r="A17729" s="286"/>
    </row>
    <row r="17730" spans="1:1" s="287" customFormat="1" ht="12" hidden="1" customHeight="1">
      <c r="A17730" s="286"/>
    </row>
    <row r="17731" spans="1:1" s="287" customFormat="1" ht="12" hidden="1" customHeight="1">
      <c r="A17731" s="286"/>
    </row>
    <row r="17732" spans="1:1" s="287" customFormat="1" ht="12" hidden="1" customHeight="1">
      <c r="A17732" s="286"/>
    </row>
    <row r="17733" spans="1:1" s="287" customFormat="1" ht="12" hidden="1" customHeight="1">
      <c r="A17733" s="286"/>
    </row>
    <row r="17734" spans="1:1" s="287" customFormat="1" ht="12" hidden="1" customHeight="1">
      <c r="A17734" s="286"/>
    </row>
    <row r="17735" spans="1:1" s="287" customFormat="1" ht="12" hidden="1" customHeight="1">
      <c r="A17735" s="286"/>
    </row>
    <row r="17736" spans="1:1" s="287" customFormat="1" ht="12" hidden="1" customHeight="1">
      <c r="A17736" s="286"/>
    </row>
    <row r="17737" spans="1:1" s="287" customFormat="1" ht="12" hidden="1" customHeight="1">
      <c r="A17737" s="286"/>
    </row>
    <row r="17738" spans="1:1" s="287" customFormat="1" ht="12" hidden="1" customHeight="1">
      <c r="A17738" s="286"/>
    </row>
    <row r="17739" spans="1:1" s="287" customFormat="1" ht="12" hidden="1" customHeight="1">
      <c r="A17739" s="286"/>
    </row>
    <row r="17740" spans="1:1" s="287" customFormat="1" ht="12" hidden="1" customHeight="1">
      <c r="A17740" s="286"/>
    </row>
    <row r="17741" spans="1:1" s="287" customFormat="1" ht="12" hidden="1" customHeight="1">
      <c r="A17741" s="286"/>
    </row>
    <row r="17742" spans="1:1" s="287" customFormat="1" ht="12" hidden="1" customHeight="1">
      <c r="A17742" s="286"/>
    </row>
    <row r="17743" spans="1:1" s="287" customFormat="1" ht="12" hidden="1" customHeight="1">
      <c r="A17743" s="286"/>
    </row>
    <row r="17744" spans="1:1" s="287" customFormat="1" ht="12" hidden="1" customHeight="1">
      <c r="A17744" s="286"/>
    </row>
    <row r="17745" spans="1:1" s="287" customFormat="1" ht="12" hidden="1" customHeight="1">
      <c r="A17745" s="286"/>
    </row>
    <row r="17746" spans="1:1" s="287" customFormat="1" ht="12" hidden="1" customHeight="1">
      <c r="A17746" s="286"/>
    </row>
    <row r="17747" spans="1:1" s="287" customFormat="1" ht="12" hidden="1" customHeight="1">
      <c r="A17747" s="286"/>
    </row>
    <row r="17748" spans="1:1" s="287" customFormat="1" ht="12" hidden="1" customHeight="1">
      <c r="A17748" s="286"/>
    </row>
    <row r="17749" spans="1:1" s="287" customFormat="1" ht="12" hidden="1" customHeight="1">
      <c r="A17749" s="286"/>
    </row>
    <row r="17750" spans="1:1" s="287" customFormat="1" ht="12" hidden="1" customHeight="1">
      <c r="A17750" s="286"/>
    </row>
    <row r="17751" spans="1:1" s="287" customFormat="1" ht="12" hidden="1" customHeight="1">
      <c r="A17751" s="286"/>
    </row>
    <row r="17752" spans="1:1" s="287" customFormat="1" ht="12" hidden="1" customHeight="1">
      <c r="A17752" s="286"/>
    </row>
    <row r="17753" spans="1:1" s="287" customFormat="1" ht="12" hidden="1" customHeight="1">
      <c r="A17753" s="286"/>
    </row>
    <row r="17754" spans="1:1" s="287" customFormat="1" ht="12" hidden="1" customHeight="1">
      <c r="A17754" s="286"/>
    </row>
    <row r="17755" spans="1:1" s="287" customFormat="1" ht="12" hidden="1" customHeight="1">
      <c r="A17755" s="286"/>
    </row>
    <row r="17756" spans="1:1" s="287" customFormat="1" ht="12" hidden="1" customHeight="1">
      <c r="A17756" s="286"/>
    </row>
    <row r="17757" spans="1:1" s="287" customFormat="1" ht="12" hidden="1" customHeight="1">
      <c r="A17757" s="286"/>
    </row>
    <row r="17758" spans="1:1" s="287" customFormat="1" ht="12" hidden="1" customHeight="1">
      <c r="A17758" s="286"/>
    </row>
    <row r="17759" spans="1:1" s="287" customFormat="1" ht="12" hidden="1" customHeight="1">
      <c r="A17759" s="286"/>
    </row>
    <row r="17760" spans="1:1" s="287" customFormat="1" ht="12" hidden="1" customHeight="1">
      <c r="A17760" s="286"/>
    </row>
    <row r="17761" spans="1:1" s="287" customFormat="1" ht="12" hidden="1" customHeight="1">
      <c r="A17761" s="286"/>
    </row>
    <row r="17762" spans="1:1" s="287" customFormat="1" ht="12" hidden="1" customHeight="1">
      <c r="A17762" s="286"/>
    </row>
    <row r="17763" spans="1:1" s="287" customFormat="1" ht="12" hidden="1" customHeight="1">
      <c r="A17763" s="286"/>
    </row>
    <row r="17764" spans="1:1" s="287" customFormat="1" ht="12" hidden="1" customHeight="1">
      <c r="A17764" s="286"/>
    </row>
    <row r="17765" spans="1:1" s="287" customFormat="1" ht="12" hidden="1" customHeight="1">
      <c r="A17765" s="286"/>
    </row>
    <row r="17766" spans="1:1" s="287" customFormat="1" ht="12" hidden="1" customHeight="1">
      <c r="A17766" s="286"/>
    </row>
    <row r="17767" spans="1:1" s="287" customFormat="1" ht="12" hidden="1" customHeight="1">
      <c r="A17767" s="286"/>
    </row>
    <row r="17768" spans="1:1" s="287" customFormat="1" ht="12" hidden="1" customHeight="1">
      <c r="A17768" s="286"/>
    </row>
    <row r="17769" spans="1:1" s="287" customFormat="1" ht="12" hidden="1" customHeight="1">
      <c r="A17769" s="286"/>
    </row>
    <row r="17770" spans="1:1" s="287" customFormat="1" ht="12" hidden="1" customHeight="1">
      <c r="A17770" s="286"/>
    </row>
    <row r="17771" spans="1:1" s="287" customFormat="1" ht="12" hidden="1" customHeight="1">
      <c r="A17771" s="286"/>
    </row>
    <row r="17772" spans="1:1" s="287" customFormat="1" ht="12" hidden="1" customHeight="1">
      <c r="A17772" s="286"/>
    </row>
    <row r="17773" spans="1:1" s="287" customFormat="1" ht="12" hidden="1" customHeight="1">
      <c r="A17773" s="286"/>
    </row>
    <row r="17774" spans="1:1" s="287" customFormat="1" ht="12" hidden="1" customHeight="1">
      <c r="A17774" s="286"/>
    </row>
    <row r="17775" spans="1:1" s="287" customFormat="1" ht="12" hidden="1" customHeight="1">
      <c r="A17775" s="286"/>
    </row>
    <row r="17776" spans="1:1" s="287" customFormat="1" ht="12" hidden="1" customHeight="1">
      <c r="A17776" s="286"/>
    </row>
    <row r="17777" spans="1:1" s="287" customFormat="1" ht="12" hidden="1" customHeight="1">
      <c r="A17777" s="286"/>
    </row>
    <row r="17778" spans="1:1" s="287" customFormat="1" ht="12" hidden="1" customHeight="1">
      <c r="A17778" s="286"/>
    </row>
    <row r="17779" spans="1:1" s="287" customFormat="1" ht="12" hidden="1" customHeight="1">
      <c r="A17779" s="286"/>
    </row>
    <row r="17780" spans="1:1" s="287" customFormat="1" ht="12" hidden="1" customHeight="1">
      <c r="A17780" s="286"/>
    </row>
    <row r="17781" spans="1:1" s="287" customFormat="1" ht="12" hidden="1" customHeight="1">
      <c r="A17781" s="286"/>
    </row>
    <row r="17782" spans="1:1" s="287" customFormat="1" ht="12" hidden="1" customHeight="1">
      <c r="A17782" s="286"/>
    </row>
    <row r="17783" spans="1:1" s="287" customFormat="1" ht="12" hidden="1" customHeight="1">
      <c r="A17783" s="286"/>
    </row>
    <row r="17784" spans="1:1" s="287" customFormat="1" ht="12" hidden="1" customHeight="1">
      <c r="A17784" s="286"/>
    </row>
    <row r="17785" spans="1:1" s="287" customFormat="1" ht="12" hidden="1" customHeight="1">
      <c r="A17785" s="286"/>
    </row>
    <row r="17786" spans="1:1" s="287" customFormat="1" ht="12" hidden="1" customHeight="1">
      <c r="A17786" s="286"/>
    </row>
    <row r="17787" spans="1:1" s="287" customFormat="1" ht="12" hidden="1" customHeight="1">
      <c r="A17787" s="286"/>
    </row>
    <row r="17788" spans="1:1" s="287" customFormat="1" ht="12" hidden="1" customHeight="1">
      <c r="A17788" s="286"/>
    </row>
    <row r="17789" spans="1:1" s="287" customFormat="1" ht="12" hidden="1" customHeight="1">
      <c r="A17789" s="286"/>
    </row>
    <row r="17790" spans="1:1" s="287" customFormat="1" ht="12" hidden="1" customHeight="1">
      <c r="A17790" s="286"/>
    </row>
    <row r="17791" spans="1:1" s="287" customFormat="1" ht="12" hidden="1" customHeight="1">
      <c r="A17791" s="286"/>
    </row>
    <row r="17792" spans="1:1" s="287" customFormat="1" ht="12" hidden="1" customHeight="1">
      <c r="A17792" s="286"/>
    </row>
    <row r="17793" spans="1:1" s="287" customFormat="1" ht="12" hidden="1" customHeight="1">
      <c r="A17793" s="286"/>
    </row>
    <row r="17794" spans="1:1" s="287" customFormat="1" ht="12" hidden="1" customHeight="1">
      <c r="A17794" s="286"/>
    </row>
    <row r="17795" spans="1:1" s="287" customFormat="1" ht="12" hidden="1" customHeight="1">
      <c r="A17795" s="286"/>
    </row>
    <row r="17796" spans="1:1" s="287" customFormat="1" ht="12" hidden="1" customHeight="1">
      <c r="A17796" s="286"/>
    </row>
    <row r="17797" spans="1:1" s="287" customFormat="1" ht="12" hidden="1" customHeight="1">
      <c r="A17797" s="286"/>
    </row>
    <row r="17798" spans="1:1" s="287" customFormat="1" ht="12" hidden="1" customHeight="1">
      <c r="A17798" s="286"/>
    </row>
    <row r="17799" spans="1:1" s="287" customFormat="1" ht="12" hidden="1" customHeight="1">
      <c r="A17799" s="286"/>
    </row>
    <row r="17800" spans="1:1" s="287" customFormat="1" ht="12" hidden="1" customHeight="1">
      <c r="A17800" s="286"/>
    </row>
    <row r="17801" spans="1:1" s="287" customFormat="1" ht="12" hidden="1" customHeight="1">
      <c r="A17801" s="286"/>
    </row>
    <row r="17802" spans="1:1" s="287" customFormat="1" ht="12" hidden="1" customHeight="1">
      <c r="A17802" s="286"/>
    </row>
    <row r="17803" spans="1:1" s="287" customFormat="1" ht="12" hidden="1" customHeight="1">
      <c r="A17803" s="286"/>
    </row>
    <row r="17804" spans="1:1" s="287" customFormat="1" ht="12" hidden="1" customHeight="1">
      <c r="A17804" s="286"/>
    </row>
    <row r="17805" spans="1:1" s="287" customFormat="1" ht="12" hidden="1" customHeight="1">
      <c r="A17805" s="286"/>
    </row>
    <row r="17806" spans="1:1" s="287" customFormat="1" ht="12" hidden="1" customHeight="1">
      <c r="A17806" s="286"/>
    </row>
    <row r="17807" spans="1:1" s="287" customFormat="1" ht="12" hidden="1" customHeight="1">
      <c r="A17807" s="286"/>
    </row>
    <row r="17808" spans="1:1" s="287" customFormat="1" ht="12" hidden="1" customHeight="1">
      <c r="A17808" s="286"/>
    </row>
    <row r="17809" spans="1:1" s="287" customFormat="1" ht="12" hidden="1" customHeight="1">
      <c r="A17809" s="286"/>
    </row>
    <row r="17810" spans="1:1" s="287" customFormat="1" ht="12" hidden="1" customHeight="1">
      <c r="A17810" s="286"/>
    </row>
    <row r="17811" spans="1:1" s="287" customFormat="1" ht="12" hidden="1" customHeight="1">
      <c r="A17811" s="286"/>
    </row>
    <row r="17812" spans="1:1" s="287" customFormat="1" ht="12" hidden="1" customHeight="1">
      <c r="A17812" s="286"/>
    </row>
    <row r="17813" spans="1:1" s="287" customFormat="1" ht="12" hidden="1" customHeight="1">
      <c r="A17813" s="286"/>
    </row>
    <row r="17814" spans="1:1" s="287" customFormat="1" ht="12" hidden="1" customHeight="1">
      <c r="A17814" s="286"/>
    </row>
    <row r="17815" spans="1:1" s="287" customFormat="1" ht="12" hidden="1" customHeight="1">
      <c r="A17815" s="286"/>
    </row>
    <row r="17816" spans="1:1" s="287" customFormat="1" ht="12" hidden="1" customHeight="1">
      <c r="A17816" s="286"/>
    </row>
    <row r="17817" spans="1:1" s="287" customFormat="1" ht="12" hidden="1" customHeight="1">
      <c r="A17817" s="286"/>
    </row>
    <row r="17818" spans="1:1" s="287" customFormat="1" ht="12" hidden="1" customHeight="1">
      <c r="A17818" s="286"/>
    </row>
    <row r="17819" spans="1:1" s="287" customFormat="1" ht="12" hidden="1" customHeight="1">
      <c r="A17819" s="286"/>
    </row>
    <row r="17820" spans="1:1" s="287" customFormat="1" ht="12" hidden="1" customHeight="1">
      <c r="A17820" s="286"/>
    </row>
    <row r="17821" spans="1:1" s="287" customFormat="1" ht="12" hidden="1" customHeight="1">
      <c r="A17821" s="286"/>
    </row>
    <row r="17822" spans="1:1" s="287" customFormat="1" ht="12" hidden="1" customHeight="1">
      <c r="A17822" s="286"/>
    </row>
    <row r="17823" spans="1:1" s="287" customFormat="1" ht="12" hidden="1" customHeight="1">
      <c r="A17823" s="286"/>
    </row>
    <row r="17824" spans="1:1" s="287" customFormat="1" ht="12" hidden="1" customHeight="1">
      <c r="A17824" s="286"/>
    </row>
    <row r="17825" spans="1:1" s="287" customFormat="1" ht="12" hidden="1" customHeight="1">
      <c r="A17825" s="286"/>
    </row>
    <row r="17826" spans="1:1" s="287" customFormat="1" ht="12" hidden="1" customHeight="1">
      <c r="A17826" s="286"/>
    </row>
    <row r="17827" spans="1:1" s="287" customFormat="1" ht="12" hidden="1" customHeight="1">
      <c r="A17827" s="286"/>
    </row>
    <row r="17828" spans="1:1" s="287" customFormat="1" ht="12" hidden="1" customHeight="1">
      <c r="A17828" s="286"/>
    </row>
    <row r="17829" spans="1:1" s="287" customFormat="1" ht="12" hidden="1" customHeight="1">
      <c r="A17829" s="286"/>
    </row>
    <row r="17830" spans="1:1" s="287" customFormat="1" ht="12" hidden="1" customHeight="1">
      <c r="A17830" s="286"/>
    </row>
    <row r="17831" spans="1:1" s="287" customFormat="1" ht="12" hidden="1" customHeight="1">
      <c r="A17831" s="286"/>
    </row>
    <row r="17832" spans="1:1" s="287" customFormat="1" ht="12" hidden="1" customHeight="1">
      <c r="A17832" s="286"/>
    </row>
    <row r="17833" spans="1:1" s="287" customFormat="1" ht="12" hidden="1" customHeight="1">
      <c r="A17833" s="286"/>
    </row>
    <row r="17834" spans="1:1" s="287" customFormat="1" ht="12" hidden="1" customHeight="1">
      <c r="A17834" s="286"/>
    </row>
    <row r="17835" spans="1:1" s="287" customFormat="1" ht="12" hidden="1" customHeight="1">
      <c r="A17835" s="286"/>
    </row>
    <row r="17836" spans="1:1" s="287" customFormat="1" ht="12" hidden="1" customHeight="1">
      <c r="A17836" s="286"/>
    </row>
    <row r="17837" spans="1:1" s="287" customFormat="1" ht="12" hidden="1" customHeight="1">
      <c r="A17837" s="286"/>
    </row>
    <row r="17838" spans="1:1" s="287" customFormat="1" ht="12" hidden="1" customHeight="1">
      <c r="A17838" s="286"/>
    </row>
    <row r="17839" spans="1:1" s="287" customFormat="1" ht="12" hidden="1" customHeight="1">
      <c r="A17839" s="286"/>
    </row>
    <row r="17840" spans="1:1" s="287" customFormat="1" ht="12" hidden="1" customHeight="1">
      <c r="A17840" s="286"/>
    </row>
    <row r="17841" spans="1:1" s="287" customFormat="1" ht="12" hidden="1" customHeight="1">
      <c r="A17841" s="286"/>
    </row>
    <row r="17842" spans="1:1" s="287" customFormat="1" ht="12" hidden="1" customHeight="1">
      <c r="A17842" s="286"/>
    </row>
    <row r="17843" spans="1:1" s="287" customFormat="1" ht="12" hidden="1" customHeight="1">
      <c r="A17843" s="286"/>
    </row>
    <row r="17844" spans="1:1" s="287" customFormat="1" ht="12" hidden="1" customHeight="1">
      <c r="A17844" s="286"/>
    </row>
    <row r="17845" spans="1:1" s="287" customFormat="1" ht="12" hidden="1" customHeight="1">
      <c r="A17845" s="286"/>
    </row>
    <row r="17846" spans="1:1" s="287" customFormat="1" ht="12" hidden="1" customHeight="1">
      <c r="A17846" s="286"/>
    </row>
    <row r="17847" spans="1:1" s="287" customFormat="1" ht="12" hidden="1" customHeight="1">
      <c r="A17847" s="286"/>
    </row>
    <row r="17848" spans="1:1" s="287" customFormat="1" ht="12" hidden="1" customHeight="1">
      <c r="A17848" s="286"/>
    </row>
    <row r="17849" spans="1:1" s="287" customFormat="1" ht="12" hidden="1" customHeight="1">
      <c r="A17849" s="286"/>
    </row>
    <row r="17850" spans="1:1" s="287" customFormat="1" ht="12" hidden="1" customHeight="1">
      <c r="A17850" s="286"/>
    </row>
    <row r="17851" spans="1:1" s="287" customFormat="1" ht="12" hidden="1" customHeight="1">
      <c r="A17851" s="286"/>
    </row>
    <row r="17852" spans="1:1" s="287" customFormat="1" ht="12" hidden="1" customHeight="1">
      <c r="A17852" s="286"/>
    </row>
    <row r="17853" spans="1:1" s="287" customFormat="1" ht="12" hidden="1" customHeight="1">
      <c r="A17853" s="286"/>
    </row>
    <row r="17854" spans="1:1" s="287" customFormat="1" ht="12" hidden="1" customHeight="1">
      <c r="A17854" s="286"/>
    </row>
    <row r="17855" spans="1:1" s="287" customFormat="1" ht="12" hidden="1" customHeight="1">
      <c r="A17855" s="286"/>
    </row>
    <row r="17856" spans="1:1" s="287" customFormat="1" ht="12" hidden="1" customHeight="1">
      <c r="A17856" s="286"/>
    </row>
    <row r="17857" spans="1:1" s="287" customFormat="1" ht="12" hidden="1" customHeight="1">
      <c r="A17857" s="286"/>
    </row>
    <row r="17858" spans="1:1" s="287" customFormat="1" ht="12" hidden="1" customHeight="1">
      <c r="A17858" s="286"/>
    </row>
    <row r="17859" spans="1:1" s="287" customFormat="1" ht="12" hidden="1" customHeight="1">
      <c r="A17859" s="286"/>
    </row>
    <row r="17860" spans="1:1" s="287" customFormat="1" ht="12" hidden="1" customHeight="1">
      <c r="A17860" s="286"/>
    </row>
    <row r="17861" spans="1:1" s="287" customFormat="1" ht="12" hidden="1" customHeight="1">
      <c r="A17861" s="286"/>
    </row>
    <row r="17862" spans="1:1" s="287" customFormat="1" ht="12" hidden="1" customHeight="1">
      <c r="A17862" s="286"/>
    </row>
    <row r="17863" spans="1:1" s="287" customFormat="1" ht="12" hidden="1" customHeight="1">
      <c r="A17863" s="286"/>
    </row>
    <row r="17864" spans="1:1" s="287" customFormat="1" ht="12" hidden="1" customHeight="1">
      <c r="A17864" s="286"/>
    </row>
    <row r="17865" spans="1:1" s="287" customFormat="1" ht="12" hidden="1" customHeight="1">
      <c r="A17865" s="286"/>
    </row>
    <row r="17866" spans="1:1" s="287" customFormat="1" ht="12" hidden="1" customHeight="1">
      <c r="A17866" s="286"/>
    </row>
    <row r="17867" spans="1:1" s="287" customFormat="1" ht="12" hidden="1" customHeight="1">
      <c r="A17867" s="286"/>
    </row>
    <row r="17868" spans="1:1" s="287" customFormat="1" ht="12" hidden="1" customHeight="1">
      <c r="A17868" s="286"/>
    </row>
    <row r="17869" spans="1:1" s="287" customFormat="1" ht="12" hidden="1" customHeight="1">
      <c r="A17869" s="286"/>
    </row>
    <row r="17870" spans="1:1" s="287" customFormat="1" ht="12" hidden="1" customHeight="1">
      <c r="A17870" s="286"/>
    </row>
    <row r="17871" spans="1:1" s="287" customFormat="1" ht="12" hidden="1" customHeight="1">
      <c r="A17871" s="286"/>
    </row>
    <row r="17872" spans="1:1" s="287" customFormat="1" ht="12" hidden="1" customHeight="1">
      <c r="A17872" s="286"/>
    </row>
    <row r="17873" spans="1:1" s="287" customFormat="1" ht="12" hidden="1" customHeight="1">
      <c r="A17873" s="286"/>
    </row>
    <row r="17874" spans="1:1" s="287" customFormat="1" ht="12" hidden="1" customHeight="1">
      <c r="A17874" s="286"/>
    </row>
    <row r="17875" spans="1:1" s="287" customFormat="1" ht="12" hidden="1" customHeight="1">
      <c r="A17875" s="286"/>
    </row>
    <row r="17876" spans="1:1" s="287" customFormat="1" ht="12" hidden="1" customHeight="1">
      <c r="A17876" s="286"/>
    </row>
    <row r="17877" spans="1:1" s="287" customFormat="1" ht="12" hidden="1" customHeight="1">
      <c r="A17877" s="286"/>
    </row>
    <row r="17878" spans="1:1" s="287" customFormat="1" ht="12" hidden="1" customHeight="1">
      <c r="A17878" s="286"/>
    </row>
    <row r="17879" spans="1:1" s="287" customFormat="1" ht="12" hidden="1" customHeight="1">
      <c r="A17879" s="286"/>
    </row>
    <row r="17880" spans="1:1" s="287" customFormat="1" ht="12" hidden="1" customHeight="1">
      <c r="A17880" s="286"/>
    </row>
    <row r="17881" spans="1:1" s="287" customFormat="1" ht="12" hidden="1" customHeight="1">
      <c r="A17881" s="286"/>
    </row>
    <row r="17882" spans="1:1" s="287" customFormat="1" ht="12" hidden="1" customHeight="1">
      <c r="A17882" s="286"/>
    </row>
    <row r="17883" spans="1:1" s="287" customFormat="1" ht="12" hidden="1" customHeight="1">
      <c r="A17883" s="286"/>
    </row>
    <row r="17884" spans="1:1" s="287" customFormat="1" ht="12" hidden="1" customHeight="1">
      <c r="A17884" s="286"/>
    </row>
    <row r="17885" spans="1:1" s="287" customFormat="1" ht="12" hidden="1" customHeight="1">
      <c r="A17885" s="286"/>
    </row>
    <row r="17886" spans="1:1" s="287" customFormat="1" ht="12" hidden="1" customHeight="1">
      <c r="A17886" s="286"/>
    </row>
    <row r="17887" spans="1:1" s="287" customFormat="1" ht="12" hidden="1" customHeight="1">
      <c r="A17887" s="286"/>
    </row>
    <row r="17888" spans="1:1" s="287" customFormat="1" ht="12" hidden="1" customHeight="1">
      <c r="A17888" s="286"/>
    </row>
    <row r="17889" spans="1:1" s="287" customFormat="1" ht="12" hidden="1" customHeight="1">
      <c r="A17889" s="286"/>
    </row>
    <row r="17890" spans="1:1" s="287" customFormat="1" ht="12" hidden="1" customHeight="1">
      <c r="A17890" s="286"/>
    </row>
    <row r="17891" spans="1:1" s="287" customFormat="1" ht="12" hidden="1" customHeight="1">
      <c r="A17891" s="286"/>
    </row>
    <row r="17892" spans="1:1" s="287" customFormat="1" ht="12" hidden="1" customHeight="1">
      <c r="A17892" s="286"/>
    </row>
    <row r="17893" spans="1:1" s="287" customFormat="1" ht="12" hidden="1" customHeight="1">
      <c r="A17893" s="286"/>
    </row>
    <row r="17894" spans="1:1" s="287" customFormat="1" ht="12" hidden="1" customHeight="1">
      <c r="A17894" s="286"/>
    </row>
    <row r="17895" spans="1:1" s="287" customFormat="1" ht="12" hidden="1" customHeight="1">
      <c r="A17895" s="286"/>
    </row>
    <row r="17896" spans="1:1" s="287" customFormat="1" ht="12" hidden="1" customHeight="1">
      <c r="A17896" s="286"/>
    </row>
    <row r="17897" spans="1:1" s="287" customFormat="1" ht="12" hidden="1" customHeight="1">
      <c r="A17897" s="286"/>
    </row>
    <row r="17898" spans="1:1" s="287" customFormat="1" ht="12" hidden="1" customHeight="1">
      <c r="A17898" s="286"/>
    </row>
    <row r="17899" spans="1:1" s="287" customFormat="1" ht="12" hidden="1" customHeight="1">
      <c r="A17899" s="286"/>
    </row>
    <row r="17900" spans="1:1" s="287" customFormat="1" ht="12" hidden="1" customHeight="1">
      <c r="A17900" s="286"/>
    </row>
    <row r="17901" spans="1:1" s="287" customFormat="1" ht="12" hidden="1" customHeight="1">
      <c r="A17901" s="286"/>
    </row>
    <row r="17902" spans="1:1" s="287" customFormat="1" ht="12" hidden="1" customHeight="1">
      <c r="A17902" s="286"/>
    </row>
    <row r="17903" spans="1:1" s="287" customFormat="1" ht="12" hidden="1" customHeight="1">
      <c r="A17903" s="286"/>
    </row>
    <row r="17904" spans="1:1" s="287" customFormat="1" ht="12" hidden="1" customHeight="1">
      <c r="A17904" s="286"/>
    </row>
    <row r="17905" spans="1:1" s="287" customFormat="1" ht="12" hidden="1" customHeight="1">
      <c r="A17905" s="286"/>
    </row>
    <row r="17906" spans="1:1" s="287" customFormat="1" ht="12" hidden="1" customHeight="1">
      <c r="A17906" s="286"/>
    </row>
    <row r="17907" spans="1:1" s="287" customFormat="1" ht="12" hidden="1" customHeight="1">
      <c r="A17907" s="286"/>
    </row>
    <row r="17908" spans="1:1" s="287" customFormat="1" ht="12" hidden="1" customHeight="1">
      <c r="A17908" s="286"/>
    </row>
    <row r="17909" spans="1:1" s="287" customFormat="1" ht="12" hidden="1" customHeight="1">
      <c r="A17909" s="286"/>
    </row>
    <row r="17910" spans="1:1" s="287" customFormat="1" ht="12" hidden="1" customHeight="1">
      <c r="A17910" s="286"/>
    </row>
    <row r="17911" spans="1:1" s="287" customFormat="1" ht="12" hidden="1" customHeight="1">
      <c r="A17911" s="286"/>
    </row>
    <row r="17912" spans="1:1" s="287" customFormat="1" ht="12" hidden="1" customHeight="1">
      <c r="A17912" s="286"/>
    </row>
    <row r="17913" spans="1:1" s="287" customFormat="1" ht="12" hidden="1" customHeight="1">
      <c r="A17913" s="286"/>
    </row>
    <row r="17914" spans="1:1" s="287" customFormat="1" ht="12" hidden="1" customHeight="1">
      <c r="A17914" s="286"/>
    </row>
    <row r="17915" spans="1:1" s="287" customFormat="1" ht="12" hidden="1" customHeight="1">
      <c r="A17915" s="286"/>
    </row>
    <row r="17916" spans="1:1" s="287" customFormat="1" ht="12" hidden="1" customHeight="1">
      <c r="A17916" s="286"/>
    </row>
    <row r="17917" spans="1:1" s="287" customFormat="1" ht="12" hidden="1" customHeight="1">
      <c r="A17917" s="286"/>
    </row>
    <row r="17918" spans="1:1" s="287" customFormat="1" ht="12" hidden="1" customHeight="1">
      <c r="A17918" s="286"/>
    </row>
    <row r="17919" spans="1:1" s="287" customFormat="1" ht="12" hidden="1" customHeight="1">
      <c r="A17919" s="286"/>
    </row>
    <row r="17920" spans="1:1" s="287" customFormat="1" ht="12" hidden="1" customHeight="1">
      <c r="A17920" s="286"/>
    </row>
    <row r="17921" spans="1:1" s="287" customFormat="1" ht="12" hidden="1" customHeight="1">
      <c r="A17921" s="286"/>
    </row>
    <row r="17922" spans="1:1" s="287" customFormat="1" ht="12" hidden="1" customHeight="1">
      <c r="A17922" s="286"/>
    </row>
    <row r="17923" spans="1:1" s="287" customFormat="1" ht="12" hidden="1" customHeight="1">
      <c r="A17923" s="286"/>
    </row>
    <row r="17924" spans="1:1" s="287" customFormat="1" ht="12" hidden="1" customHeight="1">
      <c r="A17924" s="286"/>
    </row>
    <row r="17925" spans="1:1" s="287" customFormat="1" ht="12" hidden="1" customHeight="1">
      <c r="A17925" s="286"/>
    </row>
    <row r="17926" spans="1:1" s="287" customFormat="1" ht="12" hidden="1" customHeight="1">
      <c r="A17926" s="286"/>
    </row>
    <row r="17927" spans="1:1" s="287" customFormat="1" ht="12" hidden="1" customHeight="1">
      <c r="A17927" s="286"/>
    </row>
    <row r="17928" spans="1:1" s="287" customFormat="1" ht="12" hidden="1" customHeight="1">
      <c r="A17928" s="286"/>
    </row>
    <row r="17929" spans="1:1" s="287" customFormat="1" ht="12" hidden="1" customHeight="1">
      <c r="A17929" s="286"/>
    </row>
    <row r="17930" spans="1:1" s="287" customFormat="1" ht="12" hidden="1" customHeight="1">
      <c r="A17930" s="286"/>
    </row>
    <row r="17931" spans="1:1" s="287" customFormat="1" ht="12" hidden="1" customHeight="1">
      <c r="A17931" s="286"/>
    </row>
    <row r="17932" spans="1:1" s="287" customFormat="1" ht="12" hidden="1" customHeight="1">
      <c r="A17932" s="286"/>
    </row>
    <row r="17933" spans="1:1" s="287" customFormat="1" ht="12" hidden="1" customHeight="1">
      <c r="A17933" s="286"/>
    </row>
    <row r="17934" spans="1:1" s="287" customFormat="1" ht="12" hidden="1" customHeight="1">
      <c r="A17934" s="286"/>
    </row>
    <row r="17935" spans="1:1" s="287" customFormat="1" ht="12" hidden="1" customHeight="1">
      <c r="A17935" s="286"/>
    </row>
    <row r="17936" spans="1:1" s="287" customFormat="1" ht="12" hidden="1" customHeight="1">
      <c r="A17936" s="286"/>
    </row>
    <row r="17937" spans="1:1" s="287" customFormat="1" ht="12" hidden="1" customHeight="1">
      <c r="A17937" s="286"/>
    </row>
    <row r="17938" spans="1:1" s="287" customFormat="1" ht="12" hidden="1" customHeight="1">
      <c r="A17938" s="286"/>
    </row>
    <row r="17939" spans="1:1" s="287" customFormat="1" ht="12" hidden="1" customHeight="1">
      <c r="A17939" s="286"/>
    </row>
    <row r="17940" spans="1:1" s="287" customFormat="1" ht="12" hidden="1" customHeight="1">
      <c r="A17940" s="286"/>
    </row>
    <row r="17941" spans="1:1" s="287" customFormat="1" ht="12" hidden="1" customHeight="1">
      <c r="A17941" s="286"/>
    </row>
    <row r="17942" spans="1:1" s="287" customFormat="1" ht="12" hidden="1" customHeight="1">
      <c r="A17942" s="286"/>
    </row>
    <row r="17943" spans="1:1" s="287" customFormat="1" ht="12" hidden="1" customHeight="1">
      <c r="A17943" s="286"/>
    </row>
    <row r="17944" spans="1:1" s="287" customFormat="1" ht="12" hidden="1" customHeight="1">
      <c r="A17944" s="286"/>
    </row>
    <row r="17945" spans="1:1" s="287" customFormat="1" ht="12" hidden="1" customHeight="1">
      <c r="A17945" s="286"/>
    </row>
    <row r="17946" spans="1:1" s="287" customFormat="1" ht="12" hidden="1" customHeight="1">
      <c r="A17946" s="286"/>
    </row>
    <row r="17947" spans="1:1" s="287" customFormat="1" ht="12" hidden="1" customHeight="1">
      <c r="A17947" s="286"/>
    </row>
    <row r="17948" spans="1:1" s="287" customFormat="1" ht="12" hidden="1" customHeight="1">
      <c r="A17948" s="286"/>
    </row>
    <row r="17949" spans="1:1" s="287" customFormat="1" ht="12" hidden="1" customHeight="1">
      <c r="A17949" s="286"/>
    </row>
    <row r="17950" spans="1:1" s="287" customFormat="1" ht="12" hidden="1" customHeight="1">
      <c r="A17950" s="286"/>
    </row>
    <row r="17951" spans="1:1" s="287" customFormat="1" ht="12" hidden="1" customHeight="1">
      <c r="A17951" s="286"/>
    </row>
    <row r="17952" spans="1:1" s="287" customFormat="1" ht="12" hidden="1" customHeight="1">
      <c r="A17952" s="286"/>
    </row>
    <row r="17953" spans="1:1" s="287" customFormat="1" ht="12" hidden="1" customHeight="1">
      <c r="A17953" s="286"/>
    </row>
    <row r="17954" spans="1:1" s="287" customFormat="1" ht="12" hidden="1" customHeight="1">
      <c r="A17954" s="286"/>
    </row>
    <row r="17955" spans="1:1" s="287" customFormat="1" ht="12" hidden="1" customHeight="1">
      <c r="A17955" s="286"/>
    </row>
    <row r="17956" spans="1:1" s="287" customFormat="1" ht="12" hidden="1" customHeight="1">
      <c r="A17956" s="286"/>
    </row>
    <row r="17957" spans="1:1" s="287" customFormat="1" ht="12" hidden="1" customHeight="1">
      <c r="A17957" s="286"/>
    </row>
    <row r="17958" spans="1:1" s="287" customFormat="1" ht="12" hidden="1" customHeight="1">
      <c r="A17958" s="286"/>
    </row>
    <row r="17959" spans="1:1" s="287" customFormat="1" ht="12" hidden="1" customHeight="1">
      <c r="A17959" s="286"/>
    </row>
    <row r="17960" spans="1:1" s="287" customFormat="1" ht="12" hidden="1" customHeight="1">
      <c r="A17960" s="286"/>
    </row>
    <row r="17961" spans="1:1" s="287" customFormat="1" ht="12" hidden="1" customHeight="1">
      <c r="A17961" s="286"/>
    </row>
    <row r="17962" spans="1:1" s="287" customFormat="1" ht="12" hidden="1" customHeight="1">
      <c r="A17962" s="286"/>
    </row>
    <row r="17963" spans="1:1" s="287" customFormat="1" ht="12" hidden="1" customHeight="1">
      <c r="A17963" s="286"/>
    </row>
    <row r="17964" spans="1:1" s="287" customFormat="1" ht="12" hidden="1" customHeight="1">
      <c r="A17964" s="286"/>
    </row>
    <row r="17965" spans="1:1" s="287" customFormat="1" ht="12" hidden="1" customHeight="1">
      <c r="A17965" s="286"/>
    </row>
    <row r="17966" spans="1:1" s="287" customFormat="1" ht="12" hidden="1" customHeight="1">
      <c r="A17966" s="286"/>
    </row>
    <row r="17967" spans="1:1" s="287" customFormat="1" ht="12" hidden="1" customHeight="1">
      <c r="A17967" s="286"/>
    </row>
    <row r="17968" spans="1:1" s="287" customFormat="1" ht="12" hidden="1" customHeight="1">
      <c r="A17968" s="286"/>
    </row>
    <row r="17969" spans="1:1" s="287" customFormat="1" ht="12" hidden="1" customHeight="1">
      <c r="A17969" s="286"/>
    </row>
    <row r="17970" spans="1:1" s="287" customFormat="1" ht="12" hidden="1" customHeight="1">
      <c r="A17970" s="286"/>
    </row>
    <row r="17971" spans="1:1" s="287" customFormat="1" ht="12" hidden="1" customHeight="1">
      <c r="A17971" s="286"/>
    </row>
    <row r="17972" spans="1:1" s="287" customFormat="1" ht="12" hidden="1" customHeight="1">
      <c r="A17972" s="286"/>
    </row>
    <row r="17973" spans="1:1" s="287" customFormat="1" ht="12" hidden="1" customHeight="1">
      <c r="A17973" s="286"/>
    </row>
    <row r="17974" spans="1:1" s="287" customFormat="1" ht="12" hidden="1" customHeight="1">
      <c r="A17974" s="286"/>
    </row>
    <row r="17975" spans="1:1" s="287" customFormat="1" ht="12" hidden="1" customHeight="1">
      <c r="A17975" s="286"/>
    </row>
    <row r="17976" spans="1:1" s="287" customFormat="1" ht="12" hidden="1" customHeight="1">
      <c r="A17976" s="286"/>
    </row>
    <row r="17977" spans="1:1" s="287" customFormat="1" ht="12" hidden="1" customHeight="1">
      <c r="A17977" s="286"/>
    </row>
    <row r="17978" spans="1:1" s="287" customFormat="1" ht="12" hidden="1" customHeight="1">
      <c r="A17978" s="286"/>
    </row>
    <row r="17979" spans="1:1" s="287" customFormat="1" ht="12" hidden="1" customHeight="1">
      <c r="A17979" s="286"/>
    </row>
    <row r="17980" spans="1:1" s="287" customFormat="1" ht="12" hidden="1" customHeight="1">
      <c r="A17980" s="286"/>
    </row>
    <row r="17981" spans="1:1" s="287" customFormat="1" ht="12" hidden="1" customHeight="1">
      <c r="A17981" s="286"/>
    </row>
    <row r="17982" spans="1:1" s="287" customFormat="1" ht="12" hidden="1" customHeight="1">
      <c r="A17982" s="286"/>
    </row>
    <row r="17983" spans="1:1" s="287" customFormat="1" ht="12" hidden="1" customHeight="1">
      <c r="A17983" s="286"/>
    </row>
    <row r="17984" spans="1:1" s="287" customFormat="1" ht="12" hidden="1" customHeight="1">
      <c r="A17984" s="286"/>
    </row>
    <row r="17985" spans="1:1" s="287" customFormat="1" ht="12" hidden="1" customHeight="1">
      <c r="A17985" s="286"/>
    </row>
    <row r="17986" spans="1:1" s="287" customFormat="1" ht="12" hidden="1" customHeight="1">
      <c r="A17986" s="286"/>
    </row>
    <row r="17987" spans="1:1" s="287" customFormat="1" ht="12" hidden="1" customHeight="1">
      <c r="A17987" s="286"/>
    </row>
    <row r="17988" spans="1:1" s="287" customFormat="1" ht="12" hidden="1" customHeight="1">
      <c r="A17988" s="286"/>
    </row>
    <row r="17989" spans="1:1" s="287" customFormat="1" ht="12" hidden="1" customHeight="1">
      <c r="A17989" s="286"/>
    </row>
    <row r="17990" spans="1:1" s="287" customFormat="1" ht="12" hidden="1" customHeight="1">
      <c r="A17990" s="286"/>
    </row>
    <row r="17991" spans="1:1" s="287" customFormat="1" ht="12" hidden="1" customHeight="1">
      <c r="A17991" s="286"/>
    </row>
    <row r="17992" spans="1:1" s="287" customFormat="1" ht="12" hidden="1" customHeight="1">
      <c r="A17992" s="286"/>
    </row>
    <row r="17993" spans="1:1" s="287" customFormat="1" ht="12" hidden="1" customHeight="1">
      <c r="A17993" s="286"/>
    </row>
    <row r="17994" spans="1:1" s="287" customFormat="1" ht="12" hidden="1" customHeight="1">
      <c r="A17994" s="286"/>
    </row>
    <row r="17995" spans="1:1" s="287" customFormat="1" ht="12" hidden="1" customHeight="1">
      <c r="A17995" s="286"/>
    </row>
    <row r="17996" spans="1:1" s="287" customFormat="1" ht="12" hidden="1" customHeight="1">
      <c r="A17996" s="286"/>
    </row>
    <row r="17997" spans="1:1" s="287" customFormat="1" ht="12" hidden="1" customHeight="1">
      <c r="A17997" s="286"/>
    </row>
    <row r="17998" spans="1:1" s="287" customFormat="1" ht="12" hidden="1" customHeight="1">
      <c r="A17998" s="286"/>
    </row>
    <row r="17999" spans="1:1" s="287" customFormat="1" ht="12" hidden="1" customHeight="1">
      <c r="A17999" s="286"/>
    </row>
    <row r="18000" spans="1:1" s="287" customFormat="1" ht="12" hidden="1" customHeight="1">
      <c r="A18000" s="286"/>
    </row>
    <row r="18001" spans="1:1" s="287" customFormat="1" ht="12" hidden="1" customHeight="1">
      <c r="A18001" s="286"/>
    </row>
    <row r="18002" spans="1:1" s="287" customFormat="1" ht="12" hidden="1" customHeight="1">
      <c r="A18002" s="286"/>
    </row>
    <row r="18003" spans="1:1" s="287" customFormat="1" ht="12" hidden="1" customHeight="1">
      <c r="A18003" s="286"/>
    </row>
    <row r="18004" spans="1:1" s="287" customFormat="1" ht="12" hidden="1" customHeight="1">
      <c r="A18004" s="286"/>
    </row>
    <row r="18005" spans="1:1" s="287" customFormat="1" ht="12" hidden="1" customHeight="1">
      <c r="A18005" s="286"/>
    </row>
    <row r="18006" spans="1:1" s="287" customFormat="1" ht="12" hidden="1" customHeight="1">
      <c r="A18006" s="286"/>
    </row>
    <row r="18007" spans="1:1" s="287" customFormat="1" ht="12" hidden="1" customHeight="1">
      <c r="A18007" s="286"/>
    </row>
    <row r="18008" spans="1:1" s="287" customFormat="1" ht="12" hidden="1" customHeight="1">
      <c r="A18008" s="286"/>
    </row>
    <row r="18009" spans="1:1" s="287" customFormat="1" ht="12" hidden="1" customHeight="1">
      <c r="A18009" s="286"/>
    </row>
    <row r="18010" spans="1:1" s="287" customFormat="1" ht="12" hidden="1" customHeight="1">
      <c r="A18010" s="286"/>
    </row>
    <row r="18011" spans="1:1" s="287" customFormat="1" ht="12" hidden="1" customHeight="1">
      <c r="A18011" s="286"/>
    </row>
    <row r="18012" spans="1:1" s="287" customFormat="1" ht="12" hidden="1" customHeight="1">
      <c r="A18012" s="286"/>
    </row>
    <row r="18013" spans="1:1" s="287" customFormat="1" ht="12" hidden="1" customHeight="1">
      <c r="A18013" s="286"/>
    </row>
    <row r="18014" spans="1:1" s="287" customFormat="1" ht="12" hidden="1" customHeight="1">
      <c r="A18014" s="286"/>
    </row>
    <row r="18015" spans="1:1" s="287" customFormat="1" ht="12" hidden="1" customHeight="1">
      <c r="A18015" s="286"/>
    </row>
    <row r="18016" spans="1:1" s="287" customFormat="1" ht="12" hidden="1" customHeight="1">
      <c r="A18016" s="286"/>
    </row>
    <row r="18017" spans="1:1" s="287" customFormat="1" ht="12" hidden="1" customHeight="1">
      <c r="A18017" s="286"/>
    </row>
    <row r="18018" spans="1:1" s="287" customFormat="1" ht="12" hidden="1" customHeight="1">
      <c r="A18018" s="286"/>
    </row>
    <row r="18019" spans="1:1" s="287" customFormat="1" ht="12" hidden="1" customHeight="1">
      <c r="A18019" s="286"/>
    </row>
    <row r="18020" spans="1:1" s="287" customFormat="1" ht="12" hidden="1" customHeight="1">
      <c r="A18020" s="286"/>
    </row>
    <row r="18021" spans="1:1" s="287" customFormat="1" ht="12" hidden="1" customHeight="1">
      <c r="A18021" s="286"/>
    </row>
    <row r="18022" spans="1:1" s="287" customFormat="1" ht="12" hidden="1" customHeight="1">
      <c r="A18022" s="286"/>
    </row>
    <row r="18023" spans="1:1" s="287" customFormat="1" ht="12" hidden="1" customHeight="1">
      <c r="A18023" s="286"/>
    </row>
    <row r="18024" spans="1:1" s="287" customFormat="1" ht="12" hidden="1" customHeight="1">
      <c r="A18024" s="286"/>
    </row>
    <row r="18025" spans="1:1" s="287" customFormat="1" ht="12" hidden="1" customHeight="1">
      <c r="A18025" s="286"/>
    </row>
    <row r="18026" spans="1:1" s="287" customFormat="1" ht="12" hidden="1" customHeight="1">
      <c r="A18026" s="286"/>
    </row>
    <row r="18027" spans="1:1" s="287" customFormat="1" ht="12" hidden="1" customHeight="1">
      <c r="A18027" s="286"/>
    </row>
    <row r="18028" spans="1:1" s="287" customFormat="1" ht="12" hidden="1" customHeight="1">
      <c r="A18028" s="286"/>
    </row>
    <row r="18029" spans="1:1" s="287" customFormat="1" ht="12" hidden="1" customHeight="1">
      <c r="A18029" s="286"/>
    </row>
    <row r="18030" spans="1:1" s="287" customFormat="1" ht="12" hidden="1" customHeight="1">
      <c r="A18030" s="286"/>
    </row>
    <row r="18031" spans="1:1" s="287" customFormat="1" ht="12" hidden="1" customHeight="1">
      <c r="A18031" s="286"/>
    </row>
    <row r="18032" spans="1:1" s="287" customFormat="1" ht="12" hidden="1" customHeight="1">
      <c r="A18032" s="286"/>
    </row>
    <row r="18033" spans="1:1" s="287" customFormat="1" ht="12" hidden="1" customHeight="1">
      <c r="A18033" s="286"/>
    </row>
    <row r="18034" spans="1:1" s="287" customFormat="1" ht="12" hidden="1" customHeight="1">
      <c r="A18034" s="286"/>
    </row>
    <row r="18035" spans="1:1" s="287" customFormat="1" ht="12" hidden="1" customHeight="1">
      <c r="A18035" s="286"/>
    </row>
    <row r="18036" spans="1:1" s="287" customFormat="1" ht="12" hidden="1" customHeight="1">
      <c r="A18036" s="286"/>
    </row>
    <row r="18037" spans="1:1" s="287" customFormat="1" ht="12" hidden="1" customHeight="1">
      <c r="A18037" s="286"/>
    </row>
    <row r="18038" spans="1:1" s="287" customFormat="1" ht="12" hidden="1" customHeight="1">
      <c r="A18038" s="286"/>
    </row>
    <row r="18039" spans="1:1" s="287" customFormat="1" ht="12" hidden="1" customHeight="1">
      <c r="A18039" s="286"/>
    </row>
    <row r="18040" spans="1:1" s="287" customFormat="1" ht="12" hidden="1" customHeight="1">
      <c r="A18040" s="286"/>
    </row>
    <row r="18041" spans="1:1" s="287" customFormat="1" ht="12" hidden="1" customHeight="1">
      <c r="A18041" s="286"/>
    </row>
    <row r="18042" spans="1:1" s="287" customFormat="1" ht="12" hidden="1" customHeight="1">
      <c r="A18042" s="286"/>
    </row>
    <row r="18043" spans="1:1" s="287" customFormat="1" ht="12" hidden="1" customHeight="1">
      <c r="A18043" s="286"/>
    </row>
    <row r="18044" spans="1:1" s="287" customFormat="1" ht="12" hidden="1" customHeight="1">
      <c r="A18044" s="286"/>
    </row>
    <row r="18045" spans="1:1" s="287" customFormat="1" ht="12" hidden="1" customHeight="1">
      <c r="A18045" s="286"/>
    </row>
    <row r="18046" spans="1:1" s="287" customFormat="1" ht="12" hidden="1" customHeight="1">
      <c r="A18046" s="286"/>
    </row>
    <row r="18047" spans="1:1" s="287" customFormat="1" ht="12" hidden="1" customHeight="1">
      <c r="A18047" s="286"/>
    </row>
    <row r="18048" spans="1:1" s="287" customFormat="1" ht="12" hidden="1" customHeight="1">
      <c r="A18048" s="286"/>
    </row>
    <row r="18049" spans="1:1" s="287" customFormat="1" ht="12" hidden="1" customHeight="1">
      <c r="A18049" s="286"/>
    </row>
    <row r="18050" spans="1:1" s="287" customFormat="1" ht="12" hidden="1" customHeight="1">
      <c r="A18050" s="286"/>
    </row>
    <row r="18051" spans="1:1" s="287" customFormat="1" ht="12" hidden="1" customHeight="1">
      <c r="A18051" s="286"/>
    </row>
    <row r="18052" spans="1:1" s="287" customFormat="1" ht="12" hidden="1" customHeight="1">
      <c r="A18052" s="286"/>
    </row>
    <row r="18053" spans="1:1" s="287" customFormat="1" ht="12" hidden="1" customHeight="1">
      <c r="A18053" s="286"/>
    </row>
    <row r="18054" spans="1:1" s="287" customFormat="1" ht="12" hidden="1" customHeight="1">
      <c r="A18054" s="286"/>
    </row>
    <row r="18055" spans="1:1" s="287" customFormat="1" ht="12" hidden="1" customHeight="1">
      <c r="A18055" s="286"/>
    </row>
    <row r="18056" spans="1:1" s="287" customFormat="1" ht="12" hidden="1" customHeight="1">
      <c r="A18056" s="286"/>
    </row>
    <row r="18057" spans="1:1" s="287" customFormat="1" ht="12" hidden="1" customHeight="1">
      <c r="A18057" s="286"/>
    </row>
    <row r="18058" spans="1:1" s="287" customFormat="1" ht="12" hidden="1" customHeight="1">
      <c r="A18058" s="286"/>
    </row>
    <row r="18059" spans="1:1" s="287" customFormat="1" ht="12" hidden="1" customHeight="1">
      <c r="A18059" s="286"/>
    </row>
    <row r="18060" spans="1:1" s="287" customFormat="1" ht="12" hidden="1" customHeight="1">
      <c r="A18060" s="286"/>
    </row>
    <row r="18061" spans="1:1" s="287" customFormat="1" ht="12" hidden="1" customHeight="1">
      <c r="A18061" s="286"/>
    </row>
    <row r="18062" spans="1:1" s="287" customFormat="1" ht="12" hidden="1" customHeight="1">
      <c r="A18062" s="286"/>
    </row>
    <row r="18063" spans="1:1" s="287" customFormat="1" ht="12" hidden="1" customHeight="1">
      <c r="A18063" s="286"/>
    </row>
    <row r="18064" spans="1:1" s="287" customFormat="1" ht="12" hidden="1" customHeight="1">
      <c r="A18064" s="286"/>
    </row>
    <row r="18065" spans="1:1" s="287" customFormat="1" ht="12" hidden="1" customHeight="1">
      <c r="A18065" s="286"/>
    </row>
    <row r="18066" spans="1:1" s="287" customFormat="1" ht="12" hidden="1" customHeight="1">
      <c r="A18066" s="286"/>
    </row>
    <row r="18067" spans="1:1" s="287" customFormat="1" ht="12" hidden="1" customHeight="1">
      <c r="A18067" s="286"/>
    </row>
    <row r="18068" spans="1:1" s="287" customFormat="1" ht="12" hidden="1" customHeight="1">
      <c r="A18068" s="286"/>
    </row>
    <row r="18069" spans="1:1" s="287" customFormat="1" ht="12" hidden="1" customHeight="1">
      <c r="A18069" s="286"/>
    </row>
    <row r="18070" spans="1:1" s="287" customFormat="1" ht="12" hidden="1" customHeight="1">
      <c r="A18070" s="286"/>
    </row>
    <row r="18071" spans="1:1" s="287" customFormat="1" ht="12" hidden="1" customHeight="1">
      <c r="A18071" s="286"/>
    </row>
    <row r="18072" spans="1:1" s="287" customFormat="1" ht="12" hidden="1" customHeight="1">
      <c r="A18072" s="286"/>
    </row>
    <row r="18073" spans="1:1" s="287" customFormat="1" ht="12" hidden="1" customHeight="1">
      <c r="A18073" s="286"/>
    </row>
    <row r="18074" spans="1:1" s="287" customFormat="1" ht="12" hidden="1" customHeight="1">
      <c r="A18074" s="286"/>
    </row>
    <row r="18075" spans="1:1" s="287" customFormat="1" ht="12" hidden="1" customHeight="1">
      <c r="A18075" s="286"/>
    </row>
    <row r="18076" spans="1:1" s="287" customFormat="1" ht="12" hidden="1" customHeight="1">
      <c r="A18076" s="286"/>
    </row>
    <row r="18077" spans="1:1" s="287" customFormat="1" ht="12" hidden="1" customHeight="1">
      <c r="A18077" s="286"/>
    </row>
    <row r="18078" spans="1:1" s="287" customFormat="1" ht="12" hidden="1" customHeight="1">
      <c r="A18078" s="286"/>
    </row>
    <row r="18079" spans="1:1" s="287" customFormat="1" ht="12" hidden="1" customHeight="1">
      <c r="A18079" s="286"/>
    </row>
    <row r="18080" spans="1:1" s="287" customFormat="1" ht="12" hidden="1" customHeight="1">
      <c r="A18080" s="286"/>
    </row>
    <row r="18081" spans="1:1" s="287" customFormat="1" ht="12" hidden="1" customHeight="1">
      <c r="A18081" s="286"/>
    </row>
    <row r="18082" spans="1:1" s="287" customFormat="1" ht="12" hidden="1" customHeight="1">
      <c r="A18082" s="286"/>
    </row>
    <row r="18083" spans="1:1" s="287" customFormat="1" ht="12" hidden="1" customHeight="1">
      <c r="A18083" s="286"/>
    </row>
    <row r="18084" spans="1:1" s="287" customFormat="1" ht="12" hidden="1" customHeight="1">
      <c r="A18084" s="286"/>
    </row>
    <row r="18085" spans="1:1" s="287" customFormat="1" ht="12" hidden="1" customHeight="1">
      <c r="A18085" s="286"/>
    </row>
    <row r="18086" spans="1:1" s="287" customFormat="1" ht="12" hidden="1" customHeight="1">
      <c r="A18086" s="286"/>
    </row>
    <row r="18087" spans="1:1" s="287" customFormat="1" ht="12" hidden="1" customHeight="1">
      <c r="A18087" s="286"/>
    </row>
    <row r="18088" spans="1:1" s="287" customFormat="1" ht="12" hidden="1" customHeight="1">
      <c r="A18088" s="286"/>
    </row>
    <row r="18089" spans="1:1" s="287" customFormat="1" ht="12" hidden="1" customHeight="1">
      <c r="A18089" s="286"/>
    </row>
    <row r="18090" spans="1:1" s="287" customFormat="1" ht="12" hidden="1" customHeight="1">
      <c r="A18090" s="286"/>
    </row>
    <row r="18091" spans="1:1" s="287" customFormat="1" ht="12" hidden="1" customHeight="1">
      <c r="A18091" s="286"/>
    </row>
    <row r="18092" spans="1:1" s="287" customFormat="1" ht="12" hidden="1" customHeight="1">
      <c r="A18092" s="286"/>
    </row>
    <row r="18093" spans="1:1" s="287" customFormat="1" ht="12" hidden="1" customHeight="1">
      <c r="A18093" s="286"/>
    </row>
    <row r="18094" spans="1:1" s="287" customFormat="1" ht="12" hidden="1" customHeight="1">
      <c r="A18094" s="286"/>
    </row>
    <row r="18095" spans="1:1" s="287" customFormat="1" ht="12" hidden="1" customHeight="1">
      <c r="A18095" s="286"/>
    </row>
    <row r="18096" spans="1:1" s="287" customFormat="1" ht="12" hidden="1" customHeight="1">
      <c r="A18096" s="286"/>
    </row>
    <row r="18097" spans="1:1" s="287" customFormat="1" ht="12" hidden="1" customHeight="1">
      <c r="A18097" s="286"/>
    </row>
    <row r="18098" spans="1:1" s="287" customFormat="1" ht="12" hidden="1" customHeight="1">
      <c r="A18098" s="286"/>
    </row>
    <row r="18099" spans="1:1" s="287" customFormat="1" ht="12" hidden="1" customHeight="1">
      <c r="A18099" s="286"/>
    </row>
    <row r="18100" spans="1:1" s="287" customFormat="1" ht="12" hidden="1" customHeight="1">
      <c r="A18100" s="286"/>
    </row>
    <row r="18101" spans="1:1" s="287" customFormat="1" ht="12" hidden="1" customHeight="1">
      <c r="A18101" s="286"/>
    </row>
    <row r="18102" spans="1:1" s="287" customFormat="1" ht="12" hidden="1" customHeight="1">
      <c r="A18102" s="286"/>
    </row>
    <row r="18103" spans="1:1" s="287" customFormat="1" ht="12" hidden="1" customHeight="1">
      <c r="A18103" s="286"/>
    </row>
    <row r="18104" spans="1:1" s="287" customFormat="1" ht="12" hidden="1" customHeight="1">
      <c r="A18104" s="286"/>
    </row>
    <row r="18105" spans="1:1" s="287" customFormat="1" ht="12" hidden="1" customHeight="1">
      <c r="A18105" s="286"/>
    </row>
    <row r="18106" spans="1:1" s="287" customFormat="1" ht="12" hidden="1" customHeight="1">
      <c r="A18106" s="286"/>
    </row>
    <row r="18107" spans="1:1" s="287" customFormat="1" ht="12" hidden="1" customHeight="1">
      <c r="A18107" s="286"/>
    </row>
    <row r="18108" spans="1:1" s="287" customFormat="1" ht="12" hidden="1" customHeight="1">
      <c r="A18108" s="286"/>
    </row>
    <row r="18109" spans="1:1" s="287" customFormat="1" ht="12" hidden="1" customHeight="1">
      <c r="A18109" s="286"/>
    </row>
    <row r="18110" spans="1:1" s="287" customFormat="1" ht="12" hidden="1" customHeight="1">
      <c r="A18110" s="286"/>
    </row>
    <row r="18111" spans="1:1" s="287" customFormat="1" ht="12" hidden="1" customHeight="1">
      <c r="A18111" s="286"/>
    </row>
    <row r="18112" spans="1:1" s="287" customFormat="1" ht="12" hidden="1" customHeight="1">
      <c r="A18112" s="286"/>
    </row>
    <row r="18113" spans="1:1" s="287" customFormat="1" ht="12" hidden="1" customHeight="1">
      <c r="A18113" s="286"/>
    </row>
    <row r="18114" spans="1:1" s="287" customFormat="1" ht="12" hidden="1" customHeight="1">
      <c r="A18114" s="286"/>
    </row>
    <row r="18115" spans="1:1" s="287" customFormat="1" ht="12" hidden="1" customHeight="1">
      <c r="A18115" s="286"/>
    </row>
    <row r="18116" spans="1:1" s="287" customFormat="1" ht="12" hidden="1" customHeight="1">
      <c r="A18116" s="286"/>
    </row>
    <row r="18117" spans="1:1" s="287" customFormat="1" ht="12" hidden="1" customHeight="1">
      <c r="A18117" s="286"/>
    </row>
    <row r="18118" spans="1:1" s="287" customFormat="1" ht="12" hidden="1" customHeight="1">
      <c r="A18118" s="286"/>
    </row>
    <row r="18119" spans="1:1" s="287" customFormat="1" ht="12" hidden="1" customHeight="1">
      <c r="A18119" s="286"/>
    </row>
    <row r="18120" spans="1:1" s="287" customFormat="1" ht="12" hidden="1" customHeight="1">
      <c r="A18120" s="286"/>
    </row>
    <row r="18121" spans="1:1" s="287" customFormat="1" ht="12" hidden="1" customHeight="1">
      <c r="A18121" s="286"/>
    </row>
    <row r="18122" spans="1:1" s="287" customFormat="1" ht="12" hidden="1" customHeight="1">
      <c r="A18122" s="286"/>
    </row>
    <row r="18123" spans="1:1" s="287" customFormat="1" ht="12" hidden="1" customHeight="1">
      <c r="A18123" s="286"/>
    </row>
    <row r="18124" spans="1:1" s="287" customFormat="1" ht="12" hidden="1" customHeight="1">
      <c r="A18124" s="286"/>
    </row>
    <row r="18125" spans="1:1" s="287" customFormat="1" ht="12" hidden="1" customHeight="1">
      <c r="A18125" s="286"/>
    </row>
    <row r="18126" spans="1:1" s="287" customFormat="1" ht="12" hidden="1" customHeight="1">
      <c r="A18126" s="286"/>
    </row>
    <row r="18127" spans="1:1" s="287" customFormat="1" ht="12" hidden="1" customHeight="1">
      <c r="A18127" s="286"/>
    </row>
    <row r="18128" spans="1:1" s="287" customFormat="1" ht="12" hidden="1" customHeight="1">
      <c r="A18128" s="286"/>
    </row>
    <row r="18129" spans="1:1" s="287" customFormat="1" ht="12" hidden="1" customHeight="1">
      <c r="A18129" s="286"/>
    </row>
    <row r="18130" spans="1:1" s="287" customFormat="1" ht="12" hidden="1" customHeight="1">
      <c r="A18130" s="286"/>
    </row>
    <row r="18131" spans="1:1" s="287" customFormat="1" ht="12" hidden="1" customHeight="1">
      <c r="A18131" s="286"/>
    </row>
    <row r="18132" spans="1:1" s="287" customFormat="1" ht="12" hidden="1" customHeight="1">
      <c r="A18132" s="286"/>
    </row>
    <row r="18133" spans="1:1" s="287" customFormat="1" ht="12" hidden="1" customHeight="1">
      <c r="A18133" s="286"/>
    </row>
    <row r="18134" spans="1:1" s="287" customFormat="1" ht="12" hidden="1" customHeight="1">
      <c r="A18134" s="286"/>
    </row>
    <row r="18135" spans="1:1" s="287" customFormat="1" ht="12" hidden="1" customHeight="1">
      <c r="A18135" s="286"/>
    </row>
    <row r="18136" spans="1:1" s="287" customFormat="1" ht="12" hidden="1" customHeight="1">
      <c r="A18136" s="286"/>
    </row>
    <row r="18137" spans="1:1" s="287" customFormat="1" ht="12" hidden="1" customHeight="1">
      <c r="A18137" s="286"/>
    </row>
    <row r="18138" spans="1:1" s="287" customFormat="1" ht="12" hidden="1" customHeight="1">
      <c r="A18138" s="286"/>
    </row>
    <row r="18139" spans="1:1" s="287" customFormat="1" ht="12" hidden="1" customHeight="1">
      <c r="A18139" s="286"/>
    </row>
    <row r="18140" spans="1:1" s="287" customFormat="1" ht="12" hidden="1" customHeight="1">
      <c r="A18140" s="286"/>
    </row>
    <row r="18141" spans="1:1" s="287" customFormat="1" ht="12" hidden="1" customHeight="1">
      <c r="A18141" s="286"/>
    </row>
    <row r="18142" spans="1:1" s="287" customFormat="1" ht="12" hidden="1" customHeight="1">
      <c r="A18142" s="286"/>
    </row>
    <row r="18143" spans="1:1" s="287" customFormat="1" ht="12" hidden="1" customHeight="1">
      <c r="A18143" s="286"/>
    </row>
    <row r="18144" spans="1:1" s="287" customFormat="1" ht="12" hidden="1" customHeight="1">
      <c r="A18144" s="286"/>
    </row>
    <row r="18145" spans="1:1" s="287" customFormat="1" ht="12" hidden="1" customHeight="1">
      <c r="A18145" s="286"/>
    </row>
    <row r="18146" spans="1:1" s="287" customFormat="1" ht="12" hidden="1" customHeight="1">
      <c r="A18146" s="286"/>
    </row>
    <row r="18147" spans="1:1" s="287" customFormat="1" ht="12" hidden="1" customHeight="1">
      <c r="A18147" s="286"/>
    </row>
    <row r="18148" spans="1:1" s="287" customFormat="1" ht="12" hidden="1" customHeight="1">
      <c r="A18148" s="286"/>
    </row>
    <row r="18149" spans="1:1" s="287" customFormat="1" ht="12" hidden="1" customHeight="1">
      <c r="A18149" s="286"/>
    </row>
    <row r="18150" spans="1:1" s="287" customFormat="1" ht="12" hidden="1" customHeight="1">
      <c r="A18150" s="286"/>
    </row>
    <row r="18151" spans="1:1" s="287" customFormat="1" ht="12" hidden="1" customHeight="1">
      <c r="A18151" s="286"/>
    </row>
    <row r="18152" spans="1:1" s="287" customFormat="1" ht="12" hidden="1" customHeight="1">
      <c r="A18152" s="286"/>
    </row>
    <row r="18153" spans="1:1" s="287" customFormat="1" ht="12" hidden="1" customHeight="1">
      <c r="A18153" s="286"/>
    </row>
    <row r="18154" spans="1:1" s="287" customFormat="1" ht="12" hidden="1" customHeight="1">
      <c r="A18154" s="286"/>
    </row>
    <row r="18155" spans="1:1" s="287" customFormat="1" ht="12" hidden="1" customHeight="1">
      <c r="A18155" s="286"/>
    </row>
    <row r="18156" spans="1:1" s="287" customFormat="1" ht="12" hidden="1" customHeight="1">
      <c r="A18156" s="286"/>
    </row>
    <row r="18157" spans="1:1" s="287" customFormat="1" ht="12" hidden="1" customHeight="1">
      <c r="A18157" s="286"/>
    </row>
    <row r="18158" spans="1:1" s="287" customFormat="1" ht="12" hidden="1" customHeight="1">
      <c r="A18158" s="286"/>
    </row>
    <row r="18159" spans="1:1" s="287" customFormat="1" ht="12" hidden="1" customHeight="1">
      <c r="A18159" s="286"/>
    </row>
    <row r="18160" spans="1:1" s="287" customFormat="1" ht="12" hidden="1" customHeight="1">
      <c r="A18160" s="286"/>
    </row>
    <row r="18161" spans="1:1" s="287" customFormat="1" ht="12" hidden="1" customHeight="1">
      <c r="A18161" s="286"/>
    </row>
    <row r="18162" spans="1:1" s="287" customFormat="1" ht="12" hidden="1" customHeight="1">
      <c r="A18162" s="286"/>
    </row>
    <row r="18163" spans="1:1" s="287" customFormat="1" ht="12" hidden="1" customHeight="1">
      <c r="A18163" s="286"/>
    </row>
    <row r="18164" spans="1:1" s="287" customFormat="1" ht="12" hidden="1" customHeight="1">
      <c r="A18164" s="286"/>
    </row>
    <row r="18165" spans="1:1" s="287" customFormat="1" ht="12" hidden="1" customHeight="1">
      <c r="A18165" s="286"/>
    </row>
    <row r="18166" spans="1:1" s="287" customFormat="1" ht="12" hidden="1" customHeight="1">
      <c r="A18166" s="286"/>
    </row>
    <row r="18167" spans="1:1" s="287" customFormat="1" ht="12" hidden="1" customHeight="1">
      <c r="A18167" s="286"/>
    </row>
    <row r="18168" spans="1:1" s="287" customFormat="1" ht="12" hidden="1" customHeight="1">
      <c r="A18168" s="286"/>
    </row>
    <row r="18169" spans="1:1" s="287" customFormat="1" ht="12" hidden="1" customHeight="1">
      <c r="A18169" s="286"/>
    </row>
    <row r="18170" spans="1:1" s="287" customFormat="1" ht="12" hidden="1" customHeight="1">
      <c r="A18170" s="286"/>
    </row>
    <row r="18171" spans="1:1" s="287" customFormat="1" ht="12" hidden="1" customHeight="1">
      <c r="A18171" s="286"/>
    </row>
    <row r="18172" spans="1:1" s="287" customFormat="1" ht="12" hidden="1" customHeight="1">
      <c r="A18172" s="286"/>
    </row>
    <row r="18173" spans="1:1" s="287" customFormat="1" ht="12" hidden="1" customHeight="1">
      <c r="A18173" s="286"/>
    </row>
    <row r="18174" spans="1:1" s="287" customFormat="1" ht="12" hidden="1" customHeight="1">
      <c r="A18174" s="286"/>
    </row>
    <row r="18175" spans="1:1" s="287" customFormat="1" ht="12" hidden="1" customHeight="1">
      <c r="A18175" s="286"/>
    </row>
    <row r="18176" spans="1:1" s="287" customFormat="1" ht="12" hidden="1" customHeight="1">
      <c r="A18176" s="286"/>
    </row>
    <row r="18177" spans="1:1" s="287" customFormat="1" ht="12" hidden="1" customHeight="1">
      <c r="A18177" s="286"/>
    </row>
    <row r="18178" spans="1:1" s="287" customFormat="1" ht="12" hidden="1" customHeight="1">
      <c r="A18178" s="286"/>
    </row>
    <row r="18179" spans="1:1" s="287" customFormat="1" ht="12" hidden="1" customHeight="1">
      <c r="A18179" s="286"/>
    </row>
    <row r="18180" spans="1:1" s="287" customFormat="1" ht="12" hidden="1" customHeight="1">
      <c r="A18180" s="286"/>
    </row>
    <row r="18181" spans="1:1" s="287" customFormat="1" ht="12" hidden="1" customHeight="1">
      <c r="A18181" s="286"/>
    </row>
    <row r="18182" spans="1:1" s="287" customFormat="1" ht="12" hidden="1" customHeight="1">
      <c r="A18182" s="286"/>
    </row>
    <row r="18183" spans="1:1" s="287" customFormat="1" ht="12" hidden="1" customHeight="1">
      <c r="A18183" s="286"/>
    </row>
    <row r="18184" spans="1:1" s="287" customFormat="1" ht="12" hidden="1" customHeight="1">
      <c r="A18184" s="286"/>
    </row>
    <row r="18185" spans="1:1" s="287" customFormat="1" ht="12" hidden="1" customHeight="1">
      <c r="A18185" s="286"/>
    </row>
    <row r="18186" spans="1:1" s="287" customFormat="1" ht="12" hidden="1" customHeight="1">
      <c r="A18186" s="286"/>
    </row>
    <row r="18187" spans="1:1" s="287" customFormat="1" ht="12" hidden="1" customHeight="1">
      <c r="A18187" s="286"/>
    </row>
    <row r="18188" spans="1:1" s="287" customFormat="1" ht="12" hidden="1" customHeight="1">
      <c r="A18188" s="286"/>
    </row>
    <row r="18189" spans="1:1" s="287" customFormat="1" ht="12" hidden="1" customHeight="1">
      <c r="A18189" s="286"/>
    </row>
    <row r="18190" spans="1:1" s="287" customFormat="1" ht="12" hidden="1" customHeight="1">
      <c r="A18190" s="286"/>
    </row>
    <row r="18191" spans="1:1" s="287" customFormat="1" ht="12" hidden="1" customHeight="1">
      <c r="A18191" s="286"/>
    </row>
    <row r="18192" spans="1:1" s="287" customFormat="1" ht="12" hidden="1" customHeight="1">
      <c r="A18192" s="286"/>
    </row>
    <row r="18193" spans="1:1" s="287" customFormat="1" ht="12" hidden="1" customHeight="1">
      <c r="A18193" s="286"/>
    </row>
    <row r="18194" spans="1:1" s="287" customFormat="1" ht="12" hidden="1" customHeight="1">
      <c r="A18194" s="286"/>
    </row>
    <row r="18195" spans="1:1" s="287" customFormat="1" ht="12" hidden="1" customHeight="1">
      <c r="A18195" s="286"/>
    </row>
    <row r="18196" spans="1:1" s="287" customFormat="1" ht="12" hidden="1" customHeight="1">
      <c r="A18196" s="286"/>
    </row>
    <row r="18197" spans="1:1" s="287" customFormat="1" ht="12" hidden="1" customHeight="1">
      <c r="A18197" s="286"/>
    </row>
    <row r="18198" spans="1:1" s="287" customFormat="1" ht="12" hidden="1" customHeight="1">
      <c r="A18198" s="286"/>
    </row>
    <row r="18199" spans="1:1" s="287" customFormat="1" ht="12" hidden="1" customHeight="1">
      <c r="A18199" s="286"/>
    </row>
    <row r="18200" spans="1:1" s="287" customFormat="1" ht="12" hidden="1" customHeight="1">
      <c r="A18200" s="286"/>
    </row>
    <row r="18201" spans="1:1" s="287" customFormat="1" ht="12" hidden="1" customHeight="1">
      <c r="A18201" s="286"/>
    </row>
    <row r="18202" spans="1:1" s="287" customFormat="1" ht="12" hidden="1" customHeight="1">
      <c r="A18202" s="286"/>
    </row>
    <row r="18203" spans="1:1" s="287" customFormat="1" ht="12" hidden="1" customHeight="1">
      <c r="A18203" s="286"/>
    </row>
    <row r="18204" spans="1:1" s="287" customFormat="1" ht="12" hidden="1" customHeight="1">
      <c r="A18204" s="286"/>
    </row>
    <row r="18205" spans="1:1" s="287" customFormat="1" ht="12" hidden="1" customHeight="1">
      <c r="A18205" s="286"/>
    </row>
    <row r="18206" spans="1:1" s="287" customFormat="1" ht="12" hidden="1" customHeight="1">
      <c r="A18206" s="286"/>
    </row>
    <row r="18207" spans="1:1" s="287" customFormat="1" ht="12" hidden="1" customHeight="1">
      <c r="A18207" s="286"/>
    </row>
    <row r="18208" spans="1:1" s="287" customFormat="1" ht="12" hidden="1" customHeight="1">
      <c r="A18208" s="286"/>
    </row>
    <row r="18209" spans="1:1" s="287" customFormat="1" ht="12" hidden="1" customHeight="1">
      <c r="A18209" s="286"/>
    </row>
    <row r="18210" spans="1:1" s="287" customFormat="1" ht="12" hidden="1" customHeight="1">
      <c r="A18210" s="286"/>
    </row>
    <row r="18211" spans="1:1" s="287" customFormat="1" ht="12" hidden="1" customHeight="1">
      <c r="A18211" s="286"/>
    </row>
    <row r="18212" spans="1:1" s="287" customFormat="1" ht="12" hidden="1" customHeight="1">
      <c r="A18212" s="286"/>
    </row>
    <row r="18213" spans="1:1" s="287" customFormat="1" ht="12" hidden="1" customHeight="1">
      <c r="A18213" s="286"/>
    </row>
    <row r="18214" spans="1:1" s="287" customFormat="1" ht="12" hidden="1" customHeight="1">
      <c r="A18214" s="286"/>
    </row>
    <row r="18215" spans="1:1" s="287" customFormat="1" ht="12" hidden="1" customHeight="1">
      <c r="A18215" s="286"/>
    </row>
    <row r="18216" spans="1:1" s="287" customFormat="1" ht="12" hidden="1" customHeight="1">
      <c r="A18216" s="286"/>
    </row>
    <row r="18217" spans="1:1" s="287" customFormat="1" ht="12" hidden="1" customHeight="1">
      <c r="A18217" s="286"/>
    </row>
    <row r="18218" spans="1:1" s="287" customFormat="1" ht="12" hidden="1" customHeight="1">
      <c r="A18218" s="286"/>
    </row>
    <row r="18219" spans="1:1" s="287" customFormat="1" ht="12" hidden="1" customHeight="1">
      <c r="A18219" s="286"/>
    </row>
    <row r="18220" spans="1:1" s="287" customFormat="1" ht="12" hidden="1" customHeight="1">
      <c r="A18220" s="286"/>
    </row>
    <row r="18221" spans="1:1" s="287" customFormat="1" ht="12" hidden="1" customHeight="1">
      <c r="A18221" s="286"/>
    </row>
    <row r="18222" spans="1:1" s="287" customFormat="1" ht="12" hidden="1" customHeight="1">
      <c r="A18222" s="286"/>
    </row>
    <row r="18223" spans="1:1" s="287" customFormat="1" ht="12" hidden="1" customHeight="1">
      <c r="A18223" s="286"/>
    </row>
    <row r="18224" spans="1:1" s="287" customFormat="1" ht="12" hidden="1" customHeight="1">
      <c r="A18224" s="286"/>
    </row>
    <row r="18225" spans="1:1" s="287" customFormat="1" ht="12" hidden="1" customHeight="1">
      <c r="A18225" s="286"/>
    </row>
    <row r="18226" spans="1:1" s="287" customFormat="1" ht="12" hidden="1" customHeight="1">
      <c r="A18226" s="286"/>
    </row>
    <row r="18227" spans="1:1" s="287" customFormat="1" ht="12" hidden="1" customHeight="1">
      <c r="A18227" s="286"/>
    </row>
    <row r="18228" spans="1:1" s="287" customFormat="1" ht="12" hidden="1" customHeight="1">
      <c r="A18228" s="286"/>
    </row>
    <row r="18229" spans="1:1" s="287" customFormat="1" ht="12" hidden="1" customHeight="1">
      <c r="A18229" s="286"/>
    </row>
    <row r="18230" spans="1:1" s="287" customFormat="1" ht="12" hidden="1" customHeight="1">
      <c r="A18230" s="286"/>
    </row>
    <row r="18231" spans="1:1" s="287" customFormat="1" ht="12" hidden="1" customHeight="1">
      <c r="A18231" s="286"/>
    </row>
    <row r="18232" spans="1:1" s="287" customFormat="1" ht="12" hidden="1" customHeight="1">
      <c r="A18232" s="286"/>
    </row>
    <row r="18233" spans="1:1" s="287" customFormat="1" ht="12" hidden="1" customHeight="1">
      <c r="A18233" s="286"/>
    </row>
    <row r="18234" spans="1:1" s="287" customFormat="1" ht="12" hidden="1" customHeight="1">
      <c r="A18234" s="286"/>
    </row>
    <row r="18235" spans="1:1" s="287" customFormat="1" ht="12" hidden="1" customHeight="1">
      <c r="A18235" s="286"/>
    </row>
    <row r="18236" spans="1:1" s="287" customFormat="1" ht="12" hidden="1" customHeight="1">
      <c r="A18236" s="286"/>
    </row>
    <row r="18237" spans="1:1" s="287" customFormat="1" ht="12" hidden="1" customHeight="1">
      <c r="A18237" s="286"/>
    </row>
    <row r="18238" spans="1:1" s="287" customFormat="1" ht="12" hidden="1" customHeight="1">
      <c r="A18238" s="286"/>
    </row>
    <row r="18239" spans="1:1" s="287" customFormat="1" ht="12" hidden="1" customHeight="1">
      <c r="A18239" s="286"/>
    </row>
    <row r="18240" spans="1:1" s="287" customFormat="1" ht="12" hidden="1" customHeight="1">
      <c r="A18240" s="286"/>
    </row>
    <row r="18241" spans="1:1" s="287" customFormat="1" ht="12" hidden="1" customHeight="1">
      <c r="A18241" s="286"/>
    </row>
    <row r="18242" spans="1:1" s="287" customFormat="1" ht="12" hidden="1" customHeight="1">
      <c r="A18242" s="286"/>
    </row>
    <row r="18243" spans="1:1" s="287" customFormat="1" ht="12" hidden="1" customHeight="1">
      <c r="A18243" s="286"/>
    </row>
    <row r="18244" spans="1:1" s="287" customFormat="1" ht="12" hidden="1" customHeight="1">
      <c r="A18244" s="286"/>
    </row>
    <row r="18245" spans="1:1" s="287" customFormat="1" ht="12" hidden="1" customHeight="1">
      <c r="A18245" s="286"/>
    </row>
    <row r="18246" spans="1:1" s="287" customFormat="1" ht="12" hidden="1" customHeight="1">
      <c r="A18246" s="286"/>
    </row>
    <row r="18247" spans="1:1" s="287" customFormat="1" ht="12" hidden="1" customHeight="1">
      <c r="A18247" s="286"/>
    </row>
    <row r="18248" spans="1:1" s="287" customFormat="1" ht="12" hidden="1" customHeight="1">
      <c r="A18248" s="286"/>
    </row>
    <row r="18249" spans="1:1" s="287" customFormat="1" ht="12" hidden="1" customHeight="1">
      <c r="A18249" s="286"/>
    </row>
    <row r="18250" spans="1:1" s="287" customFormat="1" ht="12" hidden="1" customHeight="1">
      <c r="A18250" s="286"/>
    </row>
    <row r="18251" spans="1:1" s="287" customFormat="1" ht="12" hidden="1" customHeight="1">
      <c r="A18251" s="286"/>
    </row>
    <row r="18252" spans="1:1" s="287" customFormat="1" ht="12" hidden="1" customHeight="1">
      <c r="A18252" s="286"/>
    </row>
    <row r="18253" spans="1:1" s="287" customFormat="1" ht="12" hidden="1" customHeight="1">
      <c r="A18253" s="286"/>
    </row>
    <row r="18254" spans="1:1" s="287" customFormat="1" ht="12" hidden="1" customHeight="1">
      <c r="A18254" s="286"/>
    </row>
    <row r="18255" spans="1:1" s="287" customFormat="1" ht="12" hidden="1" customHeight="1">
      <c r="A18255" s="286"/>
    </row>
    <row r="18256" spans="1:1" s="287" customFormat="1" ht="12" hidden="1" customHeight="1">
      <c r="A18256" s="286"/>
    </row>
    <row r="18257" spans="1:1" s="287" customFormat="1" ht="12" hidden="1" customHeight="1">
      <c r="A18257" s="286"/>
    </row>
    <row r="18258" spans="1:1" s="287" customFormat="1" ht="12" hidden="1" customHeight="1">
      <c r="A18258" s="286"/>
    </row>
    <row r="18259" spans="1:1" s="287" customFormat="1" ht="12" hidden="1" customHeight="1">
      <c r="A18259" s="286"/>
    </row>
    <row r="18260" spans="1:1" s="287" customFormat="1" ht="12" hidden="1" customHeight="1">
      <c r="A18260" s="286"/>
    </row>
    <row r="18261" spans="1:1" s="287" customFormat="1" ht="12" hidden="1" customHeight="1">
      <c r="A18261" s="286"/>
    </row>
    <row r="18262" spans="1:1" s="287" customFormat="1" ht="12" hidden="1" customHeight="1">
      <c r="A18262" s="286"/>
    </row>
    <row r="18263" spans="1:1" s="287" customFormat="1" ht="12" hidden="1" customHeight="1">
      <c r="A18263" s="286"/>
    </row>
    <row r="18264" spans="1:1" s="287" customFormat="1" ht="12" hidden="1" customHeight="1">
      <c r="A18264" s="286"/>
    </row>
    <row r="18265" spans="1:1" s="287" customFormat="1" ht="12" hidden="1" customHeight="1">
      <c r="A18265" s="286"/>
    </row>
    <row r="18266" spans="1:1" s="287" customFormat="1" ht="12" hidden="1" customHeight="1">
      <c r="A18266" s="286"/>
    </row>
    <row r="18267" spans="1:1" s="287" customFormat="1" ht="12" hidden="1" customHeight="1">
      <c r="A18267" s="286"/>
    </row>
    <row r="18268" spans="1:1" s="287" customFormat="1" ht="12" hidden="1" customHeight="1">
      <c r="A18268" s="286"/>
    </row>
    <row r="18269" spans="1:1" s="287" customFormat="1" ht="12" hidden="1" customHeight="1">
      <c r="A18269" s="286"/>
    </row>
    <row r="18270" spans="1:1" s="287" customFormat="1" ht="12" hidden="1" customHeight="1">
      <c r="A18270" s="286"/>
    </row>
    <row r="18271" spans="1:1" s="287" customFormat="1" ht="12" hidden="1" customHeight="1">
      <c r="A18271" s="286"/>
    </row>
    <row r="18272" spans="1:1" s="287" customFormat="1" ht="12" hidden="1" customHeight="1">
      <c r="A18272" s="286"/>
    </row>
    <row r="18273" spans="1:1" s="287" customFormat="1" ht="12" hidden="1" customHeight="1">
      <c r="A18273" s="286"/>
    </row>
    <row r="18274" spans="1:1" s="287" customFormat="1" ht="12" hidden="1" customHeight="1">
      <c r="A18274" s="286"/>
    </row>
    <row r="18275" spans="1:1" s="287" customFormat="1" ht="12" hidden="1" customHeight="1">
      <c r="A18275" s="286"/>
    </row>
    <row r="18276" spans="1:1" s="287" customFormat="1" ht="12" hidden="1" customHeight="1">
      <c r="A18276" s="286"/>
    </row>
    <row r="18277" spans="1:1" s="287" customFormat="1" ht="12" hidden="1" customHeight="1">
      <c r="A18277" s="286"/>
    </row>
    <row r="18278" spans="1:1" s="287" customFormat="1" ht="12" hidden="1" customHeight="1">
      <c r="A18278" s="286"/>
    </row>
    <row r="18279" spans="1:1" s="287" customFormat="1" ht="12" hidden="1" customHeight="1">
      <c r="A18279" s="286"/>
    </row>
    <row r="18280" spans="1:1" s="287" customFormat="1" ht="12" hidden="1" customHeight="1">
      <c r="A18280" s="286"/>
    </row>
    <row r="18281" spans="1:1" s="287" customFormat="1" ht="12" hidden="1" customHeight="1">
      <c r="A18281" s="286"/>
    </row>
    <row r="18282" spans="1:1" s="287" customFormat="1" ht="12" hidden="1" customHeight="1">
      <c r="A18282" s="286"/>
    </row>
    <row r="18283" spans="1:1" s="287" customFormat="1" ht="12" hidden="1" customHeight="1">
      <c r="A18283" s="286"/>
    </row>
    <row r="18284" spans="1:1" s="287" customFormat="1" ht="12" hidden="1" customHeight="1">
      <c r="A18284" s="286"/>
    </row>
    <row r="18285" spans="1:1" s="287" customFormat="1" ht="12" hidden="1" customHeight="1">
      <c r="A18285" s="286"/>
    </row>
    <row r="18286" spans="1:1" s="287" customFormat="1" ht="12" hidden="1" customHeight="1">
      <c r="A18286" s="286"/>
    </row>
    <row r="18287" spans="1:1" s="287" customFormat="1" ht="12" hidden="1" customHeight="1">
      <c r="A18287" s="286"/>
    </row>
    <row r="18288" spans="1:1" s="287" customFormat="1" ht="12" hidden="1" customHeight="1">
      <c r="A18288" s="286"/>
    </row>
    <row r="18289" spans="1:1" s="287" customFormat="1" ht="12" hidden="1" customHeight="1">
      <c r="A18289" s="286"/>
    </row>
    <row r="18290" spans="1:1" s="287" customFormat="1" ht="12" hidden="1" customHeight="1">
      <c r="A18290" s="286"/>
    </row>
    <row r="18291" spans="1:1" s="287" customFormat="1" ht="12" hidden="1" customHeight="1">
      <c r="A18291" s="286"/>
    </row>
    <row r="18292" spans="1:1" s="287" customFormat="1" ht="12" hidden="1" customHeight="1">
      <c r="A18292" s="286"/>
    </row>
    <row r="18293" spans="1:1" s="287" customFormat="1" ht="12" hidden="1" customHeight="1">
      <c r="A18293" s="286"/>
    </row>
    <row r="18294" spans="1:1" s="287" customFormat="1" ht="12" hidden="1" customHeight="1">
      <c r="A18294" s="286"/>
    </row>
    <row r="18295" spans="1:1" s="287" customFormat="1" ht="12" hidden="1" customHeight="1">
      <c r="A18295" s="286"/>
    </row>
    <row r="18296" spans="1:1" s="287" customFormat="1" ht="12" hidden="1" customHeight="1">
      <c r="A18296" s="286"/>
    </row>
    <row r="18297" spans="1:1" s="287" customFormat="1" ht="12" hidden="1" customHeight="1">
      <c r="A18297" s="286"/>
    </row>
    <row r="18298" spans="1:1" s="287" customFormat="1" ht="12" hidden="1" customHeight="1">
      <c r="A18298" s="286"/>
    </row>
    <row r="18299" spans="1:1" s="287" customFormat="1" ht="12" hidden="1" customHeight="1">
      <c r="A18299" s="286"/>
    </row>
    <row r="18300" spans="1:1" s="287" customFormat="1" ht="12" hidden="1" customHeight="1">
      <c r="A18300" s="286"/>
    </row>
    <row r="18301" spans="1:1" s="287" customFormat="1" ht="12" hidden="1" customHeight="1">
      <c r="A18301" s="286"/>
    </row>
    <row r="18302" spans="1:1" s="287" customFormat="1" ht="12" hidden="1" customHeight="1">
      <c r="A18302" s="286"/>
    </row>
    <row r="18303" spans="1:1" s="287" customFormat="1" ht="12" hidden="1" customHeight="1">
      <c r="A18303" s="286"/>
    </row>
    <row r="18304" spans="1:1" s="287" customFormat="1" ht="12" hidden="1" customHeight="1">
      <c r="A18304" s="286"/>
    </row>
    <row r="18305" spans="1:1" s="287" customFormat="1" ht="12" hidden="1" customHeight="1">
      <c r="A18305" s="286"/>
    </row>
    <row r="18306" spans="1:1" s="287" customFormat="1" ht="12" hidden="1" customHeight="1">
      <c r="A18306" s="286"/>
    </row>
    <row r="18307" spans="1:1" s="287" customFormat="1" ht="12" hidden="1" customHeight="1">
      <c r="A18307" s="286"/>
    </row>
    <row r="18308" spans="1:1" s="287" customFormat="1" ht="12" hidden="1" customHeight="1">
      <c r="A18308" s="286"/>
    </row>
    <row r="18309" spans="1:1" s="287" customFormat="1" ht="12" hidden="1" customHeight="1">
      <c r="A18309" s="286"/>
    </row>
    <row r="18310" spans="1:1" s="287" customFormat="1" ht="12" hidden="1" customHeight="1">
      <c r="A18310" s="286"/>
    </row>
    <row r="18311" spans="1:1" s="287" customFormat="1" ht="12" hidden="1" customHeight="1">
      <c r="A18311" s="286"/>
    </row>
    <row r="18312" spans="1:1" s="287" customFormat="1" ht="12" hidden="1" customHeight="1">
      <c r="A18312" s="286"/>
    </row>
    <row r="18313" spans="1:1" s="287" customFormat="1" ht="12" hidden="1" customHeight="1">
      <c r="A18313" s="286"/>
    </row>
    <row r="18314" spans="1:1" s="287" customFormat="1" ht="12" hidden="1" customHeight="1">
      <c r="A18314" s="286"/>
    </row>
    <row r="18315" spans="1:1" s="287" customFormat="1" ht="12" hidden="1" customHeight="1">
      <c r="A18315" s="286"/>
    </row>
    <row r="18316" spans="1:1" s="287" customFormat="1" ht="12" hidden="1" customHeight="1">
      <c r="A18316" s="286"/>
    </row>
    <row r="18317" spans="1:1" s="287" customFormat="1" ht="12" hidden="1" customHeight="1">
      <c r="A18317" s="286"/>
    </row>
    <row r="18318" spans="1:1" s="287" customFormat="1" ht="12" hidden="1" customHeight="1">
      <c r="A18318" s="286"/>
    </row>
    <row r="18319" spans="1:1" s="287" customFormat="1" ht="12" hidden="1" customHeight="1">
      <c r="A18319" s="286"/>
    </row>
    <row r="18320" spans="1:1" s="287" customFormat="1" ht="12" hidden="1" customHeight="1">
      <c r="A18320" s="286"/>
    </row>
    <row r="18321" spans="1:1" s="287" customFormat="1" ht="12" hidden="1" customHeight="1">
      <c r="A18321" s="286"/>
    </row>
    <row r="18322" spans="1:1" s="287" customFormat="1" ht="12" hidden="1" customHeight="1">
      <c r="A18322" s="286"/>
    </row>
    <row r="18323" spans="1:1" s="287" customFormat="1" ht="12" hidden="1" customHeight="1">
      <c r="A18323" s="286"/>
    </row>
    <row r="18324" spans="1:1" s="287" customFormat="1" ht="12" hidden="1" customHeight="1">
      <c r="A18324" s="286"/>
    </row>
    <row r="18325" spans="1:1" s="287" customFormat="1" ht="12" hidden="1" customHeight="1">
      <c r="A18325" s="286"/>
    </row>
    <row r="18326" spans="1:1" s="287" customFormat="1" ht="12" hidden="1" customHeight="1">
      <c r="A18326" s="286"/>
    </row>
    <row r="18327" spans="1:1" s="287" customFormat="1" ht="12" hidden="1" customHeight="1">
      <c r="A18327" s="286"/>
    </row>
    <row r="18328" spans="1:1" s="287" customFormat="1" ht="12" hidden="1" customHeight="1">
      <c r="A18328" s="286"/>
    </row>
    <row r="18329" spans="1:1" s="287" customFormat="1" ht="12" hidden="1" customHeight="1">
      <c r="A18329" s="286"/>
    </row>
    <row r="18330" spans="1:1" s="287" customFormat="1" ht="12" hidden="1" customHeight="1">
      <c r="A18330" s="286"/>
    </row>
    <row r="18331" spans="1:1" s="287" customFormat="1" ht="12" hidden="1" customHeight="1">
      <c r="A18331" s="286"/>
    </row>
    <row r="18332" spans="1:1" s="287" customFormat="1" ht="12" hidden="1" customHeight="1">
      <c r="A18332" s="286"/>
    </row>
    <row r="18333" spans="1:1" s="287" customFormat="1" ht="12" hidden="1" customHeight="1">
      <c r="A18333" s="286"/>
    </row>
    <row r="18334" spans="1:1" s="287" customFormat="1" ht="12" hidden="1" customHeight="1">
      <c r="A18334" s="286"/>
    </row>
    <row r="18335" spans="1:1" s="287" customFormat="1" ht="12" hidden="1" customHeight="1">
      <c r="A18335" s="286"/>
    </row>
    <row r="18336" spans="1:1" s="287" customFormat="1" ht="12" hidden="1" customHeight="1">
      <c r="A18336" s="286"/>
    </row>
    <row r="18337" spans="1:1" s="287" customFormat="1" ht="12" hidden="1" customHeight="1">
      <c r="A18337" s="286"/>
    </row>
    <row r="18338" spans="1:1" s="287" customFormat="1" ht="12" hidden="1" customHeight="1">
      <c r="A18338" s="286"/>
    </row>
    <row r="18339" spans="1:1" s="287" customFormat="1" ht="12" hidden="1" customHeight="1">
      <c r="A18339" s="286"/>
    </row>
    <row r="18340" spans="1:1" s="287" customFormat="1" ht="12" hidden="1" customHeight="1">
      <c r="A18340" s="286"/>
    </row>
    <row r="18341" spans="1:1" s="287" customFormat="1" ht="12" hidden="1" customHeight="1">
      <c r="A18341" s="286"/>
    </row>
    <row r="18342" spans="1:1" s="287" customFormat="1" ht="12" hidden="1" customHeight="1">
      <c r="A18342" s="286"/>
    </row>
    <row r="18343" spans="1:1" s="287" customFormat="1" ht="12" hidden="1" customHeight="1">
      <c r="A18343" s="286"/>
    </row>
    <row r="18344" spans="1:1" s="287" customFormat="1" ht="12" hidden="1" customHeight="1">
      <c r="A18344" s="286"/>
    </row>
    <row r="18345" spans="1:1" s="287" customFormat="1" ht="12" hidden="1" customHeight="1">
      <c r="A18345" s="286"/>
    </row>
    <row r="18346" spans="1:1" s="287" customFormat="1" ht="12" hidden="1" customHeight="1">
      <c r="A18346" s="286"/>
    </row>
    <row r="18347" spans="1:1" s="287" customFormat="1" ht="12" hidden="1" customHeight="1">
      <c r="A18347" s="286"/>
    </row>
    <row r="18348" spans="1:1" s="287" customFormat="1" ht="12" hidden="1" customHeight="1">
      <c r="A18348" s="286"/>
    </row>
    <row r="18349" spans="1:1" s="287" customFormat="1" ht="12" hidden="1" customHeight="1">
      <c r="A18349" s="286"/>
    </row>
    <row r="18350" spans="1:1" s="287" customFormat="1" ht="12" hidden="1" customHeight="1">
      <c r="A18350" s="286"/>
    </row>
    <row r="18351" spans="1:1" s="287" customFormat="1" ht="12" hidden="1" customHeight="1">
      <c r="A18351" s="286"/>
    </row>
    <row r="18352" spans="1:1" s="287" customFormat="1" ht="12" hidden="1" customHeight="1">
      <c r="A18352" s="286"/>
    </row>
    <row r="18353" spans="1:1" s="287" customFormat="1" ht="12" hidden="1" customHeight="1">
      <c r="A18353" s="286"/>
    </row>
    <row r="18354" spans="1:1" s="287" customFormat="1" ht="12" hidden="1" customHeight="1">
      <c r="A18354" s="286"/>
    </row>
    <row r="18355" spans="1:1" s="287" customFormat="1" ht="12" hidden="1" customHeight="1">
      <c r="A18355" s="286"/>
    </row>
    <row r="18356" spans="1:1" s="287" customFormat="1" ht="12" hidden="1" customHeight="1">
      <c r="A18356" s="286"/>
    </row>
    <row r="18357" spans="1:1" s="287" customFormat="1" ht="12" hidden="1" customHeight="1">
      <c r="A18357" s="286"/>
    </row>
    <row r="18358" spans="1:1" s="287" customFormat="1" ht="12" hidden="1" customHeight="1">
      <c r="A18358" s="286"/>
    </row>
    <row r="18359" spans="1:1" s="287" customFormat="1" ht="12" hidden="1" customHeight="1">
      <c r="A18359" s="286"/>
    </row>
    <row r="18360" spans="1:1" s="287" customFormat="1" ht="12" hidden="1" customHeight="1">
      <c r="A18360" s="286"/>
    </row>
    <row r="18361" spans="1:1" s="287" customFormat="1" ht="12" hidden="1" customHeight="1">
      <c r="A18361" s="286"/>
    </row>
    <row r="18362" spans="1:1" s="287" customFormat="1" ht="12" hidden="1" customHeight="1">
      <c r="A18362" s="286"/>
    </row>
    <row r="18363" spans="1:1" s="287" customFormat="1" ht="12" hidden="1" customHeight="1">
      <c r="A18363" s="286"/>
    </row>
    <row r="18364" spans="1:1" s="287" customFormat="1" ht="12" hidden="1" customHeight="1">
      <c r="A18364" s="286"/>
    </row>
    <row r="18365" spans="1:1" s="287" customFormat="1" ht="12" hidden="1" customHeight="1">
      <c r="A18365" s="286"/>
    </row>
    <row r="18366" spans="1:1" s="287" customFormat="1" ht="12" hidden="1" customHeight="1">
      <c r="A18366" s="286"/>
    </row>
    <row r="18367" spans="1:1" s="287" customFormat="1" ht="12" hidden="1" customHeight="1">
      <c r="A18367" s="286"/>
    </row>
    <row r="18368" spans="1:1" s="287" customFormat="1" ht="12" hidden="1" customHeight="1">
      <c r="A18368" s="286"/>
    </row>
    <row r="18369" spans="1:1" s="287" customFormat="1" ht="12" hidden="1" customHeight="1">
      <c r="A18369" s="286"/>
    </row>
    <row r="18370" spans="1:1" s="287" customFormat="1" ht="12" hidden="1" customHeight="1">
      <c r="A18370" s="286"/>
    </row>
    <row r="18371" spans="1:1" s="287" customFormat="1" ht="12" hidden="1" customHeight="1">
      <c r="A18371" s="286"/>
    </row>
    <row r="18372" spans="1:1" s="287" customFormat="1" ht="12" hidden="1" customHeight="1">
      <c r="A18372" s="286"/>
    </row>
    <row r="18373" spans="1:1" s="287" customFormat="1" ht="12" hidden="1" customHeight="1">
      <c r="A18373" s="286"/>
    </row>
    <row r="18374" spans="1:1" s="287" customFormat="1" ht="12" hidden="1" customHeight="1">
      <c r="A18374" s="286"/>
    </row>
    <row r="18375" spans="1:1" s="287" customFormat="1" ht="12" hidden="1" customHeight="1">
      <c r="A18375" s="286"/>
    </row>
    <row r="18376" spans="1:1" s="287" customFormat="1" ht="12" hidden="1" customHeight="1">
      <c r="A18376" s="286"/>
    </row>
    <row r="18377" spans="1:1" s="287" customFormat="1" ht="12" hidden="1" customHeight="1">
      <c r="A18377" s="286"/>
    </row>
    <row r="18378" spans="1:1" s="287" customFormat="1" ht="12" hidden="1" customHeight="1">
      <c r="A18378" s="286"/>
    </row>
    <row r="18379" spans="1:1" s="287" customFormat="1" ht="12" hidden="1" customHeight="1">
      <c r="A18379" s="286"/>
    </row>
    <row r="18380" spans="1:1" s="287" customFormat="1" ht="12" hidden="1" customHeight="1">
      <c r="A18380" s="286"/>
    </row>
    <row r="18381" spans="1:1" s="287" customFormat="1" ht="12" hidden="1" customHeight="1">
      <c r="A18381" s="286"/>
    </row>
    <row r="18382" spans="1:1" s="287" customFormat="1" ht="12" hidden="1" customHeight="1">
      <c r="A18382" s="286"/>
    </row>
    <row r="18383" spans="1:1" s="287" customFormat="1" ht="12" hidden="1" customHeight="1">
      <c r="A18383" s="286"/>
    </row>
    <row r="18384" spans="1:1" s="287" customFormat="1" ht="12" hidden="1" customHeight="1">
      <c r="A18384" s="286"/>
    </row>
    <row r="18385" spans="1:1" s="287" customFormat="1" ht="12" hidden="1" customHeight="1">
      <c r="A18385" s="286"/>
    </row>
    <row r="18386" spans="1:1" s="287" customFormat="1" ht="12" hidden="1" customHeight="1">
      <c r="A18386" s="286"/>
    </row>
    <row r="18387" spans="1:1" s="287" customFormat="1" ht="12" hidden="1" customHeight="1">
      <c r="A18387" s="286"/>
    </row>
    <row r="18388" spans="1:1" s="287" customFormat="1" ht="12" hidden="1" customHeight="1">
      <c r="A18388" s="286"/>
    </row>
    <row r="18389" spans="1:1" s="287" customFormat="1" ht="12" hidden="1" customHeight="1">
      <c r="A18389" s="286"/>
    </row>
    <row r="18390" spans="1:1" s="287" customFormat="1" ht="12" hidden="1" customHeight="1">
      <c r="A18390" s="286"/>
    </row>
    <row r="18391" spans="1:1" s="287" customFormat="1" ht="12" hidden="1" customHeight="1">
      <c r="A18391" s="286"/>
    </row>
    <row r="18392" spans="1:1" s="287" customFormat="1" ht="12" hidden="1" customHeight="1">
      <c r="A18392" s="286"/>
    </row>
    <row r="18393" spans="1:1" s="287" customFormat="1" ht="12" hidden="1" customHeight="1">
      <c r="A18393" s="286"/>
    </row>
    <row r="18394" spans="1:1" s="287" customFormat="1" ht="12" hidden="1" customHeight="1">
      <c r="A18394" s="286"/>
    </row>
    <row r="18395" spans="1:1" s="287" customFormat="1" ht="12" hidden="1" customHeight="1">
      <c r="A18395" s="286"/>
    </row>
    <row r="18396" spans="1:1" s="287" customFormat="1" ht="12" hidden="1" customHeight="1">
      <c r="A18396" s="286"/>
    </row>
    <row r="18397" spans="1:1" s="287" customFormat="1" ht="12" hidden="1" customHeight="1">
      <c r="A18397" s="286"/>
    </row>
    <row r="18398" spans="1:1" s="287" customFormat="1" ht="12" hidden="1" customHeight="1">
      <c r="A18398" s="286"/>
    </row>
    <row r="18399" spans="1:1" s="287" customFormat="1" ht="12" hidden="1" customHeight="1">
      <c r="A18399" s="286"/>
    </row>
    <row r="18400" spans="1:1" s="287" customFormat="1" ht="12" hidden="1" customHeight="1">
      <c r="A18400" s="286"/>
    </row>
    <row r="18401" spans="1:1" s="287" customFormat="1" ht="12" hidden="1" customHeight="1">
      <c r="A18401" s="286"/>
    </row>
    <row r="18402" spans="1:1" s="287" customFormat="1" ht="12" hidden="1" customHeight="1">
      <c r="A18402" s="286"/>
    </row>
    <row r="18403" spans="1:1" s="287" customFormat="1" ht="12" hidden="1" customHeight="1">
      <c r="A18403" s="286"/>
    </row>
    <row r="18404" spans="1:1" s="287" customFormat="1" ht="12" hidden="1" customHeight="1">
      <c r="A18404" s="286"/>
    </row>
    <row r="18405" spans="1:1" s="287" customFormat="1" ht="12" hidden="1" customHeight="1">
      <c r="A18405" s="286"/>
    </row>
    <row r="18406" spans="1:1" s="287" customFormat="1" ht="12" hidden="1" customHeight="1">
      <c r="A18406" s="286"/>
    </row>
    <row r="18407" spans="1:1" s="287" customFormat="1" ht="12" hidden="1" customHeight="1">
      <c r="A18407" s="286"/>
    </row>
    <row r="18408" spans="1:1" s="287" customFormat="1" ht="12" hidden="1" customHeight="1">
      <c r="A18408" s="286"/>
    </row>
    <row r="18409" spans="1:1" s="287" customFormat="1" ht="12" hidden="1" customHeight="1">
      <c r="A18409" s="286"/>
    </row>
    <row r="18410" spans="1:1" s="287" customFormat="1" ht="12" hidden="1" customHeight="1">
      <c r="A18410" s="286"/>
    </row>
    <row r="18411" spans="1:1" s="287" customFormat="1" ht="12" hidden="1" customHeight="1">
      <c r="A18411" s="286"/>
    </row>
    <row r="18412" spans="1:1" s="287" customFormat="1" ht="12" hidden="1" customHeight="1">
      <c r="A18412" s="286"/>
    </row>
    <row r="18413" spans="1:1" s="287" customFormat="1" ht="12" hidden="1" customHeight="1">
      <c r="A18413" s="286"/>
    </row>
    <row r="18414" spans="1:1" s="287" customFormat="1" ht="12" hidden="1" customHeight="1">
      <c r="A18414" s="286"/>
    </row>
    <row r="18415" spans="1:1" s="287" customFormat="1" ht="12" hidden="1" customHeight="1">
      <c r="A18415" s="286"/>
    </row>
    <row r="18416" spans="1:1" s="287" customFormat="1" ht="12" hidden="1" customHeight="1">
      <c r="A18416" s="286"/>
    </row>
    <row r="18417" spans="1:1" s="287" customFormat="1" ht="12" hidden="1" customHeight="1">
      <c r="A18417" s="286"/>
    </row>
    <row r="18418" spans="1:1" s="287" customFormat="1" ht="12" hidden="1" customHeight="1">
      <c r="A18418" s="286"/>
    </row>
    <row r="18419" spans="1:1" s="287" customFormat="1" ht="12" hidden="1" customHeight="1">
      <c r="A18419" s="286"/>
    </row>
    <row r="18420" spans="1:1" s="287" customFormat="1" ht="12" hidden="1" customHeight="1">
      <c r="A18420" s="286"/>
    </row>
    <row r="18421" spans="1:1" s="287" customFormat="1" ht="12" hidden="1" customHeight="1">
      <c r="A18421" s="286"/>
    </row>
    <row r="18422" spans="1:1" s="287" customFormat="1" ht="12" hidden="1" customHeight="1">
      <c r="A18422" s="286"/>
    </row>
    <row r="18423" spans="1:1" s="287" customFormat="1" ht="12" hidden="1" customHeight="1">
      <c r="A18423" s="286"/>
    </row>
    <row r="18424" spans="1:1" s="287" customFormat="1" ht="12" hidden="1" customHeight="1">
      <c r="A18424" s="286"/>
    </row>
    <row r="18425" spans="1:1" s="287" customFormat="1" ht="12" hidden="1" customHeight="1">
      <c r="A18425" s="286"/>
    </row>
    <row r="18426" spans="1:1" s="287" customFormat="1" ht="12" hidden="1" customHeight="1">
      <c r="A18426" s="286"/>
    </row>
    <row r="18427" spans="1:1" s="287" customFormat="1" ht="12" hidden="1" customHeight="1">
      <c r="A18427" s="286"/>
    </row>
    <row r="18428" spans="1:1" s="287" customFormat="1" ht="12" hidden="1" customHeight="1">
      <c r="A18428" s="286"/>
    </row>
    <row r="18429" spans="1:1" s="287" customFormat="1" ht="12" hidden="1" customHeight="1">
      <c r="A18429" s="286"/>
    </row>
    <row r="18430" spans="1:1" s="287" customFormat="1" ht="12" hidden="1" customHeight="1">
      <c r="A18430" s="286"/>
    </row>
    <row r="18431" spans="1:1" s="287" customFormat="1" ht="12" hidden="1" customHeight="1">
      <c r="A18431" s="286"/>
    </row>
    <row r="18432" spans="1:1" s="287" customFormat="1" ht="12" hidden="1" customHeight="1">
      <c r="A18432" s="286"/>
    </row>
    <row r="18433" spans="1:1" s="287" customFormat="1" ht="12" hidden="1" customHeight="1">
      <c r="A18433" s="286"/>
    </row>
    <row r="18434" spans="1:1" s="287" customFormat="1" ht="12" hidden="1" customHeight="1">
      <c r="A18434" s="286"/>
    </row>
    <row r="18435" spans="1:1" s="287" customFormat="1" ht="12" hidden="1" customHeight="1">
      <c r="A18435" s="286"/>
    </row>
    <row r="18436" spans="1:1" s="287" customFormat="1" ht="12" hidden="1" customHeight="1">
      <c r="A18436" s="286"/>
    </row>
    <row r="18437" spans="1:1" s="287" customFormat="1" ht="12" hidden="1" customHeight="1">
      <c r="A18437" s="286"/>
    </row>
    <row r="18438" spans="1:1" s="287" customFormat="1" ht="12" hidden="1" customHeight="1">
      <c r="A18438" s="286"/>
    </row>
    <row r="18439" spans="1:1" s="287" customFormat="1" ht="12" hidden="1" customHeight="1">
      <c r="A18439" s="286"/>
    </row>
    <row r="18440" spans="1:1" s="287" customFormat="1" ht="12" hidden="1" customHeight="1">
      <c r="A18440" s="286"/>
    </row>
    <row r="18441" spans="1:1" s="287" customFormat="1" ht="12" hidden="1" customHeight="1">
      <c r="A18441" s="286"/>
    </row>
    <row r="18442" spans="1:1" s="287" customFormat="1" ht="12" hidden="1" customHeight="1">
      <c r="A18442" s="286"/>
    </row>
    <row r="18443" spans="1:1" s="287" customFormat="1" ht="12" hidden="1" customHeight="1">
      <c r="A18443" s="286"/>
    </row>
    <row r="18444" spans="1:1" s="287" customFormat="1" ht="12" hidden="1" customHeight="1">
      <c r="A18444" s="286"/>
    </row>
    <row r="18445" spans="1:1" s="287" customFormat="1" ht="12" hidden="1" customHeight="1">
      <c r="A18445" s="286"/>
    </row>
    <row r="18446" spans="1:1" s="287" customFormat="1" ht="12" hidden="1" customHeight="1">
      <c r="A18446" s="286"/>
    </row>
    <row r="18447" spans="1:1" s="287" customFormat="1" ht="12" hidden="1" customHeight="1">
      <c r="A18447" s="286"/>
    </row>
    <row r="18448" spans="1:1" s="287" customFormat="1" ht="12" hidden="1" customHeight="1">
      <c r="A18448" s="286"/>
    </row>
    <row r="18449" spans="1:1" s="287" customFormat="1" ht="12" hidden="1" customHeight="1">
      <c r="A18449" s="286"/>
    </row>
    <row r="18450" spans="1:1" s="287" customFormat="1" ht="12" hidden="1" customHeight="1">
      <c r="A18450" s="286"/>
    </row>
    <row r="18451" spans="1:1" s="287" customFormat="1" ht="12" hidden="1" customHeight="1">
      <c r="A18451" s="286"/>
    </row>
    <row r="18452" spans="1:1" s="287" customFormat="1" ht="12" hidden="1" customHeight="1">
      <c r="A18452" s="286"/>
    </row>
    <row r="18453" spans="1:1" s="287" customFormat="1" ht="12" hidden="1" customHeight="1">
      <c r="A18453" s="286"/>
    </row>
    <row r="18454" spans="1:1" s="287" customFormat="1" ht="12" hidden="1" customHeight="1">
      <c r="A18454" s="286"/>
    </row>
    <row r="18455" spans="1:1" s="287" customFormat="1" ht="12" hidden="1" customHeight="1">
      <c r="A18455" s="286"/>
    </row>
    <row r="18456" spans="1:1" s="287" customFormat="1" ht="12" hidden="1" customHeight="1">
      <c r="A18456" s="286"/>
    </row>
    <row r="18457" spans="1:1" s="287" customFormat="1" ht="12" hidden="1" customHeight="1">
      <c r="A18457" s="286"/>
    </row>
    <row r="18458" spans="1:1" s="287" customFormat="1" ht="12" hidden="1" customHeight="1">
      <c r="A18458" s="286"/>
    </row>
    <row r="18459" spans="1:1" s="287" customFormat="1" ht="12" hidden="1" customHeight="1">
      <c r="A18459" s="286"/>
    </row>
    <row r="18460" spans="1:1" s="287" customFormat="1" ht="12" hidden="1" customHeight="1">
      <c r="A18460" s="286"/>
    </row>
    <row r="18461" spans="1:1" s="287" customFormat="1" ht="12" hidden="1" customHeight="1">
      <c r="A18461" s="286"/>
    </row>
    <row r="18462" spans="1:1" s="287" customFormat="1" ht="12" hidden="1" customHeight="1">
      <c r="A18462" s="286"/>
    </row>
    <row r="18463" spans="1:1" s="287" customFormat="1" ht="12" hidden="1" customHeight="1">
      <c r="A18463" s="286"/>
    </row>
    <row r="18464" spans="1:1" s="287" customFormat="1" ht="12" hidden="1" customHeight="1">
      <c r="A18464" s="286"/>
    </row>
    <row r="18465" spans="1:1" s="287" customFormat="1" ht="12" hidden="1" customHeight="1">
      <c r="A18465" s="286"/>
    </row>
    <row r="18466" spans="1:1" s="287" customFormat="1" ht="12" hidden="1" customHeight="1">
      <c r="A18466" s="286"/>
    </row>
    <row r="18467" spans="1:1" s="287" customFormat="1" ht="12" hidden="1" customHeight="1">
      <c r="A18467" s="286"/>
    </row>
    <row r="18468" spans="1:1" s="287" customFormat="1" ht="12" hidden="1" customHeight="1">
      <c r="A18468" s="286"/>
    </row>
    <row r="18469" spans="1:1" s="287" customFormat="1" ht="12" hidden="1" customHeight="1">
      <c r="A18469" s="286"/>
    </row>
    <row r="18470" spans="1:1" s="287" customFormat="1" ht="12" hidden="1" customHeight="1">
      <c r="A18470" s="286"/>
    </row>
    <row r="18471" spans="1:1" s="287" customFormat="1" ht="12" hidden="1" customHeight="1">
      <c r="A18471" s="286"/>
    </row>
    <row r="18472" spans="1:1" s="287" customFormat="1" ht="12" hidden="1" customHeight="1">
      <c r="A18472" s="286"/>
    </row>
    <row r="18473" spans="1:1" s="287" customFormat="1" ht="12" hidden="1" customHeight="1">
      <c r="A18473" s="286"/>
    </row>
    <row r="18474" spans="1:1" s="287" customFormat="1" ht="12" hidden="1" customHeight="1">
      <c r="A18474" s="286"/>
    </row>
    <row r="18475" spans="1:1" s="287" customFormat="1" ht="12" hidden="1" customHeight="1">
      <c r="A18475" s="286"/>
    </row>
    <row r="18476" spans="1:1" s="287" customFormat="1" ht="12" hidden="1" customHeight="1">
      <c r="A18476" s="286"/>
    </row>
    <row r="18477" spans="1:1" s="287" customFormat="1" ht="12" hidden="1" customHeight="1">
      <c r="A18477" s="286"/>
    </row>
    <row r="18478" spans="1:1" s="287" customFormat="1" ht="12" hidden="1" customHeight="1">
      <c r="A18478" s="286"/>
    </row>
    <row r="18479" spans="1:1" s="287" customFormat="1" ht="12" hidden="1" customHeight="1">
      <c r="A18479" s="286"/>
    </row>
    <row r="18480" spans="1:1" s="287" customFormat="1" ht="12" hidden="1" customHeight="1">
      <c r="A18480" s="286"/>
    </row>
    <row r="18481" spans="1:1" s="287" customFormat="1" ht="12" hidden="1" customHeight="1">
      <c r="A18481" s="286"/>
    </row>
    <row r="18482" spans="1:1" s="287" customFormat="1" ht="12" hidden="1" customHeight="1">
      <c r="A18482" s="286"/>
    </row>
    <row r="18483" spans="1:1" s="287" customFormat="1" ht="12" hidden="1" customHeight="1">
      <c r="A18483" s="286"/>
    </row>
    <row r="18484" spans="1:1" s="287" customFormat="1" ht="12" hidden="1" customHeight="1">
      <c r="A18484" s="286"/>
    </row>
    <row r="18485" spans="1:1" s="287" customFormat="1" ht="12" hidden="1" customHeight="1">
      <c r="A18485" s="286"/>
    </row>
    <row r="18486" spans="1:1" s="287" customFormat="1" ht="12" hidden="1" customHeight="1">
      <c r="A18486" s="286"/>
    </row>
    <row r="18487" spans="1:1" s="287" customFormat="1" ht="12" hidden="1" customHeight="1">
      <c r="A18487" s="286"/>
    </row>
    <row r="18488" spans="1:1" s="287" customFormat="1" ht="12" hidden="1" customHeight="1">
      <c r="A18488" s="286"/>
    </row>
    <row r="18489" spans="1:1" s="287" customFormat="1" ht="12" hidden="1" customHeight="1">
      <c r="A18489" s="286"/>
    </row>
    <row r="18490" spans="1:1" s="287" customFormat="1" ht="12" hidden="1" customHeight="1">
      <c r="A18490" s="286"/>
    </row>
    <row r="18491" spans="1:1" s="287" customFormat="1" ht="12" hidden="1" customHeight="1">
      <c r="A18491" s="286"/>
    </row>
    <row r="18492" spans="1:1" s="287" customFormat="1" ht="12" hidden="1" customHeight="1">
      <c r="A18492" s="286"/>
    </row>
    <row r="18493" spans="1:1" s="287" customFormat="1" ht="12" hidden="1" customHeight="1">
      <c r="A18493" s="286"/>
    </row>
    <row r="18494" spans="1:1" s="287" customFormat="1" ht="12" hidden="1" customHeight="1">
      <c r="A18494" s="286"/>
    </row>
    <row r="18495" spans="1:1" s="287" customFormat="1" ht="12" hidden="1" customHeight="1">
      <c r="A18495" s="286"/>
    </row>
    <row r="18496" spans="1:1" s="287" customFormat="1" ht="12" hidden="1" customHeight="1">
      <c r="A18496" s="286"/>
    </row>
    <row r="18497" spans="1:1" s="287" customFormat="1" ht="12" hidden="1" customHeight="1">
      <c r="A18497" s="286"/>
    </row>
    <row r="18498" spans="1:1" s="287" customFormat="1" ht="12" hidden="1" customHeight="1">
      <c r="A18498" s="286"/>
    </row>
    <row r="18499" spans="1:1" s="287" customFormat="1" ht="12" hidden="1" customHeight="1">
      <c r="A18499" s="286"/>
    </row>
    <row r="18500" spans="1:1" s="287" customFormat="1" ht="12" hidden="1" customHeight="1">
      <c r="A18500" s="286"/>
    </row>
    <row r="18501" spans="1:1" s="287" customFormat="1" ht="12" hidden="1" customHeight="1">
      <c r="A18501" s="286"/>
    </row>
    <row r="18502" spans="1:1" s="287" customFormat="1" ht="12" hidden="1" customHeight="1">
      <c r="A18502" s="286"/>
    </row>
    <row r="18503" spans="1:1" s="287" customFormat="1" ht="12" hidden="1" customHeight="1">
      <c r="A18503" s="286"/>
    </row>
    <row r="18504" spans="1:1" s="287" customFormat="1" ht="12" hidden="1" customHeight="1">
      <c r="A18504" s="286"/>
    </row>
    <row r="18505" spans="1:1" s="287" customFormat="1" ht="12" hidden="1" customHeight="1">
      <c r="A18505" s="286"/>
    </row>
    <row r="18506" spans="1:1" s="287" customFormat="1" ht="12" hidden="1" customHeight="1">
      <c r="A18506" s="286"/>
    </row>
    <row r="18507" spans="1:1" s="287" customFormat="1" ht="12" hidden="1" customHeight="1">
      <c r="A18507" s="286"/>
    </row>
    <row r="18508" spans="1:1" s="287" customFormat="1" ht="12" hidden="1" customHeight="1">
      <c r="A18508" s="286"/>
    </row>
    <row r="18509" spans="1:1" s="287" customFormat="1" ht="12" hidden="1" customHeight="1">
      <c r="A18509" s="286"/>
    </row>
    <row r="18510" spans="1:1" s="287" customFormat="1" ht="12" hidden="1" customHeight="1">
      <c r="A18510" s="286"/>
    </row>
    <row r="18511" spans="1:1" s="287" customFormat="1" ht="12" hidden="1" customHeight="1">
      <c r="A18511" s="286"/>
    </row>
    <row r="18512" spans="1:1" s="287" customFormat="1" ht="12" hidden="1" customHeight="1">
      <c r="A18512" s="286"/>
    </row>
    <row r="18513" spans="1:1" s="287" customFormat="1" ht="12" hidden="1" customHeight="1">
      <c r="A18513" s="286"/>
    </row>
    <row r="18514" spans="1:1" s="287" customFormat="1" ht="12" hidden="1" customHeight="1">
      <c r="A18514" s="286"/>
    </row>
    <row r="18515" spans="1:1" s="287" customFormat="1" ht="12" hidden="1" customHeight="1">
      <c r="A18515" s="286"/>
    </row>
    <row r="18516" spans="1:1" s="287" customFormat="1" ht="12" hidden="1" customHeight="1">
      <c r="A18516" s="286"/>
    </row>
    <row r="18517" spans="1:1" s="287" customFormat="1" ht="12" hidden="1" customHeight="1">
      <c r="A18517" s="286"/>
    </row>
    <row r="18518" spans="1:1" s="287" customFormat="1" ht="12" hidden="1" customHeight="1">
      <c r="A18518" s="286"/>
    </row>
    <row r="18519" spans="1:1" s="287" customFormat="1" ht="12" hidden="1" customHeight="1">
      <c r="A18519" s="286"/>
    </row>
    <row r="18520" spans="1:1" s="287" customFormat="1" ht="12" hidden="1" customHeight="1">
      <c r="A18520" s="286"/>
    </row>
    <row r="18521" spans="1:1" s="287" customFormat="1" ht="12" hidden="1" customHeight="1">
      <c r="A18521" s="286"/>
    </row>
    <row r="18522" spans="1:1" s="287" customFormat="1" ht="12" hidden="1" customHeight="1">
      <c r="A18522" s="286"/>
    </row>
    <row r="18523" spans="1:1" s="287" customFormat="1" ht="12" hidden="1" customHeight="1">
      <c r="A18523" s="286"/>
    </row>
    <row r="18524" spans="1:1" s="287" customFormat="1" ht="12" hidden="1" customHeight="1">
      <c r="A18524" s="286"/>
    </row>
    <row r="18525" spans="1:1" s="287" customFormat="1" ht="12" hidden="1" customHeight="1">
      <c r="A18525" s="286"/>
    </row>
    <row r="18526" spans="1:1" s="287" customFormat="1" ht="12" hidden="1" customHeight="1">
      <c r="A18526" s="286"/>
    </row>
    <row r="18527" spans="1:1" s="287" customFormat="1" ht="12" hidden="1" customHeight="1">
      <c r="A18527" s="286"/>
    </row>
    <row r="18528" spans="1:1" s="287" customFormat="1" ht="12" hidden="1" customHeight="1">
      <c r="A18528" s="286"/>
    </row>
    <row r="18529" spans="1:1" s="287" customFormat="1" ht="12" hidden="1" customHeight="1">
      <c r="A18529" s="286"/>
    </row>
    <row r="18530" spans="1:1" s="287" customFormat="1" ht="12" hidden="1" customHeight="1">
      <c r="A18530" s="286"/>
    </row>
    <row r="18531" spans="1:1" s="287" customFormat="1" ht="12" hidden="1" customHeight="1">
      <c r="A18531" s="286"/>
    </row>
    <row r="18532" spans="1:1" s="287" customFormat="1" ht="12" hidden="1" customHeight="1">
      <c r="A18532" s="286"/>
    </row>
    <row r="18533" spans="1:1" s="287" customFormat="1" ht="12" hidden="1" customHeight="1">
      <c r="A18533" s="286"/>
    </row>
    <row r="18534" spans="1:1" s="287" customFormat="1" ht="12" hidden="1" customHeight="1">
      <c r="A18534" s="286"/>
    </row>
    <row r="18535" spans="1:1" s="287" customFormat="1" ht="12" hidden="1" customHeight="1">
      <c r="A18535" s="286"/>
    </row>
    <row r="18536" spans="1:1" s="287" customFormat="1" ht="12" hidden="1" customHeight="1">
      <c r="A18536" s="286"/>
    </row>
    <row r="18537" spans="1:1" s="287" customFormat="1" ht="12" hidden="1" customHeight="1">
      <c r="A18537" s="286"/>
    </row>
    <row r="18538" spans="1:1" s="287" customFormat="1" ht="12" hidden="1" customHeight="1">
      <c r="A18538" s="286"/>
    </row>
    <row r="18539" spans="1:1" s="287" customFormat="1" ht="12" hidden="1" customHeight="1">
      <c r="A18539" s="286"/>
    </row>
    <row r="18540" spans="1:1" s="287" customFormat="1" ht="12" hidden="1" customHeight="1">
      <c r="A18540" s="286"/>
    </row>
    <row r="18541" spans="1:1" s="287" customFormat="1" ht="12" hidden="1" customHeight="1">
      <c r="A18541" s="286"/>
    </row>
    <row r="18542" spans="1:1" s="287" customFormat="1" ht="12" hidden="1" customHeight="1">
      <c r="A18542" s="286"/>
    </row>
    <row r="18543" spans="1:1" s="287" customFormat="1" ht="12" hidden="1" customHeight="1">
      <c r="A18543" s="286"/>
    </row>
    <row r="18544" spans="1:1" s="287" customFormat="1" ht="12" hidden="1" customHeight="1">
      <c r="A18544" s="286"/>
    </row>
    <row r="18545" spans="1:1" s="287" customFormat="1" ht="12" hidden="1" customHeight="1">
      <c r="A18545" s="286"/>
    </row>
    <row r="18546" spans="1:1" s="287" customFormat="1" ht="12" hidden="1" customHeight="1">
      <c r="A18546" s="286"/>
    </row>
    <row r="18547" spans="1:1" s="287" customFormat="1" ht="12" hidden="1" customHeight="1">
      <c r="A18547" s="286"/>
    </row>
    <row r="18548" spans="1:1" s="287" customFormat="1" ht="12" hidden="1" customHeight="1">
      <c r="A18548" s="286"/>
    </row>
    <row r="18549" spans="1:1" s="287" customFormat="1" ht="12" hidden="1" customHeight="1">
      <c r="A18549" s="286"/>
    </row>
    <row r="18550" spans="1:1" s="287" customFormat="1" ht="12" hidden="1" customHeight="1">
      <c r="A18550" s="286"/>
    </row>
    <row r="18551" spans="1:1" s="287" customFormat="1" ht="12" hidden="1" customHeight="1">
      <c r="A18551" s="286"/>
    </row>
    <row r="18552" spans="1:1" s="287" customFormat="1" ht="12" hidden="1" customHeight="1">
      <c r="A18552" s="286"/>
    </row>
    <row r="18553" spans="1:1" s="287" customFormat="1" ht="12" hidden="1" customHeight="1">
      <c r="A18553" s="286"/>
    </row>
    <row r="18554" spans="1:1" s="287" customFormat="1" ht="12" hidden="1" customHeight="1">
      <c r="A18554" s="286"/>
    </row>
    <row r="18555" spans="1:1" s="287" customFormat="1" ht="12" hidden="1" customHeight="1">
      <c r="A18555" s="286"/>
    </row>
    <row r="18556" spans="1:1" s="287" customFormat="1" ht="12" hidden="1" customHeight="1">
      <c r="A18556" s="286"/>
    </row>
    <row r="18557" spans="1:1" s="287" customFormat="1" ht="12" hidden="1" customHeight="1">
      <c r="A18557" s="286"/>
    </row>
    <row r="18558" spans="1:1" s="287" customFormat="1" ht="12" hidden="1" customHeight="1">
      <c r="A18558" s="286"/>
    </row>
    <row r="18559" spans="1:1" s="287" customFormat="1" ht="12" hidden="1" customHeight="1">
      <c r="A18559" s="286"/>
    </row>
    <row r="18560" spans="1:1" s="287" customFormat="1" ht="12" hidden="1" customHeight="1">
      <c r="A18560" s="286"/>
    </row>
    <row r="18561" spans="1:1" s="287" customFormat="1" ht="12" hidden="1" customHeight="1">
      <c r="A18561" s="286"/>
    </row>
    <row r="18562" spans="1:1" s="287" customFormat="1" ht="12" hidden="1" customHeight="1">
      <c r="A18562" s="286"/>
    </row>
    <row r="18563" spans="1:1" s="287" customFormat="1" ht="12" hidden="1" customHeight="1">
      <c r="A18563" s="286"/>
    </row>
    <row r="18564" spans="1:1" s="287" customFormat="1" ht="12" hidden="1" customHeight="1">
      <c r="A18564" s="286"/>
    </row>
    <row r="18565" spans="1:1" s="287" customFormat="1" ht="12" hidden="1" customHeight="1">
      <c r="A18565" s="286"/>
    </row>
    <row r="18566" spans="1:1" s="287" customFormat="1" ht="12" hidden="1" customHeight="1">
      <c r="A18566" s="286"/>
    </row>
    <row r="18567" spans="1:1" s="287" customFormat="1" ht="12" hidden="1" customHeight="1">
      <c r="A18567" s="286"/>
    </row>
    <row r="18568" spans="1:1" s="287" customFormat="1" ht="12" hidden="1" customHeight="1">
      <c r="A18568" s="286"/>
    </row>
    <row r="18569" spans="1:1" s="287" customFormat="1" ht="12" hidden="1" customHeight="1">
      <c r="A18569" s="286"/>
    </row>
    <row r="18570" spans="1:1" s="287" customFormat="1" ht="12" hidden="1" customHeight="1">
      <c r="A18570" s="286"/>
    </row>
    <row r="18571" spans="1:1" s="287" customFormat="1" ht="12" hidden="1" customHeight="1">
      <c r="A18571" s="286"/>
    </row>
    <row r="18572" spans="1:1" s="287" customFormat="1" ht="12" hidden="1" customHeight="1">
      <c r="A18572" s="286"/>
    </row>
    <row r="18573" spans="1:1" s="287" customFormat="1" ht="12" hidden="1" customHeight="1">
      <c r="A18573" s="286"/>
    </row>
    <row r="18574" spans="1:1" s="287" customFormat="1" ht="12" hidden="1" customHeight="1">
      <c r="A18574" s="286"/>
    </row>
    <row r="18575" spans="1:1" s="287" customFormat="1" ht="12" hidden="1" customHeight="1">
      <c r="A18575" s="286"/>
    </row>
    <row r="18576" spans="1:1" s="287" customFormat="1" ht="12" hidden="1" customHeight="1">
      <c r="A18576" s="286"/>
    </row>
    <row r="18577" spans="1:1" s="287" customFormat="1" ht="12" hidden="1" customHeight="1">
      <c r="A18577" s="286"/>
    </row>
    <row r="18578" spans="1:1" s="287" customFormat="1" ht="12" hidden="1" customHeight="1">
      <c r="A18578" s="286"/>
    </row>
    <row r="18579" spans="1:1" s="287" customFormat="1" ht="12" hidden="1" customHeight="1">
      <c r="A18579" s="286"/>
    </row>
    <row r="18580" spans="1:1" s="287" customFormat="1" ht="12" hidden="1" customHeight="1">
      <c r="A18580" s="286"/>
    </row>
    <row r="18581" spans="1:1" s="287" customFormat="1" ht="12" hidden="1" customHeight="1">
      <c r="A18581" s="286"/>
    </row>
    <row r="18582" spans="1:1" s="287" customFormat="1" ht="12" hidden="1" customHeight="1">
      <c r="A18582" s="286"/>
    </row>
    <row r="18583" spans="1:1" s="287" customFormat="1" ht="12" hidden="1" customHeight="1">
      <c r="A18583" s="286"/>
    </row>
    <row r="18584" spans="1:1" s="287" customFormat="1" ht="12" hidden="1" customHeight="1">
      <c r="A18584" s="286"/>
    </row>
    <row r="18585" spans="1:1" s="287" customFormat="1" ht="12" hidden="1" customHeight="1">
      <c r="A18585" s="286"/>
    </row>
    <row r="18586" spans="1:1" s="287" customFormat="1" ht="12" hidden="1" customHeight="1">
      <c r="A18586" s="286"/>
    </row>
    <row r="18587" spans="1:1" s="287" customFormat="1" ht="12" hidden="1" customHeight="1">
      <c r="A18587" s="286"/>
    </row>
    <row r="18588" spans="1:1" s="287" customFormat="1" ht="12" hidden="1" customHeight="1">
      <c r="A18588" s="286"/>
    </row>
    <row r="18589" spans="1:1" s="287" customFormat="1" ht="12" hidden="1" customHeight="1">
      <c r="A18589" s="286"/>
    </row>
    <row r="18590" spans="1:1" s="287" customFormat="1" ht="12" hidden="1" customHeight="1">
      <c r="A18590" s="286"/>
    </row>
    <row r="18591" spans="1:1" s="287" customFormat="1" ht="12" hidden="1" customHeight="1">
      <c r="A18591" s="286"/>
    </row>
    <row r="18592" spans="1:1" s="287" customFormat="1" ht="12" hidden="1" customHeight="1">
      <c r="A18592" s="286"/>
    </row>
    <row r="18593" spans="1:1" s="287" customFormat="1" ht="12" hidden="1" customHeight="1">
      <c r="A18593" s="286"/>
    </row>
    <row r="18594" spans="1:1" s="287" customFormat="1" ht="12" hidden="1" customHeight="1">
      <c r="A18594" s="286"/>
    </row>
    <row r="18595" spans="1:1" s="287" customFormat="1" ht="12" hidden="1" customHeight="1">
      <c r="A18595" s="286"/>
    </row>
    <row r="18596" spans="1:1" s="287" customFormat="1" ht="12" hidden="1" customHeight="1">
      <c r="A18596" s="286"/>
    </row>
    <row r="18597" spans="1:1" s="287" customFormat="1" ht="12" hidden="1" customHeight="1">
      <c r="A18597" s="286"/>
    </row>
    <row r="18598" spans="1:1" s="287" customFormat="1" ht="12" hidden="1" customHeight="1">
      <c r="A18598" s="286"/>
    </row>
    <row r="18599" spans="1:1" s="287" customFormat="1" ht="12" hidden="1" customHeight="1">
      <c r="A18599" s="286"/>
    </row>
    <row r="18600" spans="1:1" s="287" customFormat="1" ht="12" hidden="1" customHeight="1">
      <c r="A18600" s="286"/>
    </row>
    <row r="18601" spans="1:1" s="287" customFormat="1" ht="12" hidden="1" customHeight="1">
      <c r="A18601" s="286"/>
    </row>
    <row r="18602" spans="1:1" s="287" customFormat="1" ht="12" hidden="1" customHeight="1">
      <c r="A18602" s="286"/>
    </row>
    <row r="18603" spans="1:1" s="287" customFormat="1" ht="12" hidden="1" customHeight="1">
      <c r="A18603" s="286"/>
    </row>
    <row r="18604" spans="1:1" s="287" customFormat="1" ht="12" hidden="1" customHeight="1">
      <c r="A18604" s="286"/>
    </row>
    <row r="18605" spans="1:1" s="287" customFormat="1" ht="12" hidden="1" customHeight="1">
      <c r="A18605" s="286"/>
    </row>
    <row r="18606" spans="1:1" s="287" customFormat="1" ht="12" hidden="1" customHeight="1">
      <c r="A18606" s="286"/>
    </row>
    <row r="18607" spans="1:1" s="287" customFormat="1" ht="12" hidden="1" customHeight="1">
      <c r="A18607" s="286"/>
    </row>
    <row r="18608" spans="1:1" s="287" customFormat="1" ht="12" hidden="1" customHeight="1">
      <c r="A18608" s="286"/>
    </row>
    <row r="18609" spans="1:1" s="287" customFormat="1" ht="12" hidden="1" customHeight="1">
      <c r="A18609" s="286"/>
    </row>
    <row r="18610" spans="1:1" s="287" customFormat="1" ht="12" hidden="1" customHeight="1">
      <c r="A18610" s="286"/>
    </row>
    <row r="18611" spans="1:1" s="287" customFormat="1" ht="12" hidden="1" customHeight="1">
      <c r="A18611" s="286"/>
    </row>
    <row r="18612" spans="1:1" s="287" customFormat="1" ht="12" hidden="1" customHeight="1">
      <c r="A18612" s="286"/>
    </row>
    <row r="18613" spans="1:1" s="287" customFormat="1" ht="12" hidden="1" customHeight="1">
      <c r="A18613" s="286"/>
    </row>
    <row r="18614" spans="1:1" s="287" customFormat="1" ht="12" hidden="1" customHeight="1">
      <c r="A18614" s="286"/>
    </row>
    <row r="18615" spans="1:1" s="287" customFormat="1" ht="12" hidden="1" customHeight="1">
      <c r="A18615" s="286"/>
    </row>
    <row r="18616" spans="1:1" s="287" customFormat="1" ht="12" hidden="1" customHeight="1">
      <c r="A18616" s="286"/>
    </row>
    <row r="18617" spans="1:1" s="287" customFormat="1" ht="12" hidden="1" customHeight="1">
      <c r="A18617" s="286"/>
    </row>
    <row r="18618" spans="1:1" s="287" customFormat="1" ht="12" hidden="1" customHeight="1">
      <c r="A18618" s="286"/>
    </row>
    <row r="18619" spans="1:1" s="287" customFormat="1" ht="12" hidden="1" customHeight="1">
      <c r="A18619" s="286"/>
    </row>
    <row r="18620" spans="1:1" s="287" customFormat="1" ht="12" hidden="1" customHeight="1">
      <c r="A18620" s="286"/>
    </row>
    <row r="18621" spans="1:1" s="287" customFormat="1" ht="12" hidden="1" customHeight="1">
      <c r="A18621" s="286"/>
    </row>
    <row r="18622" spans="1:1" s="287" customFormat="1" ht="12" hidden="1" customHeight="1">
      <c r="A18622" s="286"/>
    </row>
    <row r="18623" spans="1:1" s="287" customFormat="1" ht="12" hidden="1" customHeight="1">
      <c r="A18623" s="286"/>
    </row>
    <row r="18624" spans="1:1" s="287" customFormat="1" ht="12" hidden="1" customHeight="1">
      <c r="A18624" s="286"/>
    </row>
    <row r="18625" spans="1:1" s="287" customFormat="1" ht="12" hidden="1" customHeight="1">
      <c r="A18625" s="286"/>
    </row>
    <row r="18626" spans="1:1" s="287" customFormat="1" ht="12" hidden="1" customHeight="1">
      <c r="A18626" s="286"/>
    </row>
    <row r="18627" spans="1:1" s="287" customFormat="1" ht="12" hidden="1" customHeight="1">
      <c r="A18627" s="286"/>
    </row>
    <row r="18628" spans="1:1" s="287" customFormat="1" ht="12" hidden="1" customHeight="1">
      <c r="A18628" s="286"/>
    </row>
    <row r="18629" spans="1:1" s="287" customFormat="1" ht="12" hidden="1" customHeight="1">
      <c r="A18629" s="286"/>
    </row>
    <row r="18630" spans="1:1" s="287" customFormat="1" ht="12" hidden="1" customHeight="1">
      <c r="A18630" s="286"/>
    </row>
    <row r="18631" spans="1:1" s="287" customFormat="1" ht="12" hidden="1" customHeight="1">
      <c r="A18631" s="286"/>
    </row>
    <row r="18632" spans="1:1" s="287" customFormat="1" ht="12" hidden="1" customHeight="1">
      <c r="A18632" s="286"/>
    </row>
    <row r="18633" spans="1:1" s="287" customFormat="1" ht="12" hidden="1" customHeight="1">
      <c r="A18633" s="286"/>
    </row>
    <row r="18634" spans="1:1" s="287" customFormat="1" ht="12" hidden="1" customHeight="1">
      <c r="A18634" s="286"/>
    </row>
    <row r="18635" spans="1:1" s="287" customFormat="1" ht="12" hidden="1" customHeight="1">
      <c r="A18635" s="286"/>
    </row>
    <row r="18636" spans="1:1" s="287" customFormat="1" ht="12" hidden="1" customHeight="1">
      <c r="A18636" s="286"/>
    </row>
    <row r="18637" spans="1:1" s="287" customFormat="1" ht="12" hidden="1" customHeight="1">
      <c r="A18637" s="286"/>
    </row>
    <row r="18638" spans="1:1" s="287" customFormat="1" ht="12" hidden="1" customHeight="1">
      <c r="A18638" s="286"/>
    </row>
    <row r="18639" spans="1:1" s="287" customFormat="1" ht="12" hidden="1" customHeight="1">
      <c r="A18639" s="286"/>
    </row>
    <row r="18640" spans="1:1" s="287" customFormat="1" ht="12" hidden="1" customHeight="1">
      <c r="A18640" s="286"/>
    </row>
    <row r="18641" spans="1:1" s="287" customFormat="1" ht="12" hidden="1" customHeight="1">
      <c r="A18641" s="286"/>
    </row>
    <row r="18642" spans="1:1" s="287" customFormat="1" ht="12" hidden="1" customHeight="1">
      <c r="A18642" s="286"/>
    </row>
    <row r="18643" spans="1:1" s="287" customFormat="1" ht="12" hidden="1" customHeight="1">
      <c r="A18643" s="286"/>
    </row>
    <row r="18644" spans="1:1" s="287" customFormat="1" ht="12" hidden="1" customHeight="1">
      <c r="A18644" s="286"/>
    </row>
    <row r="18645" spans="1:1" s="287" customFormat="1" ht="12" hidden="1" customHeight="1">
      <c r="A18645" s="286"/>
    </row>
    <row r="18646" spans="1:1" s="287" customFormat="1" ht="12" hidden="1" customHeight="1">
      <c r="A18646" s="286"/>
    </row>
    <row r="18647" spans="1:1" s="287" customFormat="1" ht="12" hidden="1" customHeight="1">
      <c r="A18647" s="286"/>
    </row>
    <row r="18648" spans="1:1" s="287" customFormat="1" ht="12" hidden="1" customHeight="1">
      <c r="A18648" s="286"/>
    </row>
    <row r="18649" spans="1:1" s="287" customFormat="1" ht="12" hidden="1" customHeight="1">
      <c r="A18649" s="286"/>
    </row>
    <row r="18650" spans="1:1" s="287" customFormat="1" ht="12" hidden="1" customHeight="1">
      <c r="A18650" s="286"/>
    </row>
    <row r="18651" spans="1:1" s="287" customFormat="1" ht="12" hidden="1" customHeight="1">
      <c r="A18651" s="286"/>
    </row>
    <row r="18652" spans="1:1" s="287" customFormat="1" ht="12" hidden="1" customHeight="1">
      <c r="A18652" s="286"/>
    </row>
    <row r="18653" spans="1:1" s="287" customFormat="1" ht="12" hidden="1" customHeight="1">
      <c r="A18653" s="286"/>
    </row>
    <row r="18654" spans="1:1" s="287" customFormat="1" ht="12" hidden="1" customHeight="1">
      <c r="A18654" s="286"/>
    </row>
    <row r="18655" spans="1:1" s="287" customFormat="1" ht="12" hidden="1" customHeight="1">
      <c r="A18655" s="286"/>
    </row>
    <row r="18656" spans="1:1" s="287" customFormat="1" ht="12" hidden="1" customHeight="1">
      <c r="A18656" s="286"/>
    </row>
    <row r="18657" spans="1:1" s="287" customFormat="1" ht="12" hidden="1" customHeight="1">
      <c r="A18657" s="286"/>
    </row>
    <row r="18658" spans="1:1" s="287" customFormat="1" ht="12" hidden="1" customHeight="1">
      <c r="A18658" s="286"/>
    </row>
    <row r="18659" spans="1:1" s="287" customFormat="1" ht="12" hidden="1" customHeight="1">
      <c r="A18659" s="286"/>
    </row>
    <row r="18660" spans="1:1" s="287" customFormat="1" ht="12" hidden="1" customHeight="1">
      <c r="A18660" s="286"/>
    </row>
    <row r="18661" spans="1:1" s="287" customFormat="1" ht="12" hidden="1" customHeight="1">
      <c r="A18661" s="286"/>
    </row>
    <row r="18662" spans="1:1" s="287" customFormat="1" ht="12" hidden="1" customHeight="1">
      <c r="A18662" s="286"/>
    </row>
    <row r="18663" spans="1:1" s="287" customFormat="1" ht="12" hidden="1" customHeight="1">
      <c r="A18663" s="286"/>
    </row>
    <row r="18664" spans="1:1" s="287" customFormat="1" ht="12" hidden="1" customHeight="1">
      <c r="A18664" s="286"/>
    </row>
    <row r="18665" spans="1:1" s="287" customFormat="1" ht="12" hidden="1" customHeight="1">
      <c r="A18665" s="286"/>
    </row>
    <row r="18666" spans="1:1" s="287" customFormat="1" ht="12" hidden="1" customHeight="1">
      <c r="A18666" s="286"/>
    </row>
    <row r="18667" spans="1:1" s="287" customFormat="1" ht="12" hidden="1" customHeight="1">
      <c r="A18667" s="286"/>
    </row>
    <row r="18668" spans="1:1" s="287" customFormat="1" ht="12" hidden="1" customHeight="1">
      <c r="A18668" s="286"/>
    </row>
    <row r="18669" spans="1:1" s="287" customFormat="1" ht="12" hidden="1" customHeight="1">
      <c r="A18669" s="286"/>
    </row>
    <row r="18670" spans="1:1" s="287" customFormat="1" ht="12" hidden="1" customHeight="1">
      <c r="A18670" s="286"/>
    </row>
    <row r="18671" spans="1:1" s="287" customFormat="1" ht="12" hidden="1" customHeight="1">
      <c r="A18671" s="286"/>
    </row>
    <row r="18672" spans="1:1" s="287" customFormat="1" ht="12" hidden="1" customHeight="1">
      <c r="A18672" s="286"/>
    </row>
    <row r="18673" spans="1:1" s="287" customFormat="1" ht="12" hidden="1" customHeight="1">
      <c r="A18673" s="286"/>
    </row>
    <row r="18674" spans="1:1" s="287" customFormat="1" ht="12" hidden="1" customHeight="1">
      <c r="A18674" s="286"/>
    </row>
    <row r="18675" spans="1:1" s="287" customFormat="1" ht="12" hidden="1" customHeight="1">
      <c r="A18675" s="286"/>
    </row>
    <row r="18676" spans="1:1" s="287" customFormat="1" ht="12" hidden="1" customHeight="1">
      <c r="A18676" s="286"/>
    </row>
    <row r="18677" spans="1:1" s="287" customFormat="1" ht="12" hidden="1" customHeight="1">
      <c r="A18677" s="286"/>
    </row>
    <row r="18678" spans="1:1" s="287" customFormat="1" ht="12" hidden="1" customHeight="1">
      <c r="A18678" s="286"/>
    </row>
    <row r="18679" spans="1:1" s="287" customFormat="1" ht="12" hidden="1" customHeight="1">
      <c r="A18679" s="286"/>
    </row>
    <row r="18680" spans="1:1" s="287" customFormat="1" ht="12" hidden="1" customHeight="1">
      <c r="A18680" s="286"/>
    </row>
    <row r="18681" spans="1:1" s="287" customFormat="1" ht="12" hidden="1" customHeight="1">
      <c r="A18681" s="286"/>
    </row>
    <row r="18682" spans="1:1" s="287" customFormat="1" ht="12" hidden="1" customHeight="1">
      <c r="A18682" s="286"/>
    </row>
    <row r="18683" spans="1:1" s="287" customFormat="1" ht="12" hidden="1" customHeight="1">
      <c r="A18683" s="286"/>
    </row>
    <row r="18684" spans="1:1" s="287" customFormat="1" ht="12" hidden="1" customHeight="1">
      <c r="A18684" s="286"/>
    </row>
    <row r="18685" spans="1:1" s="287" customFormat="1" ht="12" hidden="1" customHeight="1">
      <c r="A18685" s="286"/>
    </row>
    <row r="18686" spans="1:1" s="287" customFormat="1" ht="12" hidden="1" customHeight="1">
      <c r="A18686" s="286"/>
    </row>
    <row r="18687" spans="1:1" s="287" customFormat="1" ht="12" hidden="1" customHeight="1">
      <c r="A18687" s="286"/>
    </row>
    <row r="18688" spans="1:1" s="287" customFormat="1" ht="12" hidden="1" customHeight="1">
      <c r="A18688" s="286"/>
    </row>
    <row r="18689" spans="1:1" s="287" customFormat="1" ht="12" hidden="1" customHeight="1">
      <c r="A18689" s="286"/>
    </row>
    <row r="18690" spans="1:1" s="287" customFormat="1" ht="12" hidden="1" customHeight="1">
      <c r="A18690" s="286"/>
    </row>
    <row r="18691" spans="1:1" s="287" customFormat="1" ht="12" hidden="1" customHeight="1">
      <c r="A18691" s="286"/>
    </row>
    <row r="18692" spans="1:1" s="287" customFormat="1" ht="12" hidden="1" customHeight="1">
      <c r="A18692" s="286"/>
    </row>
    <row r="18693" spans="1:1" s="287" customFormat="1" ht="12" hidden="1" customHeight="1">
      <c r="A18693" s="286"/>
    </row>
    <row r="18694" spans="1:1" s="287" customFormat="1" ht="12" hidden="1" customHeight="1">
      <c r="A18694" s="286"/>
    </row>
    <row r="18695" spans="1:1" s="287" customFormat="1" ht="12" hidden="1" customHeight="1">
      <c r="A18695" s="286"/>
    </row>
    <row r="18696" spans="1:1" s="287" customFormat="1" ht="12" hidden="1" customHeight="1">
      <c r="A18696" s="286"/>
    </row>
    <row r="18697" spans="1:1" s="287" customFormat="1" ht="12" hidden="1" customHeight="1">
      <c r="A18697" s="286"/>
    </row>
    <row r="18698" spans="1:1" s="287" customFormat="1" ht="12" hidden="1" customHeight="1">
      <c r="A18698" s="286"/>
    </row>
    <row r="18699" spans="1:1" s="287" customFormat="1" ht="12" hidden="1" customHeight="1">
      <c r="A18699" s="286"/>
    </row>
    <row r="18700" spans="1:1" s="287" customFormat="1" ht="12" hidden="1" customHeight="1">
      <c r="A18700" s="286"/>
    </row>
    <row r="18701" spans="1:1" s="287" customFormat="1" ht="12" hidden="1" customHeight="1">
      <c r="A18701" s="286"/>
    </row>
    <row r="18702" spans="1:1" s="287" customFormat="1" ht="12" hidden="1" customHeight="1">
      <c r="A18702" s="286"/>
    </row>
    <row r="18703" spans="1:1" s="287" customFormat="1" ht="12" hidden="1" customHeight="1">
      <c r="A18703" s="286"/>
    </row>
    <row r="18704" spans="1:1" s="287" customFormat="1" ht="12" hidden="1" customHeight="1">
      <c r="A18704" s="286"/>
    </row>
    <row r="18705" spans="1:1" s="287" customFormat="1" ht="12" hidden="1" customHeight="1">
      <c r="A18705" s="286"/>
    </row>
    <row r="18706" spans="1:1" s="287" customFormat="1" ht="12" hidden="1" customHeight="1">
      <c r="A18706" s="286"/>
    </row>
    <row r="18707" spans="1:1" s="287" customFormat="1" ht="12" hidden="1" customHeight="1">
      <c r="A18707" s="286"/>
    </row>
    <row r="18708" spans="1:1" s="287" customFormat="1" ht="12" hidden="1" customHeight="1">
      <c r="A18708" s="286"/>
    </row>
    <row r="18709" spans="1:1" s="287" customFormat="1" ht="12" hidden="1" customHeight="1">
      <c r="A18709" s="286"/>
    </row>
    <row r="18710" spans="1:1" s="287" customFormat="1" ht="12" hidden="1" customHeight="1">
      <c r="A18710" s="286"/>
    </row>
    <row r="18711" spans="1:1" s="287" customFormat="1" ht="12" hidden="1" customHeight="1">
      <c r="A18711" s="286"/>
    </row>
    <row r="18712" spans="1:1" s="287" customFormat="1" ht="12" hidden="1" customHeight="1">
      <c r="A18712" s="286"/>
    </row>
    <row r="18713" spans="1:1" s="287" customFormat="1" ht="12" hidden="1" customHeight="1">
      <c r="A18713" s="286"/>
    </row>
    <row r="18714" spans="1:1" s="287" customFormat="1" ht="12" hidden="1" customHeight="1">
      <c r="A18714" s="286"/>
    </row>
    <row r="18715" spans="1:1" s="287" customFormat="1" ht="12" hidden="1" customHeight="1">
      <c r="A18715" s="286"/>
    </row>
    <row r="18716" spans="1:1" s="287" customFormat="1" ht="12" hidden="1" customHeight="1">
      <c r="A18716" s="286"/>
    </row>
    <row r="18717" spans="1:1" s="287" customFormat="1" ht="12" hidden="1" customHeight="1">
      <c r="A18717" s="286"/>
    </row>
    <row r="18718" spans="1:1" s="287" customFormat="1" ht="12" hidden="1" customHeight="1">
      <c r="A18718" s="286"/>
    </row>
    <row r="18719" spans="1:1" s="287" customFormat="1" ht="12" hidden="1" customHeight="1">
      <c r="A18719" s="286"/>
    </row>
    <row r="18720" spans="1:1" s="287" customFormat="1" ht="12" hidden="1" customHeight="1">
      <c r="A18720" s="286"/>
    </row>
    <row r="18721" spans="1:1" s="287" customFormat="1" ht="12" hidden="1" customHeight="1">
      <c r="A18721" s="286"/>
    </row>
    <row r="18722" spans="1:1" s="287" customFormat="1" ht="12" hidden="1" customHeight="1">
      <c r="A18722" s="286"/>
    </row>
    <row r="18723" spans="1:1" s="287" customFormat="1" ht="12" hidden="1" customHeight="1">
      <c r="A18723" s="286"/>
    </row>
    <row r="18724" spans="1:1" s="287" customFormat="1" ht="12" hidden="1" customHeight="1">
      <c r="A18724" s="286"/>
    </row>
    <row r="18725" spans="1:1" s="287" customFormat="1" ht="12" hidden="1" customHeight="1">
      <c r="A18725" s="286"/>
    </row>
    <row r="18726" spans="1:1" s="287" customFormat="1" ht="12" hidden="1" customHeight="1">
      <c r="A18726" s="286"/>
    </row>
    <row r="18727" spans="1:1" s="287" customFormat="1" ht="12" hidden="1" customHeight="1">
      <c r="A18727" s="286"/>
    </row>
    <row r="18728" spans="1:1" s="287" customFormat="1" ht="12" hidden="1" customHeight="1">
      <c r="A18728" s="286"/>
    </row>
    <row r="18729" spans="1:1" s="287" customFormat="1" ht="12" hidden="1" customHeight="1">
      <c r="A18729" s="286"/>
    </row>
    <row r="18730" spans="1:1" s="287" customFormat="1" ht="12" hidden="1" customHeight="1">
      <c r="A18730" s="286"/>
    </row>
    <row r="18731" spans="1:1" s="287" customFormat="1" ht="12" hidden="1" customHeight="1">
      <c r="A18731" s="286"/>
    </row>
    <row r="18732" spans="1:1" s="287" customFormat="1" ht="12" hidden="1" customHeight="1">
      <c r="A18732" s="286"/>
    </row>
    <row r="18733" spans="1:1" s="287" customFormat="1" ht="12" hidden="1" customHeight="1">
      <c r="A18733" s="286"/>
    </row>
    <row r="18734" spans="1:1" s="287" customFormat="1" ht="12" hidden="1" customHeight="1">
      <c r="A18734" s="286"/>
    </row>
    <row r="18735" spans="1:1" s="287" customFormat="1" ht="12" hidden="1" customHeight="1">
      <c r="A18735" s="286"/>
    </row>
    <row r="18736" spans="1:1" s="287" customFormat="1" ht="12" hidden="1" customHeight="1">
      <c r="A18736" s="286"/>
    </row>
    <row r="18737" spans="1:1" s="287" customFormat="1" ht="12" hidden="1" customHeight="1">
      <c r="A18737" s="286"/>
    </row>
    <row r="18738" spans="1:1" s="287" customFormat="1" ht="12" hidden="1" customHeight="1">
      <c r="A18738" s="286"/>
    </row>
    <row r="18739" spans="1:1" s="287" customFormat="1" ht="12" hidden="1" customHeight="1">
      <c r="A18739" s="286"/>
    </row>
    <row r="18740" spans="1:1" s="287" customFormat="1" ht="12" hidden="1" customHeight="1">
      <c r="A18740" s="286"/>
    </row>
    <row r="18741" spans="1:1" s="287" customFormat="1" ht="12" hidden="1" customHeight="1">
      <c r="A18741" s="286"/>
    </row>
    <row r="18742" spans="1:1" s="287" customFormat="1" ht="12" hidden="1" customHeight="1">
      <c r="A18742" s="286"/>
    </row>
    <row r="18743" spans="1:1" s="287" customFormat="1" ht="12" hidden="1" customHeight="1">
      <c r="A18743" s="286"/>
    </row>
    <row r="18744" spans="1:1" s="287" customFormat="1" ht="12" hidden="1" customHeight="1">
      <c r="A18744" s="286"/>
    </row>
    <row r="18745" spans="1:1" s="287" customFormat="1" ht="12" hidden="1" customHeight="1">
      <c r="A18745" s="286"/>
    </row>
    <row r="18746" spans="1:1" s="287" customFormat="1" ht="12" hidden="1" customHeight="1">
      <c r="A18746" s="286"/>
    </row>
    <row r="18747" spans="1:1" s="287" customFormat="1" ht="12" hidden="1" customHeight="1">
      <c r="A18747" s="286"/>
    </row>
    <row r="18748" spans="1:1" s="287" customFormat="1" ht="12" hidden="1" customHeight="1">
      <c r="A18748" s="286"/>
    </row>
    <row r="18749" spans="1:1" s="287" customFormat="1" ht="12" hidden="1" customHeight="1">
      <c r="A18749" s="286"/>
    </row>
    <row r="18750" spans="1:1" s="287" customFormat="1" ht="12" hidden="1" customHeight="1">
      <c r="A18750" s="286"/>
    </row>
    <row r="18751" spans="1:1" s="287" customFormat="1" ht="12" hidden="1" customHeight="1">
      <c r="A18751" s="286"/>
    </row>
    <row r="18752" spans="1:1" s="287" customFormat="1" ht="12" hidden="1" customHeight="1">
      <c r="A18752" s="286"/>
    </row>
    <row r="18753" spans="1:1" s="287" customFormat="1" ht="12" hidden="1" customHeight="1">
      <c r="A18753" s="286"/>
    </row>
    <row r="18754" spans="1:1" s="287" customFormat="1" ht="12" hidden="1" customHeight="1">
      <c r="A18754" s="286"/>
    </row>
    <row r="18755" spans="1:1" s="287" customFormat="1" ht="12" hidden="1" customHeight="1">
      <c r="A18755" s="286"/>
    </row>
    <row r="18756" spans="1:1" s="287" customFormat="1" ht="12" hidden="1" customHeight="1">
      <c r="A18756" s="286"/>
    </row>
    <row r="18757" spans="1:1" s="287" customFormat="1" ht="12" hidden="1" customHeight="1">
      <c r="A18757" s="286"/>
    </row>
    <row r="18758" spans="1:1" s="287" customFormat="1" ht="12" hidden="1" customHeight="1">
      <c r="A18758" s="286"/>
    </row>
    <row r="18759" spans="1:1" s="287" customFormat="1" ht="12" hidden="1" customHeight="1">
      <c r="A18759" s="286"/>
    </row>
    <row r="18760" spans="1:1" s="287" customFormat="1" ht="12" hidden="1" customHeight="1">
      <c r="A18760" s="286"/>
    </row>
    <row r="18761" spans="1:1" s="287" customFormat="1" ht="12" hidden="1" customHeight="1">
      <c r="A18761" s="286"/>
    </row>
    <row r="18762" spans="1:1" s="287" customFormat="1" ht="12" hidden="1" customHeight="1">
      <c r="A18762" s="286"/>
    </row>
    <row r="18763" spans="1:1" s="287" customFormat="1" ht="12" hidden="1" customHeight="1">
      <c r="A18763" s="286"/>
    </row>
    <row r="18764" spans="1:1" s="287" customFormat="1" ht="12" hidden="1" customHeight="1">
      <c r="A18764" s="286"/>
    </row>
    <row r="18765" spans="1:1" s="287" customFormat="1" ht="12" hidden="1" customHeight="1">
      <c r="A18765" s="286"/>
    </row>
    <row r="18766" spans="1:1" s="287" customFormat="1" ht="12" hidden="1" customHeight="1">
      <c r="A18766" s="286"/>
    </row>
    <row r="18767" spans="1:1" s="287" customFormat="1" ht="12" hidden="1" customHeight="1">
      <c r="A18767" s="286"/>
    </row>
    <row r="18768" spans="1:1" s="287" customFormat="1" ht="12" hidden="1" customHeight="1">
      <c r="A18768" s="286"/>
    </row>
    <row r="18769" spans="1:1" s="287" customFormat="1" ht="12" hidden="1" customHeight="1">
      <c r="A18769" s="286"/>
    </row>
    <row r="18770" spans="1:1" s="287" customFormat="1" ht="12" hidden="1" customHeight="1">
      <c r="A18770" s="286"/>
    </row>
    <row r="18771" spans="1:1" s="287" customFormat="1" ht="12" hidden="1" customHeight="1">
      <c r="A18771" s="286"/>
    </row>
    <row r="18772" spans="1:1" s="287" customFormat="1" ht="12" hidden="1" customHeight="1">
      <c r="A18772" s="286"/>
    </row>
    <row r="18773" spans="1:1" s="287" customFormat="1" ht="12" hidden="1" customHeight="1">
      <c r="A18773" s="286"/>
    </row>
    <row r="18774" spans="1:1" s="287" customFormat="1" ht="12" hidden="1" customHeight="1">
      <c r="A18774" s="286"/>
    </row>
    <row r="18775" spans="1:1" s="287" customFormat="1" ht="12" hidden="1" customHeight="1">
      <c r="A18775" s="286"/>
    </row>
    <row r="18776" spans="1:1" s="287" customFormat="1" ht="12" hidden="1" customHeight="1">
      <c r="A18776" s="286"/>
    </row>
    <row r="18777" spans="1:1" s="287" customFormat="1" ht="12" hidden="1" customHeight="1">
      <c r="A18777" s="286"/>
    </row>
    <row r="18778" spans="1:1" s="287" customFormat="1" ht="12" hidden="1" customHeight="1">
      <c r="A18778" s="286"/>
    </row>
    <row r="18779" spans="1:1" s="287" customFormat="1" ht="12" hidden="1" customHeight="1">
      <c r="A18779" s="286"/>
    </row>
    <row r="18780" spans="1:1" s="287" customFormat="1" ht="12" hidden="1" customHeight="1">
      <c r="A18780" s="286"/>
    </row>
    <row r="18781" spans="1:1" s="287" customFormat="1" ht="12" hidden="1" customHeight="1">
      <c r="A18781" s="286"/>
    </row>
    <row r="18782" spans="1:1" s="287" customFormat="1" ht="12" hidden="1" customHeight="1">
      <c r="A18782" s="286"/>
    </row>
    <row r="18783" spans="1:1" s="287" customFormat="1" ht="12" hidden="1" customHeight="1">
      <c r="A18783" s="286"/>
    </row>
    <row r="18784" spans="1:1" s="287" customFormat="1" ht="12" hidden="1" customHeight="1">
      <c r="A18784" s="286"/>
    </row>
    <row r="18785" spans="1:1" s="287" customFormat="1" ht="12" hidden="1" customHeight="1">
      <c r="A18785" s="286"/>
    </row>
    <row r="18786" spans="1:1" s="287" customFormat="1" ht="12" hidden="1" customHeight="1">
      <c r="A18786" s="286"/>
    </row>
    <row r="18787" spans="1:1" s="287" customFormat="1" ht="12" hidden="1" customHeight="1">
      <c r="A18787" s="286"/>
    </row>
    <row r="18788" spans="1:1" s="287" customFormat="1" ht="12" hidden="1" customHeight="1">
      <c r="A18788" s="286"/>
    </row>
    <row r="18789" spans="1:1" s="287" customFormat="1" ht="12" hidden="1" customHeight="1">
      <c r="A18789" s="286"/>
    </row>
    <row r="18790" spans="1:1" s="287" customFormat="1" ht="12" hidden="1" customHeight="1">
      <c r="A18790" s="286"/>
    </row>
    <row r="18791" spans="1:1" s="287" customFormat="1" ht="12" hidden="1" customHeight="1">
      <c r="A18791" s="286"/>
    </row>
    <row r="18792" spans="1:1" s="287" customFormat="1" ht="12" hidden="1" customHeight="1">
      <c r="A18792" s="286"/>
    </row>
    <row r="18793" spans="1:1" s="287" customFormat="1" ht="12" hidden="1" customHeight="1">
      <c r="A18793" s="286"/>
    </row>
    <row r="18794" spans="1:1" s="287" customFormat="1" ht="12" hidden="1" customHeight="1">
      <c r="A18794" s="286"/>
    </row>
    <row r="18795" spans="1:1" s="287" customFormat="1" ht="12" hidden="1" customHeight="1">
      <c r="A18795" s="286"/>
    </row>
    <row r="18796" spans="1:1" s="287" customFormat="1" ht="12" hidden="1" customHeight="1">
      <c r="A18796" s="286"/>
    </row>
    <row r="18797" spans="1:1" s="287" customFormat="1" ht="12" hidden="1" customHeight="1">
      <c r="A18797" s="286"/>
    </row>
    <row r="18798" spans="1:1" s="287" customFormat="1" ht="12" hidden="1" customHeight="1">
      <c r="A18798" s="286"/>
    </row>
    <row r="18799" spans="1:1" s="287" customFormat="1" ht="12" hidden="1" customHeight="1">
      <c r="A18799" s="286"/>
    </row>
    <row r="18800" spans="1:1" s="287" customFormat="1" ht="12" hidden="1" customHeight="1">
      <c r="A18800" s="286"/>
    </row>
    <row r="18801" spans="1:1" s="287" customFormat="1" ht="12" hidden="1" customHeight="1">
      <c r="A18801" s="286"/>
    </row>
    <row r="18802" spans="1:1" s="287" customFormat="1" ht="12" hidden="1" customHeight="1">
      <c r="A18802" s="286"/>
    </row>
    <row r="18803" spans="1:1" s="287" customFormat="1" ht="12" hidden="1" customHeight="1">
      <c r="A18803" s="286"/>
    </row>
    <row r="18804" spans="1:1" s="287" customFormat="1" ht="12" hidden="1" customHeight="1">
      <c r="A18804" s="286"/>
    </row>
    <row r="18805" spans="1:1" s="287" customFormat="1" ht="12" hidden="1" customHeight="1">
      <c r="A18805" s="286"/>
    </row>
    <row r="18806" spans="1:1" s="287" customFormat="1" ht="12" hidden="1" customHeight="1">
      <c r="A18806" s="286"/>
    </row>
    <row r="18807" spans="1:1" s="287" customFormat="1" ht="12" hidden="1" customHeight="1">
      <c r="A18807" s="286"/>
    </row>
    <row r="18808" spans="1:1" s="287" customFormat="1" ht="12" hidden="1" customHeight="1">
      <c r="A18808" s="286"/>
    </row>
    <row r="18809" spans="1:1" s="287" customFormat="1" ht="12" hidden="1" customHeight="1">
      <c r="A18809" s="286"/>
    </row>
    <row r="18810" spans="1:1" s="287" customFormat="1" ht="12" hidden="1" customHeight="1">
      <c r="A18810" s="286"/>
    </row>
    <row r="18811" spans="1:1" s="287" customFormat="1" ht="12" hidden="1" customHeight="1">
      <c r="A18811" s="286"/>
    </row>
    <row r="18812" spans="1:1" s="287" customFormat="1" ht="12" hidden="1" customHeight="1">
      <c r="A18812" s="286"/>
    </row>
    <row r="18813" spans="1:1" s="287" customFormat="1" ht="12" hidden="1" customHeight="1">
      <c r="A18813" s="286"/>
    </row>
    <row r="18814" spans="1:1" s="287" customFormat="1" ht="12" hidden="1" customHeight="1">
      <c r="A18814" s="286"/>
    </row>
    <row r="18815" spans="1:1" s="287" customFormat="1" ht="12" hidden="1" customHeight="1">
      <c r="A18815" s="286"/>
    </row>
    <row r="18816" spans="1:1" s="287" customFormat="1" ht="12" hidden="1" customHeight="1">
      <c r="A18816" s="286"/>
    </row>
    <row r="18817" spans="1:1" s="287" customFormat="1" ht="12" hidden="1" customHeight="1">
      <c r="A18817" s="286"/>
    </row>
    <row r="18818" spans="1:1" s="287" customFormat="1" ht="12" hidden="1" customHeight="1">
      <c r="A18818" s="286"/>
    </row>
    <row r="18819" spans="1:1" s="287" customFormat="1" ht="12" hidden="1" customHeight="1">
      <c r="A18819" s="286"/>
    </row>
    <row r="18820" spans="1:1" s="287" customFormat="1" ht="12" hidden="1" customHeight="1">
      <c r="A18820" s="286"/>
    </row>
    <row r="18821" spans="1:1" s="287" customFormat="1" ht="12" hidden="1" customHeight="1">
      <c r="A18821" s="286"/>
    </row>
    <row r="18822" spans="1:1" s="287" customFormat="1" ht="12" hidden="1" customHeight="1">
      <c r="A18822" s="286"/>
    </row>
    <row r="18823" spans="1:1" s="287" customFormat="1" ht="12" hidden="1" customHeight="1">
      <c r="A18823" s="286"/>
    </row>
    <row r="18824" spans="1:1" s="287" customFormat="1" ht="12" hidden="1" customHeight="1">
      <c r="A18824" s="286"/>
    </row>
    <row r="18825" spans="1:1" s="287" customFormat="1" ht="12" hidden="1" customHeight="1">
      <c r="A18825" s="286"/>
    </row>
    <row r="18826" spans="1:1" s="287" customFormat="1" ht="12" hidden="1" customHeight="1">
      <c r="A18826" s="286"/>
    </row>
    <row r="18827" spans="1:1" s="287" customFormat="1" ht="12" hidden="1" customHeight="1">
      <c r="A18827" s="286"/>
    </row>
    <row r="18828" spans="1:1" s="287" customFormat="1" ht="12" hidden="1" customHeight="1">
      <c r="A18828" s="286"/>
    </row>
    <row r="18829" spans="1:1" s="287" customFormat="1" ht="12" hidden="1" customHeight="1">
      <c r="A18829" s="286"/>
    </row>
    <row r="18830" spans="1:1" s="287" customFormat="1" ht="12" hidden="1" customHeight="1">
      <c r="A18830" s="286"/>
    </row>
    <row r="18831" spans="1:1" s="287" customFormat="1" ht="12" hidden="1" customHeight="1">
      <c r="A18831" s="286"/>
    </row>
    <row r="18832" spans="1:1" s="287" customFormat="1" ht="12" hidden="1" customHeight="1">
      <c r="A18832" s="286"/>
    </row>
    <row r="18833" spans="1:1" s="287" customFormat="1" ht="12" hidden="1" customHeight="1">
      <c r="A18833" s="286"/>
    </row>
    <row r="18834" spans="1:1" s="287" customFormat="1" ht="12" hidden="1" customHeight="1">
      <c r="A18834" s="286"/>
    </row>
    <row r="18835" spans="1:1" s="287" customFormat="1" ht="12" hidden="1" customHeight="1">
      <c r="A18835" s="286"/>
    </row>
    <row r="18836" spans="1:1" s="287" customFormat="1" ht="12" hidden="1" customHeight="1">
      <c r="A18836" s="286"/>
    </row>
    <row r="18837" spans="1:1" s="287" customFormat="1" ht="12" hidden="1" customHeight="1">
      <c r="A18837" s="286"/>
    </row>
    <row r="18838" spans="1:1" s="287" customFormat="1" ht="12" hidden="1" customHeight="1">
      <c r="A18838" s="286"/>
    </row>
    <row r="18839" spans="1:1" s="287" customFormat="1" ht="12" hidden="1" customHeight="1">
      <c r="A18839" s="286"/>
    </row>
    <row r="18840" spans="1:1" s="287" customFormat="1" ht="12" hidden="1" customHeight="1">
      <c r="A18840" s="286"/>
    </row>
    <row r="18841" spans="1:1" s="287" customFormat="1" ht="12" hidden="1" customHeight="1">
      <c r="A18841" s="286"/>
    </row>
    <row r="18842" spans="1:1" s="287" customFormat="1" ht="12" hidden="1" customHeight="1">
      <c r="A18842" s="286"/>
    </row>
    <row r="18843" spans="1:1" s="287" customFormat="1" ht="12" hidden="1" customHeight="1">
      <c r="A18843" s="286"/>
    </row>
    <row r="18844" spans="1:1" s="287" customFormat="1" ht="12" hidden="1" customHeight="1">
      <c r="A18844" s="286"/>
    </row>
    <row r="18845" spans="1:1" s="287" customFormat="1" ht="12" hidden="1" customHeight="1">
      <c r="A18845" s="286"/>
    </row>
    <row r="18846" spans="1:1" s="287" customFormat="1" ht="12" hidden="1" customHeight="1">
      <c r="A18846" s="286"/>
    </row>
    <row r="18847" spans="1:1" s="287" customFormat="1" ht="12" hidden="1" customHeight="1">
      <c r="A18847" s="286"/>
    </row>
    <row r="18848" spans="1:1" s="287" customFormat="1" ht="12" hidden="1" customHeight="1">
      <c r="A18848" s="286"/>
    </row>
    <row r="18849" spans="1:1" s="287" customFormat="1" ht="12" hidden="1" customHeight="1">
      <c r="A18849" s="286"/>
    </row>
    <row r="18850" spans="1:1" s="287" customFormat="1" ht="12" hidden="1" customHeight="1">
      <c r="A18850" s="286"/>
    </row>
    <row r="18851" spans="1:1" s="287" customFormat="1" ht="12" hidden="1" customHeight="1">
      <c r="A18851" s="286"/>
    </row>
    <row r="18852" spans="1:1" s="287" customFormat="1" ht="12" hidden="1" customHeight="1">
      <c r="A18852" s="286"/>
    </row>
    <row r="18853" spans="1:1" s="287" customFormat="1" ht="12" hidden="1" customHeight="1">
      <c r="A18853" s="286"/>
    </row>
    <row r="18854" spans="1:1" s="287" customFormat="1" ht="12" hidden="1" customHeight="1">
      <c r="A18854" s="286"/>
    </row>
    <row r="18855" spans="1:1" s="287" customFormat="1" ht="12" hidden="1" customHeight="1">
      <c r="A18855" s="286"/>
    </row>
    <row r="18856" spans="1:1" s="287" customFormat="1" ht="12" hidden="1" customHeight="1">
      <c r="A18856" s="286"/>
    </row>
    <row r="18857" spans="1:1" s="287" customFormat="1" ht="12" hidden="1" customHeight="1">
      <c r="A18857" s="286"/>
    </row>
    <row r="18858" spans="1:1" s="287" customFormat="1" ht="12" hidden="1" customHeight="1">
      <c r="A18858" s="286"/>
    </row>
    <row r="18859" spans="1:1" s="287" customFormat="1" ht="12" hidden="1" customHeight="1">
      <c r="A18859" s="286"/>
    </row>
    <row r="18860" spans="1:1" s="287" customFormat="1" ht="12" hidden="1" customHeight="1">
      <c r="A18860" s="286"/>
    </row>
    <row r="18861" spans="1:1" s="287" customFormat="1" ht="12" hidden="1" customHeight="1">
      <c r="A18861" s="286"/>
    </row>
    <row r="18862" spans="1:1" s="287" customFormat="1" ht="12" hidden="1" customHeight="1">
      <c r="A18862" s="286"/>
    </row>
    <row r="18863" spans="1:1" s="287" customFormat="1" ht="12" hidden="1" customHeight="1">
      <c r="A18863" s="286"/>
    </row>
    <row r="18864" spans="1:1" s="287" customFormat="1" ht="12" hidden="1" customHeight="1">
      <c r="A18864" s="286"/>
    </row>
    <row r="18865" spans="1:1" s="287" customFormat="1" ht="12" hidden="1" customHeight="1">
      <c r="A18865" s="286"/>
    </row>
    <row r="18866" spans="1:1" s="287" customFormat="1" ht="12" hidden="1" customHeight="1">
      <c r="A18866" s="286"/>
    </row>
    <row r="18867" spans="1:1" s="287" customFormat="1" ht="12" hidden="1" customHeight="1">
      <c r="A18867" s="286"/>
    </row>
    <row r="18868" spans="1:1" s="287" customFormat="1" ht="12" hidden="1" customHeight="1">
      <c r="A18868" s="286"/>
    </row>
    <row r="18869" spans="1:1" s="287" customFormat="1" ht="12" hidden="1" customHeight="1">
      <c r="A18869" s="286"/>
    </row>
    <row r="18870" spans="1:1" s="287" customFormat="1" ht="12" hidden="1" customHeight="1">
      <c r="A18870" s="286"/>
    </row>
    <row r="18871" spans="1:1" s="287" customFormat="1" ht="12" hidden="1" customHeight="1">
      <c r="A18871" s="286"/>
    </row>
    <row r="18872" spans="1:1" s="287" customFormat="1" ht="12" hidden="1" customHeight="1">
      <c r="A18872" s="286"/>
    </row>
    <row r="18873" spans="1:1" s="287" customFormat="1" ht="12" hidden="1" customHeight="1">
      <c r="A18873" s="286"/>
    </row>
    <row r="18874" spans="1:1" s="287" customFormat="1" ht="12" hidden="1" customHeight="1">
      <c r="A18874" s="286"/>
    </row>
    <row r="18875" spans="1:1" s="287" customFormat="1" ht="12" hidden="1" customHeight="1">
      <c r="A18875" s="286"/>
    </row>
    <row r="18876" spans="1:1" s="287" customFormat="1" ht="12" hidden="1" customHeight="1">
      <c r="A18876" s="286"/>
    </row>
    <row r="18877" spans="1:1" s="287" customFormat="1" ht="12" hidden="1" customHeight="1">
      <c r="A18877" s="286"/>
    </row>
    <row r="18878" spans="1:1" s="287" customFormat="1" ht="12" hidden="1" customHeight="1">
      <c r="A18878" s="286"/>
    </row>
    <row r="18879" spans="1:1" s="287" customFormat="1" ht="12" hidden="1" customHeight="1">
      <c r="A18879" s="286"/>
    </row>
    <row r="18880" spans="1:1" s="287" customFormat="1" ht="12" hidden="1" customHeight="1">
      <c r="A18880" s="286"/>
    </row>
    <row r="18881" spans="1:1" s="287" customFormat="1" ht="12" hidden="1" customHeight="1">
      <c r="A18881" s="286"/>
    </row>
    <row r="18882" spans="1:1" s="287" customFormat="1" ht="12" hidden="1" customHeight="1">
      <c r="A18882" s="286"/>
    </row>
    <row r="18883" spans="1:1" s="287" customFormat="1" ht="12" hidden="1" customHeight="1">
      <c r="A18883" s="286"/>
    </row>
    <row r="18884" spans="1:1" s="287" customFormat="1" ht="12" hidden="1" customHeight="1">
      <c r="A18884" s="286"/>
    </row>
    <row r="18885" spans="1:1" s="287" customFormat="1" ht="12" hidden="1" customHeight="1">
      <c r="A18885" s="286"/>
    </row>
    <row r="18886" spans="1:1" s="287" customFormat="1" ht="12" hidden="1" customHeight="1">
      <c r="A18886" s="286"/>
    </row>
    <row r="18887" spans="1:1" s="287" customFormat="1" ht="12" hidden="1" customHeight="1">
      <c r="A18887" s="286"/>
    </row>
    <row r="18888" spans="1:1" s="287" customFormat="1" ht="12" hidden="1" customHeight="1">
      <c r="A18888" s="286"/>
    </row>
    <row r="18889" spans="1:1" s="287" customFormat="1" ht="12" hidden="1" customHeight="1">
      <c r="A18889" s="286"/>
    </row>
    <row r="18890" spans="1:1" s="287" customFormat="1" ht="12" hidden="1" customHeight="1">
      <c r="A18890" s="286"/>
    </row>
    <row r="18891" spans="1:1" s="287" customFormat="1" ht="12" hidden="1" customHeight="1">
      <c r="A18891" s="286"/>
    </row>
    <row r="18892" spans="1:1" s="287" customFormat="1" ht="12" hidden="1" customHeight="1">
      <c r="A18892" s="286"/>
    </row>
    <row r="18893" spans="1:1" s="287" customFormat="1" ht="12" hidden="1" customHeight="1">
      <c r="A18893" s="286"/>
    </row>
    <row r="18894" spans="1:1" s="287" customFormat="1" ht="12" hidden="1" customHeight="1">
      <c r="A18894" s="286"/>
    </row>
    <row r="18895" spans="1:1" s="287" customFormat="1" ht="12" hidden="1" customHeight="1">
      <c r="A18895" s="286"/>
    </row>
    <row r="18896" spans="1:1" s="287" customFormat="1" ht="12" hidden="1" customHeight="1">
      <c r="A18896" s="286"/>
    </row>
    <row r="18897" spans="1:1" s="287" customFormat="1" ht="12" hidden="1" customHeight="1">
      <c r="A18897" s="286"/>
    </row>
    <row r="18898" spans="1:1" s="287" customFormat="1" ht="12" hidden="1" customHeight="1">
      <c r="A18898" s="286"/>
    </row>
    <row r="18899" spans="1:1" s="287" customFormat="1" ht="12" hidden="1" customHeight="1">
      <c r="A18899" s="286"/>
    </row>
    <row r="18900" spans="1:1" s="287" customFormat="1" ht="12" hidden="1" customHeight="1">
      <c r="A18900" s="286"/>
    </row>
    <row r="18901" spans="1:1" s="287" customFormat="1" ht="12" hidden="1" customHeight="1">
      <c r="A18901" s="286"/>
    </row>
    <row r="18902" spans="1:1" s="287" customFormat="1" ht="12" hidden="1" customHeight="1">
      <c r="A18902" s="286"/>
    </row>
    <row r="18903" spans="1:1" s="287" customFormat="1" ht="12" hidden="1" customHeight="1">
      <c r="A18903" s="286"/>
    </row>
    <row r="18904" spans="1:1" s="287" customFormat="1" ht="12" hidden="1" customHeight="1">
      <c r="A18904" s="286"/>
    </row>
    <row r="18905" spans="1:1" s="287" customFormat="1" ht="12" hidden="1" customHeight="1">
      <c r="A18905" s="286"/>
    </row>
    <row r="18906" spans="1:1" s="287" customFormat="1" ht="12" hidden="1" customHeight="1">
      <c r="A18906" s="286"/>
    </row>
    <row r="18907" spans="1:1" s="287" customFormat="1" ht="12" hidden="1" customHeight="1">
      <c r="A18907" s="286"/>
    </row>
    <row r="18908" spans="1:1" s="287" customFormat="1" ht="12" hidden="1" customHeight="1">
      <c r="A18908" s="286"/>
    </row>
    <row r="18909" spans="1:1" s="287" customFormat="1" ht="12" hidden="1" customHeight="1">
      <c r="A18909" s="286"/>
    </row>
    <row r="18910" spans="1:1" s="287" customFormat="1" ht="12" hidden="1" customHeight="1">
      <c r="A18910" s="286"/>
    </row>
    <row r="18911" spans="1:1" s="287" customFormat="1" ht="12" hidden="1" customHeight="1">
      <c r="A18911" s="286"/>
    </row>
    <row r="18912" spans="1:1" s="287" customFormat="1" ht="12" hidden="1" customHeight="1">
      <c r="A18912" s="286"/>
    </row>
    <row r="18913" spans="1:1" s="287" customFormat="1" ht="12" hidden="1" customHeight="1">
      <c r="A18913" s="286"/>
    </row>
    <row r="18914" spans="1:1" s="287" customFormat="1" ht="12" hidden="1" customHeight="1">
      <c r="A18914" s="286"/>
    </row>
    <row r="18915" spans="1:1" s="287" customFormat="1" ht="12" hidden="1" customHeight="1">
      <c r="A18915" s="286"/>
    </row>
    <row r="18916" spans="1:1" s="287" customFormat="1" ht="12" hidden="1" customHeight="1">
      <c r="A18916" s="286"/>
    </row>
    <row r="18917" spans="1:1" s="287" customFormat="1" ht="12" hidden="1" customHeight="1">
      <c r="A18917" s="286"/>
    </row>
    <row r="18918" spans="1:1" s="287" customFormat="1" ht="12" hidden="1" customHeight="1">
      <c r="A18918" s="286"/>
    </row>
    <row r="18919" spans="1:1" s="287" customFormat="1" ht="12" hidden="1" customHeight="1">
      <c r="A18919" s="286"/>
    </row>
    <row r="18920" spans="1:1" s="287" customFormat="1" ht="12" hidden="1" customHeight="1">
      <c r="A18920" s="286"/>
    </row>
    <row r="18921" spans="1:1" s="287" customFormat="1" ht="12" hidden="1" customHeight="1">
      <c r="A18921" s="286"/>
    </row>
    <row r="18922" spans="1:1" s="287" customFormat="1" ht="12" hidden="1" customHeight="1">
      <c r="A18922" s="286"/>
    </row>
    <row r="18923" spans="1:1" s="287" customFormat="1" ht="12" hidden="1" customHeight="1">
      <c r="A18923" s="286"/>
    </row>
    <row r="18924" spans="1:1" s="287" customFormat="1" ht="12" hidden="1" customHeight="1">
      <c r="A18924" s="286"/>
    </row>
    <row r="18925" spans="1:1" s="287" customFormat="1" ht="12" hidden="1" customHeight="1">
      <c r="A18925" s="286"/>
    </row>
    <row r="18926" spans="1:1" s="287" customFormat="1" ht="12" hidden="1" customHeight="1">
      <c r="A18926" s="286"/>
    </row>
    <row r="18927" spans="1:1" s="287" customFormat="1" ht="12" hidden="1" customHeight="1">
      <c r="A18927" s="286"/>
    </row>
    <row r="18928" spans="1:1" s="287" customFormat="1" ht="12" hidden="1" customHeight="1">
      <c r="A18928" s="286"/>
    </row>
    <row r="18929" spans="1:1" s="287" customFormat="1" ht="12" hidden="1" customHeight="1">
      <c r="A18929" s="286"/>
    </row>
    <row r="18930" spans="1:1" s="287" customFormat="1" ht="12" hidden="1" customHeight="1">
      <c r="A18930" s="286"/>
    </row>
    <row r="18931" spans="1:1" s="287" customFormat="1" ht="12" hidden="1" customHeight="1">
      <c r="A18931" s="286"/>
    </row>
    <row r="18932" spans="1:1" s="287" customFormat="1" ht="12" hidden="1" customHeight="1">
      <c r="A18932" s="286"/>
    </row>
    <row r="18933" spans="1:1" s="287" customFormat="1" ht="12" hidden="1" customHeight="1">
      <c r="A18933" s="286"/>
    </row>
    <row r="18934" spans="1:1" s="287" customFormat="1" ht="12" hidden="1" customHeight="1">
      <c r="A18934" s="286"/>
    </row>
    <row r="18935" spans="1:1" s="287" customFormat="1" ht="12" hidden="1" customHeight="1">
      <c r="A18935" s="286"/>
    </row>
    <row r="18936" spans="1:1" s="287" customFormat="1" ht="12" hidden="1" customHeight="1">
      <c r="A18936" s="286"/>
    </row>
    <row r="18937" spans="1:1" s="287" customFormat="1" ht="12" hidden="1" customHeight="1">
      <c r="A18937" s="286"/>
    </row>
    <row r="18938" spans="1:1" s="287" customFormat="1" ht="12" hidden="1" customHeight="1">
      <c r="A18938" s="286"/>
    </row>
    <row r="18939" spans="1:1" s="287" customFormat="1" ht="12" hidden="1" customHeight="1">
      <c r="A18939" s="286"/>
    </row>
    <row r="18940" spans="1:1" s="287" customFormat="1" ht="12" hidden="1" customHeight="1">
      <c r="A18940" s="286"/>
    </row>
    <row r="18941" spans="1:1" s="287" customFormat="1" ht="12" hidden="1" customHeight="1">
      <c r="A18941" s="286"/>
    </row>
    <row r="18942" spans="1:1" s="287" customFormat="1" ht="12" hidden="1" customHeight="1">
      <c r="A18942" s="286"/>
    </row>
    <row r="18943" spans="1:1" s="287" customFormat="1" ht="12" hidden="1" customHeight="1">
      <c r="A18943" s="286"/>
    </row>
    <row r="18944" spans="1:1" s="287" customFormat="1" ht="12" hidden="1" customHeight="1">
      <c r="A18944" s="286"/>
    </row>
    <row r="18945" spans="1:1" s="287" customFormat="1" ht="12" hidden="1" customHeight="1">
      <c r="A18945" s="286"/>
    </row>
    <row r="18946" spans="1:1" s="287" customFormat="1" ht="12" hidden="1" customHeight="1">
      <c r="A18946" s="286"/>
    </row>
    <row r="18947" spans="1:1" s="287" customFormat="1" ht="12" hidden="1" customHeight="1">
      <c r="A18947" s="286"/>
    </row>
    <row r="18948" spans="1:1" s="287" customFormat="1" ht="12" hidden="1" customHeight="1">
      <c r="A18948" s="286"/>
    </row>
    <row r="18949" spans="1:1" s="287" customFormat="1" ht="12" hidden="1" customHeight="1">
      <c r="A18949" s="286"/>
    </row>
    <row r="18950" spans="1:1" s="287" customFormat="1" ht="12" hidden="1" customHeight="1">
      <c r="A18950" s="286"/>
    </row>
    <row r="18951" spans="1:1" s="287" customFormat="1" ht="12" hidden="1" customHeight="1">
      <c r="A18951" s="286"/>
    </row>
    <row r="18952" spans="1:1" s="287" customFormat="1" ht="12" hidden="1" customHeight="1">
      <c r="A18952" s="286"/>
    </row>
    <row r="18953" spans="1:1" s="287" customFormat="1" ht="12" hidden="1" customHeight="1">
      <c r="A18953" s="286"/>
    </row>
    <row r="18954" spans="1:1" s="287" customFormat="1" ht="12" hidden="1" customHeight="1">
      <c r="A18954" s="286"/>
    </row>
    <row r="18955" spans="1:1" s="287" customFormat="1" ht="12" hidden="1" customHeight="1">
      <c r="A18955" s="286"/>
    </row>
    <row r="18956" spans="1:1" s="287" customFormat="1" ht="12" hidden="1" customHeight="1">
      <c r="A18956" s="286"/>
    </row>
    <row r="18957" spans="1:1" s="287" customFormat="1" ht="12" hidden="1" customHeight="1">
      <c r="A18957" s="286"/>
    </row>
    <row r="18958" spans="1:1" s="287" customFormat="1" ht="12" hidden="1" customHeight="1">
      <c r="A18958" s="286"/>
    </row>
    <row r="18959" spans="1:1" s="287" customFormat="1" ht="12" hidden="1" customHeight="1">
      <c r="A18959" s="286"/>
    </row>
    <row r="18960" spans="1:1" s="287" customFormat="1" ht="12" hidden="1" customHeight="1">
      <c r="A18960" s="286"/>
    </row>
    <row r="18961" spans="1:1" s="287" customFormat="1" ht="12" hidden="1" customHeight="1">
      <c r="A18961" s="286"/>
    </row>
    <row r="18962" spans="1:1" s="287" customFormat="1" ht="12" hidden="1" customHeight="1">
      <c r="A18962" s="286"/>
    </row>
    <row r="18963" spans="1:1" s="287" customFormat="1" ht="12" hidden="1" customHeight="1">
      <c r="A18963" s="286"/>
    </row>
    <row r="18964" spans="1:1" s="287" customFormat="1" ht="12" hidden="1" customHeight="1">
      <c r="A18964" s="286"/>
    </row>
    <row r="18965" spans="1:1" s="287" customFormat="1" ht="12" hidden="1" customHeight="1">
      <c r="A18965" s="286"/>
    </row>
    <row r="18966" spans="1:1" s="287" customFormat="1" ht="12" hidden="1" customHeight="1">
      <c r="A18966" s="286"/>
    </row>
    <row r="18967" spans="1:1" s="287" customFormat="1" ht="12" hidden="1" customHeight="1">
      <c r="A18967" s="286"/>
    </row>
    <row r="18968" spans="1:1" s="287" customFormat="1" ht="12" hidden="1" customHeight="1">
      <c r="A18968" s="286"/>
    </row>
    <row r="18969" spans="1:1" s="287" customFormat="1" ht="12" hidden="1" customHeight="1">
      <c r="A18969" s="286"/>
    </row>
    <row r="18970" spans="1:1" s="287" customFormat="1" ht="12" hidden="1" customHeight="1">
      <c r="A18970" s="286"/>
    </row>
    <row r="18971" spans="1:1" s="287" customFormat="1" ht="12" hidden="1" customHeight="1">
      <c r="A18971" s="286"/>
    </row>
    <row r="18972" spans="1:1" s="287" customFormat="1" ht="12" hidden="1" customHeight="1">
      <c r="A18972" s="286"/>
    </row>
    <row r="18973" spans="1:1" s="287" customFormat="1" ht="12" hidden="1" customHeight="1">
      <c r="A18973" s="286"/>
    </row>
    <row r="18974" spans="1:1" s="287" customFormat="1" ht="12" hidden="1" customHeight="1">
      <c r="A18974" s="286"/>
    </row>
    <row r="18975" spans="1:1" s="287" customFormat="1" ht="12" hidden="1" customHeight="1">
      <c r="A18975" s="286"/>
    </row>
    <row r="18976" spans="1:1" s="287" customFormat="1" ht="12" hidden="1" customHeight="1">
      <c r="A18976" s="286"/>
    </row>
    <row r="18977" spans="1:1" s="287" customFormat="1" ht="12" hidden="1" customHeight="1">
      <c r="A18977" s="286"/>
    </row>
    <row r="18978" spans="1:1" s="287" customFormat="1" ht="12" hidden="1" customHeight="1">
      <c r="A18978" s="286"/>
    </row>
    <row r="18979" spans="1:1" s="287" customFormat="1" ht="12" hidden="1" customHeight="1">
      <c r="A18979" s="286"/>
    </row>
    <row r="18980" spans="1:1" s="287" customFormat="1" ht="12" hidden="1" customHeight="1">
      <c r="A18980" s="286"/>
    </row>
    <row r="18981" spans="1:1" s="287" customFormat="1" ht="12" hidden="1" customHeight="1">
      <c r="A18981" s="286"/>
    </row>
    <row r="18982" spans="1:1" s="287" customFormat="1" ht="12" hidden="1" customHeight="1">
      <c r="A18982" s="286"/>
    </row>
    <row r="18983" spans="1:1" s="287" customFormat="1" ht="12" hidden="1" customHeight="1">
      <c r="A18983" s="286"/>
    </row>
    <row r="18984" spans="1:1" s="287" customFormat="1" ht="12" hidden="1" customHeight="1">
      <c r="A18984" s="286"/>
    </row>
    <row r="18985" spans="1:1" s="287" customFormat="1" ht="12" hidden="1" customHeight="1">
      <c r="A18985" s="286"/>
    </row>
    <row r="18986" spans="1:1" s="287" customFormat="1" ht="12" hidden="1" customHeight="1">
      <c r="A18986" s="286"/>
    </row>
    <row r="18987" spans="1:1" s="287" customFormat="1" ht="12" hidden="1" customHeight="1">
      <c r="A18987" s="286"/>
    </row>
    <row r="18988" spans="1:1" s="287" customFormat="1" ht="12" hidden="1" customHeight="1">
      <c r="A18988" s="286"/>
    </row>
    <row r="18989" spans="1:1" s="287" customFormat="1" ht="12" hidden="1" customHeight="1">
      <c r="A18989" s="286"/>
    </row>
    <row r="18990" spans="1:1" s="287" customFormat="1" ht="12" hidden="1" customHeight="1">
      <c r="A18990" s="286"/>
    </row>
    <row r="18991" spans="1:1" s="287" customFormat="1" ht="12" hidden="1" customHeight="1">
      <c r="A18991" s="286"/>
    </row>
    <row r="18992" spans="1:1" s="287" customFormat="1" ht="12" hidden="1" customHeight="1">
      <c r="A18992" s="286"/>
    </row>
    <row r="18993" spans="1:1" s="287" customFormat="1" ht="12" hidden="1" customHeight="1">
      <c r="A18993" s="286"/>
    </row>
    <row r="18994" spans="1:1" s="287" customFormat="1" ht="12" hidden="1" customHeight="1">
      <c r="A18994" s="286"/>
    </row>
    <row r="18995" spans="1:1" s="287" customFormat="1" ht="12" hidden="1" customHeight="1">
      <c r="A18995" s="286"/>
    </row>
    <row r="18996" spans="1:1" s="287" customFormat="1" ht="12" hidden="1" customHeight="1">
      <c r="A18996" s="286"/>
    </row>
    <row r="18997" spans="1:1" s="287" customFormat="1" ht="12" hidden="1" customHeight="1">
      <c r="A18997" s="286"/>
    </row>
    <row r="18998" spans="1:1" s="287" customFormat="1" ht="12" hidden="1" customHeight="1">
      <c r="A18998" s="286"/>
    </row>
    <row r="18999" spans="1:1" s="287" customFormat="1" ht="12" hidden="1" customHeight="1">
      <c r="A18999" s="286"/>
    </row>
    <row r="19000" spans="1:1" s="287" customFormat="1" ht="12" hidden="1" customHeight="1">
      <c r="A19000" s="286"/>
    </row>
    <row r="19001" spans="1:1" s="287" customFormat="1" ht="12" hidden="1" customHeight="1">
      <c r="A19001" s="286"/>
    </row>
    <row r="19002" spans="1:1" s="287" customFormat="1" ht="12" hidden="1" customHeight="1">
      <c r="A19002" s="286"/>
    </row>
    <row r="19003" spans="1:1" s="287" customFormat="1" ht="12" hidden="1" customHeight="1">
      <c r="A19003" s="286"/>
    </row>
    <row r="19004" spans="1:1" s="287" customFormat="1" ht="12" hidden="1" customHeight="1">
      <c r="A19004" s="286"/>
    </row>
    <row r="19005" spans="1:1" s="287" customFormat="1" ht="12" hidden="1" customHeight="1">
      <c r="A19005" s="286"/>
    </row>
    <row r="19006" spans="1:1" s="287" customFormat="1" ht="12" hidden="1" customHeight="1">
      <c r="A19006" s="286"/>
    </row>
    <row r="19007" spans="1:1" s="287" customFormat="1" ht="12" hidden="1" customHeight="1">
      <c r="A19007" s="286"/>
    </row>
    <row r="19008" spans="1:1" s="287" customFormat="1" ht="12" hidden="1" customHeight="1">
      <c r="A19008" s="286"/>
    </row>
    <row r="19009" spans="1:1" s="287" customFormat="1" ht="12" hidden="1" customHeight="1">
      <c r="A19009" s="286"/>
    </row>
    <row r="19010" spans="1:1" s="287" customFormat="1" ht="12" hidden="1" customHeight="1">
      <c r="A19010" s="286"/>
    </row>
    <row r="19011" spans="1:1" s="287" customFormat="1" ht="12" hidden="1" customHeight="1">
      <c r="A19011" s="286"/>
    </row>
    <row r="19012" spans="1:1" s="287" customFormat="1" ht="12" hidden="1" customHeight="1">
      <c r="A19012" s="286"/>
    </row>
    <row r="19013" spans="1:1" s="287" customFormat="1" ht="12" hidden="1" customHeight="1">
      <c r="A19013" s="286"/>
    </row>
    <row r="19014" spans="1:1" s="287" customFormat="1" ht="12" hidden="1" customHeight="1">
      <c r="A19014" s="286"/>
    </row>
    <row r="19015" spans="1:1" s="287" customFormat="1" ht="12" hidden="1" customHeight="1">
      <c r="A19015" s="286"/>
    </row>
    <row r="19016" spans="1:1" s="287" customFormat="1" ht="12" hidden="1" customHeight="1">
      <c r="A19016" s="286"/>
    </row>
    <row r="19017" spans="1:1" s="287" customFormat="1" ht="12" hidden="1" customHeight="1">
      <c r="A19017" s="286"/>
    </row>
    <row r="19018" spans="1:1" s="287" customFormat="1" ht="12" hidden="1" customHeight="1">
      <c r="A19018" s="286"/>
    </row>
    <row r="19019" spans="1:1" s="287" customFormat="1" ht="12" hidden="1" customHeight="1">
      <c r="A19019" s="286"/>
    </row>
    <row r="19020" spans="1:1" s="287" customFormat="1" ht="12" hidden="1" customHeight="1">
      <c r="A19020" s="286"/>
    </row>
    <row r="19021" spans="1:1" s="287" customFormat="1" ht="12" hidden="1" customHeight="1">
      <c r="A19021" s="286"/>
    </row>
    <row r="19022" spans="1:1" s="287" customFormat="1" ht="12" hidden="1" customHeight="1">
      <c r="A19022" s="286"/>
    </row>
    <row r="19023" spans="1:1" s="287" customFormat="1" ht="12" hidden="1" customHeight="1">
      <c r="A19023" s="286"/>
    </row>
    <row r="19024" spans="1:1" s="287" customFormat="1" ht="12" hidden="1" customHeight="1">
      <c r="A19024" s="286"/>
    </row>
    <row r="19025" spans="1:1" s="287" customFormat="1" ht="12" hidden="1" customHeight="1">
      <c r="A19025" s="286"/>
    </row>
    <row r="19026" spans="1:1" s="287" customFormat="1" ht="12" hidden="1" customHeight="1">
      <c r="A19026" s="286"/>
    </row>
    <row r="19027" spans="1:1" s="287" customFormat="1" ht="12" hidden="1" customHeight="1">
      <c r="A19027" s="286"/>
    </row>
    <row r="19028" spans="1:1" s="287" customFormat="1" ht="12" hidden="1" customHeight="1">
      <c r="A19028" s="286"/>
    </row>
    <row r="19029" spans="1:1" s="287" customFormat="1" ht="12" hidden="1" customHeight="1">
      <c r="A19029" s="286"/>
    </row>
    <row r="19030" spans="1:1" s="287" customFormat="1" ht="12" hidden="1" customHeight="1">
      <c r="A19030" s="286"/>
    </row>
    <row r="19031" spans="1:1" s="287" customFormat="1" ht="12" hidden="1" customHeight="1">
      <c r="A19031" s="286"/>
    </row>
    <row r="19032" spans="1:1" s="287" customFormat="1" ht="12" hidden="1" customHeight="1">
      <c r="A19032" s="286"/>
    </row>
    <row r="19033" spans="1:1" s="287" customFormat="1" ht="12" hidden="1" customHeight="1">
      <c r="A19033" s="286"/>
    </row>
    <row r="19034" spans="1:1" s="287" customFormat="1" ht="12" hidden="1" customHeight="1">
      <c r="A19034" s="286"/>
    </row>
    <row r="19035" spans="1:1" s="287" customFormat="1" ht="12" hidden="1" customHeight="1">
      <c r="A19035" s="286"/>
    </row>
    <row r="19036" spans="1:1" s="287" customFormat="1" ht="12" hidden="1" customHeight="1">
      <c r="A19036" s="286"/>
    </row>
    <row r="19037" spans="1:1" s="287" customFormat="1" ht="12" hidden="1" customHeight="1">
      <c r="A19037" s="286"/>
    </row>
    <row r="19038" spans="1:1" s="287" customFormat="1" ht="12" hidden="1" customHeight="1">
      <c r="A19038" s="286"/>
    </row>
    <row r="19039" spans="1:1" s="287" customFormat="1" ht="12" hidden="1" customHeight="1">
      <c r="A19039" s="286"/>
    </row>
    <row r="19040" spans="1:1" s="287" customFormat="1" ht="12" hidden="1" customHeight="1">
      <c r="A19040" s="286"/>
    </row>
    <row r="19041" spans="1:1" s="287" customFormat="1" ht="12" hidden="1" customHeight="1">
      <c r="A19041" s="286"/>
    </row>
    <row r="19042" spans="1:1" s="287" customFormat="1" ht="12" hidden="1" customHeight="1">
      <c r="A19042" s="286"/>
    </row>
    <row r="19043" spans="1:1" s="287" customFormat="1" ht="12" hidden="1" customHeight="1">
      <c r="A19043" s="286"/>
    </row>
    <row r="19044" spans="1:1" s="287" customFormat="1" ht="12" hidden="1" customHeight="1">
      <c r="A19044" s="286"/>
    </row>
    <row r="19045" spans="1:1" s="287" customFormat="1" ht="12" hidden="1" customHeight="1">
      <c r="A19045" s="286"/>
    </row>
    <row r="19046" spans="1:1" s="287" customFormat="1" ht="12" hidden="1" customHeight="1">
      <c r="A19046" s="286"/>
    </row>
    <row r="19047" spans="1:1" s="287" customFormat="1" ht="12" hidden="1" customHeight="1">
      <c r="A19047" s="286"/>
    </row>
    <row r="19048" spans="1:1" s="287" customFormat="1" ht="12" hidden="1" customHeight="1">
      <c r="A19048" s="286"/>
    </row>
    <row r="19049" spans="1:1" s="287" customFormat="1" ht="12" hidden="1" customHeight="1">
      <c r="A19049" s="286"/>
    </row>
    <row r="19050" spans="1:1" s="287" customFormat="1" ht="12" hidden="1" customHeight="1">
      <c r="A19050" s="286"/>
    </row>
    <row r="19051" spans="1:1" s="287" customFormat="1" ht="12" hidden="1" customHeight="1">
      <c r="A19051" s="286"/>
    </row>
    <row r="19052" spans="1:1" s="287" customFormat="1" ht="12" hidden="1" customHeight="1">
      <c r="A19052" s="286"/>
    </row>
    <row r="19053" spans="1:1" s="287" customFormat="1" ht="12" hidden="1" customHeight="1">
      <c r="A19053" s="286"/>
    </row>
    <row r="19054" spans="1:1" s="287" customFormat="1" ht="12" hidden="1" customHeight="1">
      <c r="A19054" s="286"/>
    </row>
    <row r="19055" spans="1:1" s="287" customFormat="1" ht="12" hidden="1" customHeight="1">
      <c r="A19055" s="286"/>
    </row>
    <row r="19056" spans="1:1" s="287" customFormat="1" ht="12" hidden="1" customHeight="1">
      <c r="A19056" s="286"/>
    </row>
    <row r="19057" spans="1:1" s="287" customFormat="1" ht="12" hidden="1" customHeight="1">
      <c r="A19057" s="286"/>
    </row>
    <row r="19058" spans="1:1" s="287" customFormat="1" ht="12" hidden="1" customHeight="1">
      <c r="A19058" s="286"/>
    </row>
    <row r="19059" spans="1:1" s="287" customFormat="1" ht="12" hidden="1" customHeight="1">
      <c r="A19059" s="286"/>
    </row>
    <row r="19060" spans="1:1" s="287" customFormat="1" ht="12" hidden="1" customHeight="1">
      <c r="A19060" s="286"/>
    </row>
    <row r="19061" spans="1:1" s="287" customFormat="1" ht="12" hidden="1" customHeight="1">
      <c r="A19061" s="286"/>
    </row>
    <row r="19062" spans="1:1" s="287" customFormat="1" ht="12" hidden="1" customHeight="1">
      <c r="A19062" s="286"/>
    </row>
    <row r="19063" spans="1:1" s="287" customFormat="1" ht="12" hidden="1" customHeight="1">
      <c r="A19063" s="286"/>
    </row>
    <row r="19064" spans="1:1" s="287" customFormat="1" ht="12" hidden="1" customHeight="1">
      <c r="A19064" s="286"/>
    </row>
    <row r="19065" spans="1:1" s="287" customFormat="1" ht="12" hidden="1" customHeight="1">
      <c r="A19065" s="286"/>
    </row>
    <row r="19066" spans="1:1" s="287" customFormat="1" ht="12" hidden="1" customHeight="1">
      <c r="A19066" s="286"/>
    </row>
    <row r="19067" spans="1:1" s="287" customFormat="1" ht="12" hidden="1" customHeight="1">
      <c r="A19067" s="286"/>
    </row>
    <row r="19068" spans="1:1" s="287" customFormat="1" ht="12" hidden="1" customHeight="1">
      <c r="A19068" s="286"/>
    </row>
    <row r="19069" spans="1:1" s="287" customFormat="1" ht="12" hidden="1" customHeight="1">
      <c r="A19069" s="286"/>
    </row>
    <row r="19070" spans="1:1" s="287" customFormat="1" ht="12" hidden="1" customHeight="1">
      <c r="A19070" s="286"/>
    </row>
    <row r="19071" spans="1:1" s="287" customFormat="1" ht="12" hidden="1" customHeight="1">
      <c r="A19071" s="286"/>
    </row>
    <row r="19072" spans="1:1" s="287" customFormat="1" ht="12" hidden="1" customHeight="1">
      <c r="A19072" s="286"/>
    </row>
    <row r="19073" spans="1:1" s="287" customFormat="1" ht="12" hidden="1" customHeight="1">
      <c r="A19073" s="286"/>
    </row>
    <row r="19074" spans="1:1" s="287" customFormat="1" ht="12" hidden="1" customHeight="1">
      <c r="A19074" s="286"/>
    </row>
    <row r="19075" spans="1:1" s="287" customFormat="1" ht="12" hidden="1" customHeight="1">
      <c r="A19075" s="286"/>
    </row>
    <row r="19076" spans="1:1" s="287" customFormat="1" ht="12" hidden="1" customHeight="1">
      <c r="A19076" s="286"/>
    </row>
    <row r="19077" spans="1:1" s="287" customFormat="1" ht="12" hidden="1" customHeight="1">
      <c r="A19077" s="286"/>
    </row>
    <row r="19078" spans="1:1" s="287" customFormat="1" ht="12" hidden="1" customHeight="1">
      <c r="A19078" s="286"/>
    </row>
    <row r="19079" spans="1:1" s="287" customFormat="1" ht="12" hidden="1" customHeight="1">
      <c r="A19079" s="286"/>
    </row>
    <row r="19080" spans="1:1" s="287" customFormat="1" ht="12" hidden="1" customHeight="1">
      <c r="A19080" s="286"/>
    </row>
    <row r="19081" spans="1:1" s="287" customFormat="1" ht="12" hidden="1" customHeight="1">
      <c r="A19081" s="286"/>
    </row>
    <row r="19082" spans="1:1" s="287" customFormat="1" ht="12" hidden="1" customHeight="1">
      <c r="A19082" s="286"/>
    </row>
    <row r="19083" spans="1:1" s="287" customFormat="1" ht="12" hidden="1" customHeight="1">
      <c r="A19083" s="286"/>
    </row>
    <row r="19084" spans="1:1" s="287" customFormat="1" ht="12" hidden="1" customHeight="1">
      <c r="A19084" s="286"/>
    </row>
    <row r="19085" spans="1:1" s="287" customFormat="1" ht="12" hidden="1" customHeight="1">
      <c r="A19085" s="286"/>
    </row>
    <row r="19086" spans="1:1" s="287" customFormat="1" ht="12" hidden="1" customHeight="1">
      <c r="A19086" s="286"/>
    </row>
    <row r="19087" spans="1:1" s="287" customFormat="1" ht="12" hidden="1" customHeight="1">
      <c r="A19087" s="286"/>
    </row>
    <row r="19088" spans="1:1" s="287" customFormat="1" ht="12" hidden="1" customHeight="1">
      <c r="A19088" s="286"/>
    </row>
    <row r="19089" spans="1:1" s="287" customFormat="1" ht="12" hidden="1" customHeight="1">
      <c r="A19089" s="286"/>
    </row>
    <row r="19090" spans="1:1" s="287" customFormat="1" ht="12" hidden="1" customHeight="1">
      <c r="A19090" s="286"/>
    </row>
    <row r="19091" spans="1:1" s="287" customFormat="1" ht="12" hidden="1" customHeight="1">
      <c r="A19091" s="286"/>
    </row>
    <row r="19092" spans="1:1" s="287" customFormat="1" ht="12" hidden="1" customHeight="1">
      <c r="A19092" s="286"/>
    </row>
    <row r="19093" spans="1:1" s="287" customFormat="1" ht="12" hidden="1" customHeight="1">
      <c r="A19093" s="286"/>
    </row>
    <row r="19094" spans="1:1" s="287" customFormat="1" ht="12" hidden="1" customHeight="1">
      <c r="A19094" s="286"/>
    </row>
    <row r="19095" spans="1:1" s="287" customFormat="1" ht="12" hidden="1" customHeight="1">
      <c r="A19095" s="286"/>
    </row>
    <row r="19096" spans="1:1" s="287" customFormat="1" ht="12" hidden="1" customHeight="1">
      <c r="A19096" s="286"/>
    </row>
    <row r="19097" spans="1:1" s="287" customFormat="1" ht="12" hidden="1" customHeight="1">
      <c r="A19097" s="286"/>
    </row>
    <row r="19098" spans="1:1" s="287" customFormat="1" ht="12" hidden="1" customHeight="1">
      <c r="A19098" s="286"/>
    </row>
    <row r="19099" spans="1:1" s="287" customFormat="1" ht="12" hidden="1" customHeight="1">
      <c r="A19099" s="286"/>
    </row>
    <row r="19100" spans="1:1" s="287" customFormat="1" ht="12" hidden="1" customHeight="1">
      <c r="A19100" s="286"/>
    </row>
    <row r="19101" spans="1:1" s="287" customFormat="1" ht="12" hidden="1" customHeight="1">
      <c r="A19101" s="286"/>
    </row>
    <row r="19102" spans="1:1" s="287" customFormat="1" ht="12" hidden="1" customHeight="1">
      <c r="A19102" s="286"/>
    </row>
    <row r="19103" spans="1:1" s="287" customFormat="1" ht="12" hidden="1" customHeight="1">
      <c r="A19103" s="286"/>
    </row>
    <row r="19104" spans="1:1" s="287" customFormat="1" ht="12" hidden="1" customHeight="1">
      <c r="A19104" s="286"/>
    </row>
    <row r="19105" spans="1:1" s="287" customFormat="1" ht="12" hidden="1" customHeight="1">
      <c r="A19105" s="286"/>
    </row>
    <row r="19106" spans="1:1" s="287" customFormat="1" ht="12" hidden="1" customHeight="1">
      <c r="A19106" s="286"/>
    </row>
    <row r="19107" spans="1:1" s="287" customFormat="1" ht="12" hidden="1" customHeight="1">
      <c r="A19107" s="286"/>
    </row>
    <row r="19108" spans="1:1" s="287" customFormat="1" ht="12" hidden="1" customHeight="1">
      <c r="A19108" s="286"/>
    </row>
    <row r="19109" spans="1:1" s="287" customFormat="1" ht="12" hidden="1" customHeight="1">
      <c r="A19109" s="286"/>
    </row>
    <row r="19110" spans="1:1" s="287" customFormat="1" ht="12" hidden="1" customHeight="1">
      <c r="A19110" s="286"/>
    </row>
    <row r="19111" spans="1:1" s="287" customFormat="1" ht="12" hidden="1" customHeight="1">
      <c r="A19111" s="286"/>
    </row>
    <row r="19112" spans="1:1" s="287" customFormat="1" ht="12" hidden="1" customHeight="1">
      <c r="A19112" s="286"/>
    </row>
    <row r="19113" spans="1:1" s="287" customFormat="1" ht="12" hidden="1" customHeight="1">
      <c r="A19113" s="286"/>
    </row>
    <row r="19114" spans="1:1" s="287" customFormat="1" ht="12" hidden="1" customHeight="1">
      <c r="A19114" s="286"/>
    </row>
    <row r="19115" spans="1:1" s="287" customFormat="1" ht="12" hidden="1" customHeight="1">
      <c r="A19115" s="286"/>
    </row>
    <row r="19116" spans="1:1" s="287" customFormat="1" ht="12" hidden="1" customHeight="1">
      <c r="A19116" s="286"/>
    </row>
    <row r="19117" spans="1:1" s="287" customFormat="1" ht="12" hidden="1" customHeight="1">
      <c r="A19117" s="286"/>
    </row>
    <row r="19118" spans="1:1" s="287" customFormat="1" ht="12" hidden="1" customHeight="1">
      <c r="A19118" s="286"/>
    </row>
    <row r="19119" spans="1:1" s="287" customFormat="1" ht="12" hidden="1" customHeight="1">
      <c r="A19119" s="286"/>
    </row>
    <row r="19120" spans="1:1" s="287" customFormat="1" ht="12" hidden="1" customHeight="1">
      <c r="A19120" s="286"/>
    </row>
    <row r="19121" spans="1:1" s="287" customFormat="1" ht="12" hidden="1" customHeight="1">
      <c r="A19121" s="286"/>
    </row>
    <row r="19122" spans="1:1" s="287" customFormat="1" ht="12" hidden="1" customHeight="1">
      <c r="A19122" s="286"/>
    </row>
    <row r="19123" spans="1:1" s="287" customFormat="1" ht="12" hidden="1" customHeight="1">
      <c r="A19123" s="286"/>
    </row>
    <row r="19124" spans="1:1" s="287" customFormat="1" ht="12" hidden="1" customHeight="1">
      <c r="A19124" s="286"/>
    </row>
    <row r="19125" spans="1:1" s="287" customFormat="1" ht="12" hidden="1" customHeight="1">
      <c r="A19125" s="286"/>
    </row>
    <row r="19126" spans="1:1" s="287" customFormat="1" ht="12" hidden="1" customHeight="1">
      <c r="A19126" s="286"/>
    </row>
    <row r="19127" spans="1:1" s="287" customFormat="1" ht="12" hidden="1" customHeight="1">
      <c r="A19127" s="286"/>
    </row>
    <row r="19128" spans="1:1" s="287" customFormat="1" ht="12" hidden="1" customHeight="1">
      <c r="A19128" s="286"/>
    </row>
    <row r="19129" spans="1:1" s="287" customFormat="1" ht="12" hidden="1" customHeight="1">
      <c r="A19129" s="286"/>
    </row>
    <row r="19130" spans="1:1" s="287" customFormat="1" ht="12" hidden="1" customHeight="1">
      <c r="A19130" s="286"/>
    </row>
    <row r="19131" spans="1:1" s="287" customFormat="1" ht="12" hidden="1" customHeight="1">
      <c r="A19131" s="286"/>
    </row>
    <row r="19132" spans="1:1" s="287" customFormat="1" ht="12" hidden="1" customHeight="1">
      <c r="A19132" s="286"/>
    </row>
    <row r="19133" spans="1:1" s="287" customFormat="1" ht="12" hidden="1" customHeight="1">
      <c r="A19133" s="286"/>
    </row>
    <row r="19134" spans="1:1" s="287" customFormat="1" ht="12" hidden="1" customHeight="1">
      <c r="A19134" s="286"/>
    </row>
    <row r="19135" spans="1:1" s="287" customFormat="1" ht="12" hidden="1" customHeight="1">
      <c r="A19135" s="286"/>
    </row>
    <row r="19136" spans="1:1" s="287" customFormat="1" ht="12" hidden="1" customHeight="1">
      <c r="A19136" s="286"/>
    </row>
    <row r="19137" spans="1:1" s="287" customFormat="1" ht="12" hidden="1" customHeight="1">
      <c r="A19137" s="286"/>
    </row>
    <row r="19138" spans="1:1" s="287" customFormat="1" ht="12" hidden="1" customHeight="1">
      <c r="A19138" s="286"/>
    </row>
    <row r="19139" spans="1:1" s="287" customFormat="1" ht="12" hidden="1" customHeight="1">
      <c r="A19139" s="286"/>
    </row>
    <row r="19140" spans="1:1" s="287" customFormat="1" ht="12" hidden="1" customHeight="1">
      <c r="A19140" s="286"/>
    </row>
    <row r="19141" spans="1:1" s="287" customFormat="1" ht="12" hidden="1" customHeight="1">
      <c r="A19141" s="286"/>
    </row>
    <row r="19142" spans="1:1" s="287" customFormat="1" ht="12" hidden="1" customHeight="1">
      <c r="A19142" s="286"/>
    </row>
    <row r="19143" spans="1:1" s="287" customFormat="1" ht="12" hidden="1" customHeight="1">
      <c r="A19143" s="286"/>
    </row>
    <row r="19144" spans="1:1" s="287" customFormat="1" ht="12" hidden="1" customHeight="1">
      <c r="A19144" s="286"/>
    </row>
    <row r="19145" spans="1:1" s="287" customFormat="1" ht="12" hidden="1" customHeight="1">
      <c r="A19145" s="286"/>
    </row>
    <row r="19146" spans="1:1" s="287" customFormat="1" ht="12" hidden="1" customHeight="1">
      <c r="A19146" s="286"/>
    </row>
    <row r="19147" spans="1:1" s="287" customFormat="1" ht="12" hidden="1" customHeight="1">
      <c r="A19147" s="286"/>
    </row>
    <row r="19148" spans="1:1" s="287" customFormat="1" ht="12" hidden="1" customHeight="1">
      <c r="A19148" s="286"/>
    </row>
    <row r="19149" spans="1:1" s="287" customFormat="1" ht="12" hidden="1" customHeight="1">
      <c r="A19149" s="286"/>
    </row>
    <row r="19150" spans="1:1" s="287" customFormat="1" ht="12" hidden="1" customHeight="1">
      <c r="A19150" s="286"/>
    </row>
    <row r="19151" spans="1:1" s="287" customFormat="1" ht="12" hidden="1" customHeight="1">
      <c r="A19151" s="286"/>
    </row>
    <row r="19152" spans="1:1" s="287" customFormat="1" ht="12" hidden="1" customHeight="1">
      <c r="A19152" s="286"/>
    </row>
    <row r="19153" spans="1:1" s="287" customFormat="1" ht="12" hidden="1" customHeight="1">
      <c r="A19153" s="286"/>
    </row>
    <row r="19154" spans="1:1" s="287" customFormat="1" ht="12" hidden="1" customHeight="1">
      <c r="A19154" s="286"/>
    </row>
    <row r="19155" spans="1:1" s="287" customFormat="1" ht="12" hidden="1" customHeight="1">
      <c r="A19155" s="286"/>
    </row>
    <row r="19156" spans="1:1" s="287" customFormat="1" ht="12" hidden="1" customHeight="1">
      <c r="A19156" s="286"/>
    </row>
    <row r="19157" spans="1:1" s="287" customFormat="1" ht="12" hidden="1" customHeight="1">
      <c r="A19157" s="286"/>
    </row>
    <row r="19158" spans="1:1" s="287" customFormat="1" ht="12" hidden="1" customHeight="1">
      <c r="A19158" s="286"/>
    </row>
    <row r="19159" spans="1:1" s="287" customFormat="1" ht="12" hidden="1" customHeight="1">
      <c r="A19159" s="286"/>
    </row>
    <row r="19160" spans="1:1" s="287" customFormat="1" ht="12" hidden="1" customHeight="1">
      <c r="A19160" s="286"/>
    </row>
    <row r="19161" spans="1:1" s="287" customFormat="1" ht="12" hidden="1" customHeight="1">
      <c r="A19161" s="286"/>
    </row>
    <row r="19162" spans="1:1" s="287" customFormat="1" ht="12" hidden="1" customHeight="1">
      <c r="A19162" s="286"/>
    </row>
    <row r="19163" spans="1:1" s="287" customFormat="1" ht="12" hidden="1" customHeight="1">
      <c r="A19163" s="286"/>
    </row>
    <row r="19164" spans="1:1" s="287" customFormat="1" ht="12" hidden="1" customHeight="1">
      <c r="A19164" s="286"/>
    </row>
    <row r="19165" spans="1:1" s="287" customFormat="1" ht="12" hidden="1" customHeight="1">
      <c r="A19165" s="286"/>
    </row>
    <row r="19166" spans="1:1" s="287" customFormat="1" ht="12" hidden="1" customHeight="1">
      <c r="A19166" s="286"/>
    </row>
    <row r="19167" spans="1:1" s="287" customFormat="1" ht="12" hidden="1" customHeight="1">
      <c r="A19167" s="286"/>
    </row>
    <row r="19168" spans="1:1" s="287" customFormat="1" ht="12" hidden="1" customHeight="1">
      <c r="A19168" s="286"/>
    </row>
    <row r="19169" spans="1:1" s="287" customFormat="1" ht="12" hidden="1" customHeight="1">
      <c r="A19169" s="286"/>
    </row>
    <row r="19170" spans="1:1" s="287" customFormat="1" ht="12" hidden="1" customHeight="1">
      <c r="A19170" s="286"/>
    </row>
    <row r="19171" spans="1:1" s="287" customFormat="1" ht="12" hidden="1" customHeight="1">
      <c r="A19171" s="286"/>
    </row>
    <row r="19172" spans="1:1" s="287" customFormat="1" ht="12" hidden="1" customHeight="1">
      <c r="A19172" s="286"/>
    </row>
    <row r="19173" spans="1:1" s="287" customFormat="1" ht="12" hidden="1" customHeight="1">
      <c r="A19173" s="286"/>
    </row>
    <row r="19174" spans="1:1" s="287" customFormat="1" ht="12" hidden="1" customHeight="1">
      <c r="A19174" s="286"/>
    </row>
    <row r="19175" spans="1:1" s="287" customFormat="1" ht="12" hidden="1" customHeight="1">
      <c r="A19175" s="286"/>
    </row>
    <row r="19176" spans="1:1" s="287" customFormat="1" ht="12" hidden="1" customHeight="1">
      <c r="A19176" s="286"/>
    </row>
    <row r="19177" spans="1:1" s="287" customFormat="1" ht="12" hidden="1" customHeight="1">
      <c r="A19177" s="286"/>
    </row>
    <row r="19178" spans="1:1" s="287" customFormat="1" ht="12" hidden="1" customHeight="1">
      <c r="A19178" s="286"/>
    </row>
    <row r="19179" spans="1:1" s="287" customFormat="1" ht="12" hidden="1" customHeight="1">
      <c r="A19179" s="286"/>
    </row>
    <row r="19180" spans="1:1" s="287" customFormat="1" ht="12" hidden="1" customHeight="1">
      <c r="A19180" s="286"/>
    </row>
    <row r="19181" spans="1:1" s="287" customFormat="1" ht="12" hidden="1" customHeight="1">
      <c r="A19181" s="286"/>
    </row>
    <row r="19182" spans="1:1" s="287" customFormat="1" ht="12" hidden="1" customHeight="1">
      <c r="A19182" s="286"/>
    </row>
    <row r="19183" spans="1:1" s="287" customFormat="1" ht="12" hidden="1" customHeight="1">
      <c r="A19183" s="286"/>
    </row>
    <row r="19184" spans="1:1" s="287" customFormat="1" ht="12" hidden="1" customHeight="1">
      <c r="A19184" s="286"/>
    </row>
    <row r="19185" spans="1:1" s="287" customFormat="1" ht="12" hidden="1" customHeight="1">
      <c r="A19185" s="286"/>
    </row>
    <row r="19186" spans="1:1" s="287" customFormat="1" ht="12" hidden="1" customHeight="1">
      <c r="A19186" s="286"/>
    </row>
    <row r="19187" spans="1:1" s="287" customFormat="1" ht="12" hidden="1" customHeight="1">
      <c r="A19187" s="286"/>
    </row>
    <row r="19188" spans="1:1" s="287" customFormat="1" ht="12" hidden="1" customHeight="1">
      <c r="A19188" s="286"/>
    </row>
    <row r="19189" spans="1:1" s="287" customFormat="1" ht="12" hidden="1" customHeight="1">
      <c r="A19189" s="286"/>
    </row>
    <row r="19190" spans="1:1" s="287" customFormat="1" ht="12" hidden="1" customHeight="1">
      <c r="A19190" s="286"/>
    </row>
    <row r="19191" spans="1:1" s="287" customFormat="1" ht="12" hidden="1" customHeight="1">
      <c r="A19191" s="286"/>
    </row>
    <row r="19192" spans="1:1" s="287" customFormat="1" ht="12" hidden="1" customHeight="1">
      <c r="A19192" s="286"/>
    </row>
    <row r="19193" spans="1:1" s="287" customFormat="1" ht="12" hidden="1" customHeight="1">
      <c r="A19193" s="286"/>
    </row>
    <row r="19194" spans="1:1" s="287" customFormat="1" ht="12" hidden="1" customHeight="1">
      <c r="A19194" s="286"/>
    </row>
    <row r="19195" spans="1:1" s="287" customFormat="1" ht="12" hidden="1" customHeight="1">
      <c r="A19195" s="286"/>
    </row>
    <row r="19196" spans="1:1" s="287" customFormat="1" ht="12" hidden="1" customHeight="1">
      <c r="A19196" s="286"/>
    </row>
    <row r="19197" spans="1:1" s="287" customFormat="1" ht="12" hidden="1" customHeight="1">
      <c r="A19197" s="286"/>
    </row>
    <row r="19198" spans="1:1" s="287" customFormat="1" ht="12" hidden="1" customHeight="1">
      <c r="A19198" s="286"/>
    </row>
    <row r="19199" spans="1:1" s="287" customFormat="1" ht="12" hidden="1" customHeight="1">
      <c r="A19199" s="286"/>
    </row>
    <row r="19200" spans="1:1" s="287" customFormat="1" ht="12" hidden="1" customHeight="1">
      <c r="A19200" s="286"/>
    </row>
    <row r="19201" spans="1:1" s="287" customFormat="1" ht="12" hidden="1" customHeight="1">
      <c r="A19201" s="286"/>
    </row>
    <row r="19202" spans="1:1" s="287" customFormat="1" ht="12" hidden="1" customHeight="1">
      <c r="A19202" s="286"/>
    </row>
    <row r="19203" spans="1:1" s="287" customFormat="1" ht="12" hidden="1" customHeight="1">
      <c r="A19203" s="286"/>
    </row>
    <row r="19204" spans="1:1" s="287" customFormat="1" ht="12" hidden="1" customHeight="1">
      <c r="A19204" s="286"/>
    </row>
    <row r="19205" spans="1:1" s="287" customFormat="1" ht="12" hidden="1" customHeight="1">
      <c r="A19205" s="286"/>
    </row>
    <row r="19206" spans="1:1" s="287" customFormat="1" ht="12" hidden="1" customHeight="1">
      <c r="A19206" s="286"/>
    </row>
    <row r="19207" spans="1:1" s="287" customFormat="1" ht="12" hidden="1" customHeight="1">
      <c r="A19207" s="286"/>
    </row>
    <row r="19208" spans="1:1" s="287" customFormat="1" ht="12" hidden="1" customHeight="1">
      <c r="A19208" s="286"/>
    </row>
    <row r="19209" spans="1:1" s="287" customFormat="1" ht="12" hidden="1" customHeight="1">
      <c r="A19209" s="286"/>
    </row>
    <row r="19210" spans="1:1" s="287" customFormat="1" ht="12" hidden="1" customHeight="1">
      <c r="A19210" s="286"/>
    </row>
    <row r="19211" spans="1:1" s="287" customFormat="1" ht="12" hidden="1" customHeight="1">
      <c r="A19211" s="286"/>
    </row>
    <row r="19212" spans="1:1" s="287" customFormat="1" ht="12" hidden="1" customHeight="1">
      <c r="A19212" s="286"/>
    </row>
    <row r="19213" spans="1:1" s="287" customFormat="1" ht="12" hidden="1" customHeight="1">
      <c r="A19213" s="286"/>
    </row>
    <row r="19214" spans="1:1" s="287" customFormat="1" ht="12" hidden="1" customHeight="1">
      <c r="A19214" s="286"/>
    </row>
    <row r="19215" spans="1:1" s="287" customFormat="1" ht="12" hidden="1" customHeight="1">
      <c r="A19215" s="286"/>
    </row>
    <row r="19216" spans="1:1" s="287" customFormat="1" ht="12" hidden="1" customHeight="1">
      <c r="A19216" s="286"/>
    </row>
    <row r="19217" spans="1:1" s="287" customFormat="1" ht="12" hidden="1" customHeight="1">
      <c r="A19217" s="286"/>
    </row>
    <row r="19218" spans="1:1" s="287" customFormat="1" ht="12" hidden="1" customHeight="1">
      <c r="A19218" s="286"/>
    </row>
    <row r="19219" spans="1:1" s="287" customFormat="1" ht="12" hidden="1" customHeight="1">
      <c r="A19219" s="286"/>
    </row>
    <row r="19220" spans="1:1" s="287" customFormat="1" ht="12" hidden="1" customHeight="1">
      <c r="A19220" s="286"/>
    </row>
    <row r="19221" spans="1:1" s="287" customFormat="1" ht="12" hidden="1" customHeight="1">
      <c r="A19221" s="286"/>
    </row>
    <row r="19222" spans="1:1" s="287" customFormat="1" ht="12" hidden="1" customHeight="1">
      <c r="A19222" s="286"/>
    </row>
    <row r="19223" spans="1:1" s="287" customFormat="1" ht="12" hidden="1" customHeight="1">
      <c r="A19223" s="286"/>
    </row>
    <row r="19224" spans="1:1" s="287" customFormat="1" ht="12" hidden="1" customHeight="1">
      <c r="A19224" s="286"/>
    </row>
    <row r="19225" spans="1:1" s="287" customFormat="1" ht="12" hidden="1" customHeight="1">
      <c r="A19225" s="286"/>
    </row>
    <row r="19226" spans="1:1" s="287" customFormat="1" ht="12" hidden="1" customHeight="1">
      <c r="A19226" s="286"/>
    </row>
    <row r="19227" spans="1:1" s="287" customFormat="1" ht="12" hidden="1" customHeight="1">
      <c r="A19227" s="286"/>
    </row>
    <row r="19228" spans="1:1" s="287" customFormat="1" ht="12" hidden="1" customHeight="1">
      <c r="A19228" s="286"/>
    </row>
    <row r="19229" spans="1:1" s="287" customFormat="1" ht="12" hidden="1" customHeight="1">
      <c r="A19229" s="286"/>
    </row>
    <row r="19230" spans="1:1" s="287" customFormat="1" ht="12" hidden="1" customHeight="1">
      <c r="A19230" s="286"/>
    </row>
    <row r="19231" spans="1:1" s="287" customFormat="1" ht="12" hidden="1" customHeight="1">
      <c r="A19231" s="286"/>
    </row>
    <row r="19232" spans="1:1" s="287" customFormat="1" ht="12" hidden="1" customHeight="1">
      <c r="A19232" s="286"/>
    </row>
    <row r="19233" spans="1:1" s="287" customFormat="1" ht="12" hidden="1" customHeight="1">
      <c r="A19233" s="286"/>
    </row>
    <row r="19234" spans="1:1" s="287" customFormat="1" ht="12" hidden="1" customHeight="1">
      <c r="A19234" s="286"/>
    </row>
    <row r="19235" spans="1:1" s="287" customFormat="1" ht="12" hidden="1" customHeight="1">
      <c r="A19235" s="286"/>
    </row>
    <row r="19236" spans="1:1" s="287" customFormat="1" ht="12" hidden="1" customHeight="1">
      <c r="A19236" s="286"/>
    </row>
    <row r="19237" spans="1:1" s="287" customFormat="1" ht="12" hidden="1" customHeight="1">
      <c r="A19237" s="286"/>
    </row>
    <row r="19238" spans="1:1" s="287" customFormat="1" ht="12" hidden="1" customHeight="1">
      <c r="A19238" s="286"/>
    </row>
    <row r="19239" spans="1:1" s="287" customFormat="1" ht="12" hidden="1" customHeight="1">
      <c r="A19239" s="286"/>
    </row>
    <row r="19240" spans="1:1" s="287" customFormat="1" ht="12" hidden="1" customHeight="1">
      <c r="A19240" s="286"/>
    </row>
    <row r="19241" spans="1:1" s="287" customFormat="1" ht="12" hidden="1" customHeight="1">
      <c r="A19241" s="286"/>
    </row>
    <row r="19242" spans="1:1" s="287" customFormat="1" ht="12" hidden="1" customHeight="1">
      <c r="A19242" s="286"/>
    </row>
    <row r="19243" spans="1:1" s="287" customFormat="1" ht="12" hidden="1" customHeight="1">
      <c r="A19243" s="286"/>
    </row>
    <row r="19244" spans="1:1" s="287" customFormat="1" ht="12" hidden="1" customHeight="1">
      <c r="A19244" s="286"/>
    </row>
    <row r="19245" spans="1:1" s="287" customFormat="1" ht="12" hidden="1" customHeight="1">
      <c r="A19245" s="286"/>
    </row>
    <row r="19246" spans="1:1" s="287" customFormat="1" ht="12" hidden="1" customHeight="1">
      <c r="A19246" s="286"/>
    </row>
    <row r="19247" spans="1:1" s="287" customFormat="1" ht="12" hidden="1" customHeight="1">
      <c r="A19247" s="286"/>
    </row>
    <row r="19248" spans="1:1" s="287" customFormat="1" ht="12" hidden="1" customHeight="1">
      <c r="A19248" s="286"/>
    </row>
    <row r="19249" spans="1:1" s="287" customFormat="1" ht="12" hidden="1" customHeight="1">
      <c r="A19249" s="286"/>
    </row>
    <row r="19250" spans="1:1" s="287" customFormat="1" ht="12" hidden="1" customHeight="1">
      <c r="A19250" s="286"/>
    </row>
    <row r="19251" spans="1:1" s="287" customFormat="1" ht="12" hidden="1" customHeight="1">
      <c r="A19251" s="286"/>
    </row>
    <row r="19252" spans="1:1" s="287" customFormat="1" ht="12" hidden="1" customHeight="1">
      <c r="A19252" s="286"/>
    </row>
    <row r="19253" spans="1:1" s="287" customFormat="1" ht="12" hidden="1" customHeight="1">
      <c r="A19253" s="286"/>
    </row>
    <row r="19254" spans="1:1" s="287" customFormat="1" ht="12" hidden="1" customHeight="1">
      <c r="A19254" s="286"/>
    </row>
    <row r="19255" spans="1:1" s="287" customFormat="1" ht="12" hidden="1" customHeight="1">
      <c r="A19255" s="286"/>
    </row>
    <row r="19256" spans="1:1" s="287" customFormat="1" ht="12" hidden="1" customHeight="1">
      <c r="A19256" s="286"/>
    </row>
    <row r="19257" spans="1:1" s="287" customFormat="1" ht="12" hidden="1" customHeight="1">
      <c r="A19257" s="286"/>
    </row>
    <row r="19258" spans="1:1" s="287" customFormat="1" ht="12" hidden="1" customHeight="1">
      <c r="A19258" s="286"/>
    </row>
    <row r="19259" spans="1:1" s="287" customFormat="1" ht="12" hidden="1" customHeight="1">
      <c r="A19259" s="286"/>
    </row>
    <row r="19260" spans="1:1" s="287" customFormat="1" ht="12" hidden="1" customHeight="1">
      <c r="A19260" s="286"/>
    </row>
    <row r="19261" spans="1:1" s="287" customFormat="1" ht="12" hidden="1" customHeight="1">
      <c r="A19261" s="286"/>
    </row>
    <row r="19262" spans="1:1" s="287" customFormat="1" ht="12" hidden="1" customHeight="1">
      <c r="A19262" s="286"/>
    </row>
    <row r="19263" spans="1:1" s="287" customFormat="1" ht="12" hidden="1" customHeight="1">
      <c r="A19263" s="286"/>
    </row>
    <row r="19264" spans="1:1" s="287" customFormat="1" ht="12" hidden="1" customHeight="1">
      <c r="A19264" s="286"/>
    </row>
    <row r="19265" spans="1:1" s="287" customFormat="1" ht="12" hidden="1" customHeight="1">
      <c r="A19265" s="286"/>
    </row>
    <row r="19266" spans="1:1" s="287" customFormat="1" ht="12" hidden="1" customHeight="1">
      <c r="A19266" s="286"/>
    </row>
    <row r="19267" spans="1:1" s="287" customFormat="1" ht="12" hidden="1" customHeight="1">
      <c r="A19267" s="286"/>
    </row>
    <row r="19268" spans="1:1" s="287" customFormat="1" ht="12" hidden="1" customHeight="1">
      <c r="A19268" s="286"/>
    </row>
    <row r="19269" spans="1:1" s="287" customFormat="1" ht="12" hidden="1" customHeight="1">
      <c r="A19269" s="286"/>
    </row>
    <row r="19270" spans="1:1" s="287" customFormat="1" ht="12" hidden="1" customHeight="1">
      <c r="A19270" s="286"/>
    </row>
    <row r="19271" spans="1:1" s="287" customFormat="1" ht="12" hidden="1" customHeight="1">
      <c r="A19271" s="286"/>
    </row>
    <row r="19272" spans="1:1" s="287" customFormat="1" ht="12" hidden="1" customHeight="1">
      <c r="A19272" s="286"/>
    </row>
    <row r="19273" spans="1:1" s="287" customFormat="1" ht="12" hidden="1" customHeight="1">
      <c r="A19273" s="286"/>
    </row>
    <row r="19274" spans="1:1" s="287" customFormat="1" ht="12" hidden="1" customHeight="1">
      <c r="A19274" s="286"/>
    </row>
    <row r="19275" spans="1:1" s="287" customFormat="1" ht="12" hidden="1" customHeight="1">
      <c r="A19275" s="286"/>
    </row>
    <row r="19276" spans="1:1" s="287" customFormat="1" ht="12" hidden="1" customHeight="1">
      <c r="A19276" s="286"/>
    </row>
    <row r="19277" spans="1:1" s="287" customFormat="1" ht="12" hidden="1" customHeight="1">
      <c r="A19277" s="286"/>
    </row>
    <row r="19278" spans="1:1" s="287" customFormat="1" ht="12" hidden="1" customHeight="1">
      <c r="A19278" s="286"/>
    </row>
    <row r="19279" spans="1:1" s="287" customFormat="1" ht="12" hidden="1" customHeight="1">
      <c r="A19279" s="286"/>
    </row>
    <row r="19280" spans="1:1" s="287" customFormat="1" ht="12" hidden="1" customHeight="1">
      <c r="A19280" s="286"/>
    </row>
    <row r="19281" spans="1:1" s="287" customFormat="1" ht="12" hidden="1" customHeight="1">
      <c r="A19281" s="286"/>
    </row>
    <row r="19282" spans="1:1" s="287" customFormat="1" ht="12" hidden="1" customHeight="1">
      <c r="A19282" s="286"/>
    </row>
    <row r="19283" spans="1:1" s="287" customFormat="1" ht="12" hidden="1" customHeight="1">
      <c r="A19283" s="286"/>
    </row>
    <row r="19284" spans="1:1" s="287" customFormat="1" ht="12" hidden="1" customHeight="1">
      <c r="A19284" s="286"/>
    </row>
    <row r="19285" spans="1:1" s="287" customFormat="1" ht="12" hidden="1" customHeight="1">
      <c r="A19285" s="286"/>
    </row>
    <row r="19286" spans="1:1" s="287" customFormat="1" ht="12" hidden="1" customHeight="1">
      <c r="A19286" s="286"/>
    </row>
    <row r="19287" spans="1:1" s="287" customFormat="1" ht="12" hidden="1" customHeight="1">
      <c r="A19287" s="286"/>
    </row>
    <row r="19288" spans="1:1" s="287" customFormat="1" ht="12" hidden="1" customHeight="1">
      <c r="A19288" s="286"/>
    </row>
    <row r="19289" spans="1:1" s="287" customFormat="1" ht="12" hidden="1" customHeight="1">
      <c r="A19289" s="286"/>
    </row>
    <row r="19290" spans="1:1" s="287" customFormat="1" ht="12" hidden="1" customHeight="1">
      <c r="A19290" s="286"/>
    </row>
    <row r="19291" spans="1:1" s="287" customFormat="1" ht="12" hidden="1" customHeight="1">
      <c r="A19291" s="286"/>
    </row>
    <row r="19292" spans="1:1" s="287" customFormat="1" ht="12" hidden="1" customHeight="1">
      <c r="A19292" s="286"/>
    </row>
    <row r="19293" spans="1:1" s="287" customFormat="1" ht="12" hidden="1" customHeight="1">
      <c r="A19293" s="286"/>
    </row>
    <row r="19294" spans="1:1" s="287" customFormat="1" ht="12" hidden="1" customHeight="1">
      <c r="A19294" s="286"/>
    </row>
    <row r="19295" spans="1:1" s="287" customFormat="1" ht="12" hidden="1" customHeight="1">
      <c r="A19295" s="286"/>
    </row>
    <row r="19296" spans="1:1" s="287" customFormat="1" ht="12" hidden="1" customHeight="1">
      <c r="A19296" s="286"/>
    </row>
    <row r="19297" spans="1:1" s="287" customFormat="1" ht="12" hidden="1" customHeight="1">
      <c r="A19297" s="286"/>
    </row>
    <row r="19298" spans="1:1" s="287" customFormat="1" ht="12" hidden="1" customHeight="1">
      <c r="A19298" s="286"/>
    </row>
    <row r="19299" spans="1:1" s="287" customFormat="1" ht="12" hidden="1" customHeight="1">
      <c r="A19299" s="286"/>
    </row>
    <row r="19300" spans="1:1" s="287" customFormat="1" ht="12" hidden="1" customHeight="1">
      <c r="A19300" s="286"/>
    </row>
    <row r="19301" spans="1:1" s="287" customFormat="1" ht="12" hidden="1" customHeight="1">
      <c r="A19301" s="286"/>
    </row>
    <row r="19302" spans="1:1" s="287" customFormat="1" ht="12" hidden="1" customHeight="1">
      <c r="A19302" s="286"/>
    </row>
    <row r="19303" spans="1:1" s="287" customFormat="1" ht="12" hidden="1" customHeight="1">
      <c r="A19303" s="286"/>
    </row>
    <row r="19304" spans="1:1" s="287" customFormat="1" ht="12" hidden="1" customHeight="1">
      <c r="A19304" s="286"/>
    </row>
    <row r="19305" spans="1:1" s="287" customFormat="1" ht="12" hidden="1" customHeight="1">
      <c r="A19305" s="286"/>
    </row>
    <row r="19306" spans="1:1" s="287" customFormat="1" ht="12" hidden="1" customHeight="1">
      <c r="A19306" s="286"/>
    </row>
    <row r="19307" spans="1:1" s="287" customFormat="1" ht="12" hidden="1" customHeight="1">
      <c r="A19307" s="286"/>
    </row>
    <row r="19308" spans="1:1" s="287" customFormat="1" ht="12" hidden="1" customHeight="1">
      <c r="A19308" s="286"/>
    </row>
    <row r="19309" spans="1:1" s="287" customFormat="1" ht="12" hidden="1" customHeight="1">
      <c r="A19309" s="286"/>
    </row>
    <row r="19310" spans="1:1" s="287" customFormat="1" ht="12" hidden="1" customHeight="1">
      <c r="A19310" s="286"/>
    </row>
    <row r="19311" spans="1:1" s="287" customFormat="1" ht="12" hidden="1" customHeight="1">
      <c r="A19311" s="286"/>
    </row>
    <row r="19312" spans="1:1" s="287" customFormat="1" ht="12" hidden="1" customHeight="1">
      <c r="A19312" s="286"/>
    </row>
    <row r="19313" spans="1:1" s="287" customFormat="1" ht="12" hidden="1" customHeight="1">
      <c r="A19313" s="286"/>
    </row>
    <row r="19314" spans="1:1" s="287" customFormat="1" ht="12" hidden="1" customHeight="1">
      <c r="A19314" s="286"/>
    </row>
    <row r="19315" spans="1:1" s="287" customFormat="1" ht="12" hidden="1" customHeight="1">
      <c r="A19315" s="286"/>
    </row>
    <row r="19316" spans="1:1" s="287" customFormat="1" ht="12" hidden="1" customHeight="1">
      <c r="A19316" s="286"/>
    </row>
    <row r="19317" spans="1:1" s="287" customFormat="1" ht="12" hidden="1" customHeight="1">
      <c r="A19317" s="286"/>
    </row>
    <row r="19318" spans="1:1" s="287" customFormat="1" ht="12" hidden="1" customHeight="1">
      <c r="A19318" s="286"/>
    </row>
    <row r="19319" spans="1:1" s="287" customFormat="1" ht="12" hidden="1" customHeight="1">
      <c r="A19319" s="286"/>
    </row>
    <row r="19320" spans="1:1" s="287" customFormat="1" ht="12" hidden="1" customHeight="1">
      <c r="A19320" s="286"/>
    </row>
    <row r="19321" spans="1:1" s="287" customFormat="1" ht="12" hidden="1" customHeight="1">
      <c r="A19321" s="286"/>
    </row>
    <row r="19322" spans="1:1" s="287" customFormat="1" ht="12" hidden="1" customHeight="1">
      <c r="A19322" s="286"/>
    </row>
    <row r="19323" spans="1:1" s="287" customFormat="1" ht="12" hidden="1" customHeight="1">
      <c r="A19323" s="286"/>
    </row>
    <row r="19324" spans="1:1" s="287" customFormat="1" ht="12" hidden="1" customHeight="1">
      <c r="A19324" s="286"/>
    </row>
    <row r="19325" spans="1:1" s="287" customFormat="1" ht="12" hidden="1" customHeight="1">
      <c r="A19325" s="286"/>
    </row>
    <row r="19326" spans="1:1" s="287" customFormat="1" ht="12" hidden="1" customHeight="1">
      <c r="A19326" s="286"/>
    </row>
    <row r="19327" spans="1:1" s="287" customFormat="1" ht="12" hidden="1" customHeight="1">
      <c r="A19327" s="286"/>
    </row>
    <row r="19328" spans="1:1" s="287" customFormat="1" ht="12" hidden="1" customHeight="1">
      <c r="A19328" s="286"/>
    </row>
    <row r="19329" spans="1:1" s="287" customFormat="1" ht="12" hidden="1" customHeight="1">
      <c r="A19329" s="286"/>
    </row>
    <row r="19330" spans="1:1" s="287" customFormat="1" ht="12" hidden="1" customHeight="1">
      <c r="A19330" s="286"/>
    </row>
    <row r="19331" spans="1:1" s="287" customFormat="1" ht="12" hidden="1" customHeight="1">
      <c r="A19331" s="286"/>
    </row>
    <row r="19332" spans="1:1" s="287" customFormat="1" ht="12" hidden="1" customHeight="1">
      <c r="A19332" s="286"/>
    </row>
    <row r="19333" spans="1:1" s="287" customFormat="1" ht="12" hidden="1" customHeight="1">
      <c r="A19333" s="286"/>
    </row>
    <row r="19334" spans="1:1" s="287" customFormat="1" ht="12" hidden="1" customHeight="1">
      <c r="A19334" s="286"/>
    </row>
    <row r="19335" spans="1:1" s="287" customFormat="1" ht="12" hidden="1" customHeight="1">
      <c r="A19335" s="286"/>
    </row>
    <row r="19336" spans="1:1" s="287" customFormat="1" ht="12" hidden="1" customHeight="1">
      <c r="A19336" s="286"/>
    </row>
    <row r="19337" spans="1:1" s="287" customFormat="1" ht="12" hidden="1" customHeight="1">
      <c r="A19337" s="286"/>
    </row>
    <row r="19338" spans="1:1" s="287" customFormat="1" ht="12" hidden="1" customHeight="1">
      <c r="A19338" s="286"/>
    </row>
    <row r="19339" spans="1:1" s="287" customFormat="1" ht="12" hidden="1" customHeight="1">
      <c r="A19339" s="286"/>
    </row>
    <row r="19340" spans="1:1" s="287" customFormat="1" ht="12" hidden="1" customHeight="1">
      <c r="A19340" s="286"/>
    </row>
    <row r="19341" spans="1:1" s="287" customFormat="1" ht="12" hidden="1" customHeight="1">
      <c r="A19341" s="286"/>
    </row>
    <row r="19342" spans="1:1" s="287" customFormat="1" ht="12" hidden="1" customHeight="1">
      <c r="A19342" s="286"/>
    </row>
    <row r="19343" spans="1:1" s="287" customFormat="1" ht="12" hidden="1" customHeight="1">
      <c r="A19343" s="286"/>
    </row>
    <row r="19344" spans="1:1" s="287" customFormat="1" ht="12" hidden="1" customHeight="1">
      <c r="A19344" s="286"/>
    </row>
    <row r="19345" spans="1:1" s="287" customFormat="1" ht="12" hidden="1" customHeight="1">
      <c r="A19345" s="286"/>
    </row>
    <row r="19346" spans="1:1" s="287" customFormat="1" ht="12" hidden="1" customHeight="1">
      <c r="A19346" s="286"/>
    </row>
    <row r="19347" spans="1:1" s="287" customFormat="1" ht="12" hidden="1" customHeight="1">
      <c r="A19347" s="286"/>
    </row>
    <row r="19348" spans="1:1" s="287" customFormat="1" ht="12" hidden="1" customHeight="1">
      <c r="A19348" s="286"/>
    </row>
    <row r="19349" spans="1:1" s="287" customFormat="1" ht="12" hidden="1" customHeight="1">
      <c r="A19349" s="286"/>
    </row>
    <row r="19350" spans="1:1" s="287" customFormat="1" ht="12" hidden="1" customHeight="1">
      <c r="A19350" s="286"/>
    </row>
    <row r="19351" spans="1:1" s="287" customFormat="1" ht="12" hidden="1" customHeight="1">
      <c r="A19351" s="286"/>
    </row>
    <row r="19352" spans="1:1" s="287" customFormat="1" ht="12" hidden="1" customHeight="1">
      <c r="A19352" s="286"/>
    </row>
    <row r="19353" spans="1:1" s="287" customFormat="1" ht="12" hidden="1" customHeight="1">
      <c r="A19353" s="286"/>
    </row>
    <row r="19354" spans="1:1" s="287" customFormat="1" ht="12" hidden="1" customHeight="1">
      <c r="A19354" s="286"/>
    </row>
    <row r="19355" spans="1:1" s="287" customFormat="1" ht="12" hidden="1" customHeight="1">
      <c r="A19355" s="286"/>
    </row>
    <row r="19356" spans="1:1" s="287" customFormat="1" ht="12" hidden="1" customHeight="1">
      <c r="A19356" s="286"/>
    </row>
    <row r="19357" spans="1:1" s="287" customFormat="1" ht="12" hidden="1" customHeight="1">
      <c r="A19357" s="286"/>
    </row>
    <row r="19358" spans="1:1" s="287" customFormat="1" ht="12" hidden="1" customHeight="1">
      <c r="A19358" s="286"/>
    </row>
    <row r="19359" spans="1:1" s="287" customFormat="1" ht="12" hidden="1" customHeight="1">
      <c r="A19359" s="286"/>
    </row>
    <row r="19360" spans="1:1" s="287" customFormat="1" ht="12" hidden="1" customHeight="1">
      <c r="A19360" s="286"/>
    </row>
    <row r="19361" spans="1:1" s="287" customFormat="1" ht="12" hidden="1" customHeight="1">
      <c r="A19361" s="286"/>
    </row>
    <row r="19362" spans="1:1" s="287" customFormat="1" ht="12" hidden="1" customHeight="1">
      <c r="A19362" s="286"/>
    </row>
    <row r="19363" spans="1:1" s="287" customFormat="1" ht="12" hidden="1" customHeight="1">
      <c r="A19363" s="286"/>
    </row>
    <row r="19364" spans="1:1" s="287" customFormat="1" ht="12" hidden="1" customHeight="1">
      <c r="A19364" s="286"/>
    </row>
    <row r="19365" spans="1:1" s="287" customFormat="1" ht="12" hidden="1" customHeight="1">
      <c r="A19365" s="286"/>
    </row>
    <row r="19366" spans="1:1" s="287" customFormat="1" ht="12" hidden="1" customHeight="1">
      <c r="A19366" s="286"/>
    </row>
    <row r="19367" spans="1:1" s="287" customFormat="1" ht="12" hidden="1" customHeight="1">
      <c r="A19367" s="286"/>
    </row>
    <row r="19368" spans="1:1" s="287" customFormat="1" ht="12" hidden="1" customHeight="1">
      <c r="A19368" s="286"/>
    </row>
    <row r="19369" spans="1:1" s="287" customFormat="1" ht="12" hidden="1" customHeight="1">
      <c r="A19369" s="286"/>
    </row>
    <row r="19370" spans="1:1" s="287" customFormat="1" ht="12" hidden="1" customHeight="1">
      <c r="A19370" s="286"/>
    </row>
    <row r="19371" spans="1:1" s="287" customFormat="1" ht="12" hidden="1" customHeight="1">
      <c r="A19371" s="286"/>
    </row>
    <row r="19372" spans="1:1" s="287" customFormat="1" ht="12" hidden="1" customHeight="1">
      <c r="A19372" s="286"/>
    </row>
    <row r="19373" spans="1:1" s="287" customFormat="1" ht="12" hidden="1" customHeight="1">
      <c r="A19373" s="286"/>
    </row>
    <row r="19374" spans="1:1" s="287" customFormat="1" ht="12" hidden="1" customHeight="1">
      <c r="A19374" s="286"/>
    </row>
    <row r="19375" spans="1:1" s="287" customFormat="1" ht="12" hidden="1" customHeight="1">
      <c r="A19375" s="286"/>
    </row>
    <row r="19376" spans="1:1" s="287" customFormat="1" ht="12" hidden="1" customHeight="1">
      <c r="A19376" s="286"/>
    </row>
    <row r="19377" spans="1:1" s="287" customFormat="1" ht="12" hidden="1" customHeight="1">
      <c r="A19377" s="286"/>
    </row>
    <row r="19378" spans="1:1" s="287" customFormat="1" ht="12" hidden="1" customHeight="1">
      <c r="A19378" s="286"/>
    </row>
    <row r="19379" spans="1:1" s="287" customFormat="1" ht="12" hidden="1" customHeight="1">
      <c r="A19379" s="286"/>
    </row>
    <row r="19380" spans="1:1" s="287" customFormat="1" ht="12" hidden="1" customHeight="1">
      <c r="A19380" s="286"/>
    </row>
    <row r="19381" spans="1:1" s="287" customFormat="1" ht="12" hidden="1" customHeight="1">
      <c r="A19381" s="286"/>
    </row>
    <row r="19382" spans="1:1" s="287" customFormat="1" ht="12" hidden="1" customHeight="1">
      <c r="A19382" s="286"/>
    </row>
    <row r="19383" spans="1:1" s="287" customFormat="1" ht="12" hidden="1" customHeight="1">
      <c r="A19383" s="286"/>
    </row>
    <row r="19384" spans="1:1" s="287" customFormat="1" ht="12" hidden="1" customHeight="1">
      <c r="A19384" s="286"/>
    </row>
    <row r="19385" spans="1:1" s="287" customFormat="1" ht="12" hidden="1" customHeight="1">
      <c r="A19385" s="286"/>
    </row>
    <row r="19386" spans="1:1" s="287" customFormat="1" ht="12" hidden="1" customHeight="1">
      <c r="A19386" s="286"/>
    </row>
    <row r="19387" spans="1:1" s="287" customFormat="1" ht="12" hidden="1" customHeight="1">
      <c r="A19387" s="286"/>
    </row>
    <row r="19388" spans="1:1" s="287" customFormat="1" ht="12" hidden="1" customHeight="1">
      <c r="A19388" s="286"/>
    </row>
    <row r="19389" spans="1:1" s="287" customFormat="1" ht="12" hidden="1" customHeight="1">
      <c r="A19389" s="286"/>
    </row>
    <row r="19390" spans="1:1" s="287" customFormat="1" ht="12" hidden="1" customHeight="1">
      <c r="A19390" s="286"/>
    </row>
    <row r="19391" spans="1:1" s="287" customFormat="1" ht="12" hidden="1" customHeight="1">
      <c r="A19391" s="286"/>
    </row>
    <row r="19392" spans="1:1" s="287" customFormat="1" ht="12" hidden="1" customHeight="1">
      <c r="A19392" s="286"/>
    </row>
    <row r="19393" spans="1:1" s="287" customFormat="1" ht="12" hidden="1" customHeight="1">
      <c r="A19393" s="286"/>
    </row>
    <row r="19394" spans="1:1" s="287" customFormat="1" ht="12" hidden="1" customHeight="1">
      <c r="A19394" s="286"/>
    </row>
    <row r="19395" spans="1:1" s="287" customFormat="1" ht="12" hidden="1" customHeight="1">
      <c r="A19395" s="286"/>
    </row>
    <row r="19396" spans="1:1" s="287" customFormat="1" ht="12" hidden="1" customHeight="1">
      <c r="A19396" s="286"/>
    </row>
    <row r="19397" spans="1:1" s="287" customFormat="1" ht="12" hidden="1" customHeight="1">
      <c r="A19397" s="286"/>
    </row>
    <row r="19398" spans="1:1" s="287" customFormat="1" ht="12" hidden="1" customHeight="1">
      <c r="A19398" s="286"/>
    </row>
    <row r="19399" spans="1:1" s="287" customFormat="1" ht="12" hidden="1" customHeight="1">
      <c r="A19399" s="286"/>
    </row>
    <row r="19400" spans="1:1" s="287" customFormat="1" ht="12" hidden="1" customHeight="1">
      <c r="A19400" s="286"/>
    </row>
    <row r="19401" spans="1:1" s="287" customFormat="1" ht="12" hidden="1" customHeight="1">
      <c r="A19401" s="286"/>
    </row>
    <row r="19402" spans="1:1" s="287" customFormat="1" ht="12" hidden="1" customHeight="1">
      <c r="A19402" s="286"/>
    </row>
    <row r="19403" spans="1:1" s="287" customFormat="1" ht="12" hidden="1" customHeight="1">
      <c r="A19403" s="286"/>
    </row>
    <row r="19404" spans="1:1" s="287" customFormat="1" ht="12" hidden="1" customHeight="1">
      <c r="A19404" s="286"/>
    </row>
    <row r="19405" spans="1:1" s="287" customFormat="1" ht="12" hidden="1" customHeight="1">
      <c r="A19405" s="286"/>
    </row>
    <row r="19406" spans="1:1" s="287" customFormat="1" ht="12" hidden="1" customHeight="1">
      <c r="A19406" s="286"/>
    </row>
    <row r="19407" spans="1:1" s="287" customFormat="1" ht="12" hidden="1" customHeight="1">
      <c r="A19407" s="286"/>
    </row>
    <row r="19408" spans="1:1" s="287" customFormat="1" ht="12" hidden="1" customHeight="1">
      <c r="A19408" s="286"/>
    </row>
    <row r="19409" spans="1:1" s="287" customFormat="1" ht="12" hidden="1" customHeight="1">
      <c r="A19409" s="286"/>
    </row>
    <row r="19410" spans="1:1" s="287" customFormat="1" ht="12" hidden="1" customHeight="1">
      <c r="A19410" s="286"/>
    </row>
    <row r="19411" spans="1:1" s="287" customFormat="1" ht="12" hidden="1" customHeight="1">
      <c r="A19411" s="286"/>
    </row>
    <row r="19412" spans="1:1" s="287" customFormat="1" ht="12" hidden="1" customHeight="1">
      <c r="A19412" s="286"/>
    </row>
    <row r="19413" spans="1:1" s="287" customFormat="1" ht="12" hidden="1" customHeight="1">
      <c r="A19413" s="286"/>
    </row>
    <row r="19414" spans="1:1" s="287" customFormat="1" ht="12" hidden="1" customHeight="1">
      <c r="A19414" s="286"/>
    </row>
    <row r="19415" spans="1:1" s="287" customFormat="1" ht="12" hidden="1" customHeight="1">
      <c r="A19415" s="286"/>
    </row>
    <row r="19416" spans="1:1" s="287" customFormat="1" ht="12" hidden="1" customHeight="1">
      <c r="A19416" s="286"/>
    </row>
    <row r="19417" spans="1:1" s="287" customFormat="1" ht="12" hidden="1" customHeight="1">
      <c r="A19417" s="286"/>
    </row>
    <row r="19418" spans="1:1" s="287" customFormat="1" ht="12" hidden="1" customHeight="1">
      <c r="A19418" s="286"/>
    </row>
    <row r="19419" spans="1:1" s="287" customFormat="1" ht="12" hidden="1" customHeight="1">
      <c r="A19419" s="286"/>
    </row>
    <row r="19420" spans="1:1" s="287" customFormat="1" ht="12" hidden="1" customHeight="1">
      <c r="A19420" s="286"/>
    </row>
    <row r="19421" spans="1:1" s="287" customFormat="1" ht="12" hidden="1" customHeight="1">
      <c r="A19421" s="286"/>
    </row>
    <row r="19422" spans="1:1" s="287" customFormat="1" ht="12" hidden="1" customHeight="1">
      <c r="A19422" s="286"/>
    </row>
    <row r="19423" spans="1:1" s="287" customFormat="1" ht="12" hidden="1" customHeight="1">
      <c r="A19423" s="286"/>
    </row>
    <row r="19424" spans="1:1" s="287" customFormat="1" ht="12" hidden="1" customHeight="1">
      <c r="A19424" s="286"/>
    </row>
    <row r="19425" spans="1:1" s="287" customFormat="1" ht="12" hidden="1" customHeight="1">
      <c r="A19425" s="286"/>
    </row>
    <row r="19426" spans="1:1" s="287" customFormat="1" ht="12" hidden="1" customHeight="1">
      <c r="A19426" s="286"/>
    </row>
    <row r="19427" spans="1:1" s="287" customFormat="1" ht="12" hidden="1" customHeight="1">
      <c r="A19427" s="286"/>
    </row>
    <row r="19428" spans="1:1" s="287" customFormat="1" ht="12" hidden="1" customHeight="1">
      <c r="A19428" s="286"/>
    </row>
    <row r="19429" spans="1:1" s="287" customFormat="1" ht="12" hidden="1" customHeight="1">
      <c r="A19429" s="286"/>
    </row>
    <row r="19430" spans="1:1" s="287" customFormat="1" ht="12" hidden="1" customHeight="1">
      <c r="A19430" s="286"/>
    </row>
    <row r="19431" spans="1:1" s="287" customFormat="1" ht="12" hidden="1" customHeight="1">
      <c r="A19431" s="286"/>
    </row>
    <row r="19432" spans="1:1" s="287" customFormat="1" ht="12" hidden="1" customHeight="1">
      <c r="A19432" s="286"/>
    </row>
    <row r="19433" spans="1:1" s="287" customFormat="1" ht="12" hidden="1" customHeight="1">
      <c r="A19433" s="286"/>
    </row>
    <row r="19434" spans="1:1" s="287" customFormat="1" ht="12" hidden="1" customHeight="1">
      <c r="A19434" s="286"/>
    </row>
    <row r="19435" spans="1:1" s="287" customFormat="1" ht="12" hidden="1" customHeight="1">
      <c r="A19435" s="286"/>
    </row>
    <row r="19436" spans="1:1" s="287" customFormat="1" ht="12" hidden="1" customHeight="1">
      <c r="A19436" s="286"/>
    </row>
    <row r="19437" spans="1:1" s="287" customFormat="1" ht="12" hidden="1" customHeight="1">
      <c r="A19437" s="286"/>
    </row>
    <row r="19438" spans="1:1" s="287" customFormat="1" ht="12" hidden="1" customHeight="1">
      <c r="A19438" s="286"/>
    </row>
    <row r="19439" spans="1:1" s="287" customFormat="1" ht="12" hidden="1" customHeight="1">
      <c r="A19439" s="286"/>
    </row>
    <row r="19440" spans="1:1" s="287" customFormat="1" ht="12" hidden="1" customHeight="1">
      <c r="A19440" s="286"/>
    </row>
    <row r="19441" spans="1:1" s="287" customFormat="1" ht="12" hidden="1" customHeight="1">
      <c r="A19441" s="286"/>
    </row>
    <row r="19442" spans="1:1" s="287" customFormat="1" ht="12" hidden="1" customHeight="1">
      <c r="A19442" s="286"/>
    </row>
    <row r="19443" spans="1:1" s="287" customFormat="1" ht="12" hidden="1" customHeight="1">
      <c r="A19443" s="286"/>
    </row>
    <row r="19444" spans="1:1" s="287" customFormat="1" ht="12" hidden="1" customHeight="1">
      <c r="A19444" s="286"/>
    </row>
    <row r="19445" spans="1:1" s="287" customFormat="1" ht="12" hidden="1" customHeight="1">
      <c r="A19445" s="286"/>
    </row>
    <row r="19446" spans="1:1" s="287" customFormat="1" ht="12" hidden="1" customHeight="1">
      <c r="A19446" s="286"/>
    </row>
    <row r="19447" spans="1:1" s="287" customFormat="1" ht="12" hidden="1" customHeight="1">
      <c r="A19447" s="286"/>
    </row>
    <row r="19448" spans="1:1" s="287" customFormat="1" ht="12" hidden="1" customHeight="1">
      <c r="A19448" s="286"/>
    </row>
    <row r="19449" spans="1:1" s="287" customFormat="1" ht="12" hidden="1" customHeight="1">
      <c r="A19449" s="286"/>
    </row>
    <row r="19450" spans="1:1" s="287" customFormat="1" ht="12" hidden="1" customHeight="1">
      <c r="A19450" s="286"/>
    </row>
    <row r="19451" spans="1:1" s="287" customFormat="1" ht="12" hidden="1" customHeight="1">
      <c r="A19451" s="286"/>
    </row>
    <row r="19452" spans="1:1" s="287" customFormat="1" ht="12" hidden="1" customHeight="1">
      <c r="A19452" s="286"/>
    </row>
    <row r="19453" spans="1:1" s="287" customFormat="1" ht="12" hidden="1" customHeight="1">
      <c r="A19453" s="286"/>
    </row>
    <row r="19454" spans="1:1" s="287" customFormat="1" ht="12" hidden="1" customHeight="1">
      <c r="A19454" s="286"/>
    </row>
    <row r="19455" spans="1:1" s="287" customFormat="1" ht="12" hidden="1" customHeight="1">
      <c r="A19455" s="286"/>
    </row>
    <row r="19456" spans="1:1" s="287" customFormat="1" ht="12" hidden="1" customHeight="1">
      <c r="A19456" s="286"/>
    </row>
    <row r="19457" spans="1:1" s="287" customFormat="1" ht="12" hidden="1" customHeight="1">
      <c r="A19457" s="286"/>
    </row>
    <row r="19458" spans="1:1" s="287" customFormat="1" ht="12" hidden="1" customHeight="1">
      <c r="A19458" s="286"/>
    </row>
    <row r="19459" spans="1:1" s="287" customFormat="1" ht="12" hidden="1" customHeight="1">
      <c r="A19459" s="286"/>
    </row>
    <row r="19460" spans="1:1" s="287" customFormat="1" ht="12" hidden="1" customHeight="1">
      <c r="A19460" s="286"/>
    </row>
    <row r="19461" spans="1:1" s="287" customFormat="1" ht="12" hidden="1" customHeight="1">
      <c r="A19461" s="286"/>
    </row>
    <row r="19462" spans="1:1" s="287" customFormat="1" ht="12" hidden="1" customHeight="1">
      <c r="A19462" s="286"/>
    </row>
    <row r="19463" spans="1:1" s="287" customFormat="1" ht="12" hidden="1" customHeight="1">
      <c r="A19463" s="286"/>
    </row>
    <row r="19464" spans="1:1" s="287" customFormat="1" ht="12" hidden="1" customHeight="1">
      <c r="A19464" s="286"/>
    </row>
    <row r="19465" spans="1:1" s="287" customFormat="1" ht="12" hidden="1" customHeight="1">
      <c r="A19465" s="286"/>
    </row>
    <row r="19466" spans="1:1" s="287" customFormat="1" ht="12" hidden="1" customHeight="1">
      <c r="A19466" s="286"/>
    </row>
    <row r="19467" spans="1:1" s="287" customFormat="1" ht="12" hidden="1" customHeight="1">
      <c r="A19467" s="286"/>
    </row>
    <row r="19468" spans="1:1" s="287" customFormat="1" ht="12" hidden="1" customHeight="1">
      <c r="A19468" s="286"/>
    </row>
    <row r="19469" spans="1:1" s="287" customFormat="1" ht="12" hidden="1" customHeight="1">
      <c r="A19469" s="286"/>
    </row>
    <row r="19470" spans="1:1" s="287" customFormat="1" ht="12" hidden="1" customHeight="1">
      <c r="A19470" s="286"/>
    </row>
    <row r="19471" spans="1:1" s="287" customFormat="1" ht="12" hidden="1" customHeight="1">
      <c r="A19471" s="286"/>
    </row>
    <row r="19472" spans="1:1" s="287" customFormat="1" ht="12" hidden="1" customHeight="1">
      <c r="A19472" s="286"/>
    </row>
    <row r="19473" spans="1:1" s="287" customFormat="1" ht="12" hidden="1" customHeight="1">
      <c r="A19473" s="286"/>
    </row>
    <row r="19474" spans="1:1" s="287" customFormat="1" ht="12" hidden="1" customHeight="1">
      <c r="A19474" s="286"/>
    </row>
    <row r="19475" spans="1:1" s="287" customFormat="1" ht="12" hidden="1" customHeight="1">
      <c r="A19475" s="286"/>
    </row>
    <row r="19476" spans="1:1" s="287" customFormat="1" ht="12" hidden="1" customHeight="1">
      <c r="A19476" s="286"/>
    </row>
    <row r="19477" spans="1:1" s="287" customFormat="1" ht="12" hidden="1" customHeight="1">
      <c r="A19477" s="286"/>
    </row>
    <row r="19478" spans="1:1" s="287" customFormat="1" ht="12" hidden="1" customHeight="1">
      <c r="A19478" s="286"/>
    </row>
    <row r="19479" spans="1:1" s="287" customFormat="1" ht="12" hidden="1" customHeight="1">
      <c r="A19479" s="286"/>
    </row>
    <row r="19480" spans="1:1" s="287" customFormat="1" ht="12" hidden="1" customHeight="1">
      <c r="A19480" s="286"/>
    </row>
    <row r="19481" spans="1:1" s="287" customFormat="1" ht="12" hidden="1" customHeight="1">
      <c r="A19481" s="286"/>
    </row>
    <row r="19482" spans="1:1" s="287" customFormat="1" ht="12" hidden="1" customHeight="1">
      <c r="A19482" s="286"/>
    </row>
    <row r="19483" spans="1:1" s="287" customFormat="1" ht="12" hidden="1" customHeight="1">
      <c r="A19483" s="286"/>
    </row>
    <row r="19484" spans="1:1" s="287" customFormat="1" ht="12" hidden="1" customHeight="1">
      <c r="A19484" s="286"/>
    </row>
    <row r="19485" spans="1:1" s="287" customFormat="1" ht="12" hidden="1" customHeight="1">
      <c r="A19485" s="286"/>
    </row>
    <row r="19486" spans="1:1" s="287" customFormat="1" ht="12" hidden="1" customHeight="1">
      <c r="A19486" s="286"/>
    </row>
    <row r="19487" spans="1:1" s="287" customFormat="1" ht="12" hidden="1" customHeight="1">
      <c r="A19487" s="286"/>
    </row>
    <row r="19488" spans="1:1" s="287" customFormat="1" ht="12" hidden="1" customHeight="1">
      <c r="A19488" s="286"/>
    </row>
    <row r="19489" spans="1:1" s="287" customFormat="1" ht="12" hidden="1" customHeight="1">
      <c r="A19489" s="286"/>
    </row>
    <row r="19490" spans="1:1" s="287" customFormat="1" ht="12" hidden="1" customHeight="1">
      <c r="A19490" s="286"/>
    </row>
    <row r="19491" spans="1:1" s="287" customFormat="1" ht="12" hidden="1" customHeight="1">
      <c r="A19491" s="286"/>
    </row>
    <row r="19492" spans="1:1" s="287" customFormat="1" ht="12" hidden="1" customHeight="1">
      <c r="A19492" s="286"/>
    </row>
    <row r="19493" spans="1:1" s="287" customFormat="1" ht="12" hidden="1" customHeight="1">
      <c r="A19493" s="286"/>
    </row>
    <row r="19494" spans="1:1" s="287" customFormat="1" ht="12" hidden="1" customHeight="1">
      <c r="A19494" s="286"/>
    </row>
    <row r="19495" spans="1:1" s="287" customFormat="1" ht="12" hidden="1" customHeight="1">
      <c r="A19495" s="286"/>
    </row>
    <row r="19496" spans="1:1" s="287" customFormat="1" ht="12" hidden="1" customHeight="1">
      <c r="A19496" s="286"/>
    </row>
    <row r="19497" spans="1:1" s="287" customFormat="1" ht="12" hidden="1" customHeight="1">
      <c r="A19497" s="286"/>
    </row>
    <row r="19498" spans="1:1" s="287" customFormat="1" ht="12" hidden="1" customHeight="1">
      <c r="A19498" s="286"/>
    </row>
    <row r="19499" spans="1:1" s="287" customFormat="1" ht="12" hidden="1" customHeight="1">
      <c r="A19499" s="286"/>
    </row>
    <row r="19500" spans="1:1" s="287" customFormat="1" ht="12" hidden="1" customHeight="1">
      <c r="A19500" s="286"/>
    </row>
    <row r="19501" spans="1:1" s="287" customFormat="1" ht="12" hidden="1" customHeight="1">
      <c r="A19501" s="286"/>
    </row>
    <row r="19502" spans="1:1" s="287" customFormat="1" ht="12" hidden="1" customHeight="1">
      <c r="A19502" s="286"/>
    </row>
    <row r="19503" spans="1:1" s="287" customFormat="1" ht="12" hidden="1" customHeight="1">
      <c r="A19503" s="286"/>
    </row>
    <row r="19504" spans="1:1" s="287" customFormat="1" ht="12" hidden="1" customHeight="1">
      <c r="A19504" s="286"/>
    </row>
    <row r="19505" spans="1:1" s="287" customFormat="1" ht="12" hidden="1" customHeight="1">
      <c r="A19505" s="286"/>
    </row>
    <row r="19506" spans="1:1" s="287" customFormat="1" ht="12" hidden="1" customHeight="1">
      <c r="A19506" s="286"/>
    </row>
    <row r="19507" spans="1:1" s="287" customFormat="1" ht="12" hidden="1" customHeight="1">
      <c r="A19507" s="286"/>
    </row>
    <row r="19508" spans="1:1" s="287" customFormat="1" ht="12" hidden="1" customHeight="1">
      <c r="A19508" s="286"/>
    </row>
    <row r="19509" spans="1:1" s="287" customFormat="1" ht="12" hidden="1" customHeight="1">
      <c r="A19509" s="286"/>
    </row>
    <row r="19510" spans="1:1" s="287" customFormat="1" ht="12" hidden="1" customHeight="1">
      <c r="A19510" s="286"/>
    </row>
    <row r="19511" spans="1:1" s="287" customFormat="1" ht="12" hidden="1" customHeight="1">
      <c r="A19511" s="286"/>
    </row>
    <row r="19512" spans="1:1" s="287" customFormat="1" ht="12" hidden="1" customHeight="1">
      <c r="A19512" s="286"/>
    </row>
    <row r="19513" spans="1:1" s="287" customFormat="1" ht="12" hidden="1" customHeight="1">
      <c r="A19513" s="286"/>
    </row>
    <row r="19514" spans="1:1" s="287" customFormat="1" ht="12" hidden="1" customHeight="1">
      <c r="A19514" s="286"/>
    </row>
    <row r="19515" spans="1:1" s="287" customFormat="1" ht="12" hidden="1" customHeight="1">
      <c r="A19515" s="286"/>
    </row>
    <row r="19516" spans="1:1" s="287" customFormat="1" ht="12" hidden="1" customHeight="1">
      <c r="A19516" s="286"/>
    </row>
    <row r="19517" spans="1:1" s="287" customFormat="1" ht="12" hidden="1" customHeight="1">
      <c r="A19517" s="286"/>
    </row>
    <row r="19518" spans="1:1" s="287" customFormat="1" ht="12" hidden="1" customHeight="1">
      <c r="A19518" s="286"/>
    </row>
    <row r="19519" spans="1:1" s="287" customFormat="1" ht="12" hidden="1" customHeight="1">
      <c r="A19519" s="286"/>
    </row>
    <row r="19520" spans="1:1" s="287" customFormat="1" ht="12" hidden="1" customHeight="1">
      <c r="A19520" s="286"/>
    </row>
    <row r="19521" spans="1:1" s="287" customFormat="1" ht="12" hidden="1" customHeight="1">
      <c r="A19521" s="286"/>
    </row>
    <row r="19522" spans="1:1" s="287" customFormat="1" ht="12" hidden="1" customHeight="1">
      <c r="A19522" s="286"/>
    </row>
    <row r="19523" spans="1:1" s="287" customFormat="1" ht="12" hidden="1" customHeight="1">
      <c r="A19523" s="286"/>
    </row>
    <row r="19524" spans="1:1" s="287" customFormat="1" ht="12" hidden="1" customHeight="1">
      <c r="A19524" s="286"/>
    </row>
    <row r="19525" spans="1:1" s="287" customFormat="1" ht="12" hidden="1" customHeight="1">
      <c r="A19525" s="286"/>
    </row>
    <row r="19526" spans="1:1" s="287" customFormat="1" ht="12" hidden="1" customHeight="1">
      <c r="A19526" s="286"/>
    </row>
    <row r="19527" spans="1:1" s="287" customFormat="1" ht="12" hidden="1" customHeight="1">
      <c r="A19527" s="286"/>
    </row>
    <row r="19528" spans="1:1" s="287" customFormat="1" ht="12" hidden="1" customHeight="1">
      <c r="A19528" s="286"/>
    </row>
    <row r="19529" spans="1:1" s="287" customFormat="1" ht="12" hidden="1" customHeight="1">
      <c r="A19529" s="286"/>
    </row>
    <row r="19530" spans="1:1" s="287" customFormat="1" ht="12" hidden="1" customHeight="1">
      <c r="A19530" s="286"/>
    </row>
    <row r="19531" spans="1:1" s="287" customFormat="1" ht="12" hidden="1" customHeight="1">
      <c r="A19531" s="286"/>
    </row>
    <row r="19532" spans="1:1" s="287" customFormat="1" ht="12" hidden="1" customHeight="1">
      <c r="A19532" s="286"/>
    </row>
    <row r="19533" spans="1:1" s="287" customFormat="1" ht="12" hidden="1" customHeight="1">
      <c r="A19533" s="286"/>
    </row>
    <row r="19534" spans="1:1" s="287" customFormat="1" ht="12" hidden="1" customHeight="1">
      <c r="A19534" s="286"/>
    </row>
    <row r="19535" spans="1:1" s="287" customFormat="1" ht="12" hidden="1" customHeight="1">
      <c r="A19535" s="286"/>
    </row>
    <row r="19536" spans="1:1" s="287" customFormat="1" ht="12" hidden="1" customHeight="1">
      <c r="A19536" s="286"/>
    </row>
    <row r="19537" spans="1:1" s="287" customFormat="1" ht="12" hidden="1" customHeight="1">
      <c r="A19537" s="286"/>
    </row>
    <row r="19538" spans="1:1" s="287" customFormat="1" ht="12" hidden="1" customHeight="1">
      <c r="A19538" s="286"/>
    </row>
    <row r="19539" spans="1:1" s="287" customFormat="1" ht="12" hidden="1" customHeight="1">
      <c r="A19539" s="286"/>
    </row>
    <row r="19540" spans="1:1" s="287" customFormat="1" ht="12" hidden="1" customHeight="1">
      <c r="A19540" s="286"/>
    </row>
    <row r="19541" spans="1:1" s="287" customFormat="1" ht="12" hidden="1" customHeight="1">
      <c r="A19541" s="286"/>
    </row>
    <row r="19542" spans="1:1" s="287" customFormat="1" ht="12" hidden="1" customHeight="1">
      <c r="A19542" s="286"/>
    </row>
    <row r="19543" spans="1:1" s="287" customFormat="1" ht="12" hidden="1" customHeight="1">
      <c r="A19543" s="286"/>
    </row>
    <row r="19544" spans="1:1" s="287" customFormat="1" ht="12" hidden="1" customHeight="1">
      <c r="A19544" s="286"/>
    </row>
    <row r="19545" spans="1:1" s="287" customFormat="1" ht="12" hidden="1" customHeight="1">
      <c r="A19545" s="286"/>
    </row>
    <row r="19546" spans="1:1" s="287" customFormat="1" ht="12" hidden="1" customHeight="1">
      <c r="A19546" s="286"/>
    </row>
    <row r="19547" spans="1:1" s="287" customFormat="1" ht="12" hidden="1" customHeight="1">
      <c r="A19547" s="286"/>
    </row>
    <row r="19548" spans="1:1" s="287" customFormat="1" ht="12" hidden="1" customHeight="1">
      <c r="A19548" s="286"/>
    </row>
    <row r="19549" spans="1:1" s="287" customFormat="1" ht="12" hidden="1" customHeight="1">
      <c r="A19549" s="286"/>
    </row>
    <row r="19550" spans="1:1" s="287" customFormat="1" ht="12" hidden="1" customHeight="1">
      <c r="A19550" s="286"/>
    </row>
    <row r="19551" spans="1:1" s="287" customFormat="1" ht="12" hidden="1" customHeight="1">
      <c r="A19551" s="286"/>
    </row>
    <row r="19552" spans="1:1" s="287" customFormat="1" ht="12" hidden="1" customHeight="1">
      <c r="A19552" s="286"/>
    </row>
    <row r="19553" spans="1:1" s="287" customFormat="1" ht="12" hidden="1" customHeight="1">
      <c r="A19553" s="286"/>
    </row>
    <row r="19554" spans="1:1" s="287" customFormat="1" ht="12" hidden="1" customHeight="1">
      <c r="A19554" s="286"/>
    </row>
    <row r="19555" spans="1:1" s="287" customFormat="1" ht="12" hidden="1" customHeight="1">
      <c r="A19555" s="286"/>
    </row>
    <row r="19556" spans="1:1" s="287" customFormat="1" ht="12" hidden="1" customHeight="1">
      <c r="A19556" s="286"/>
    </row>
    <row r="19557" spans="1:1" s="287" customFormat="1" ht="12" hidden="1" customHeight="1">
      <c r="A19557" s="286"/>
    </row>
    <row r="19558" spans="1:1" s="287" customFormat="1" ht="12" hidden="1" customHeight="1">
      <c r="A19558" s="286"/>
    </row>
    <row r="19559" spans="1:1" s="287" customFormat="1" ht="12" hidden="1" customHeight="1">
      <c r="A19559" s="286"/>
    </row>
    <row r="19560" spans="1:1" s="287" customFormat="1" ht="12" hidden="1" customHeight="1">
      <c r="A19560" s="286"/>
    </row>
    <row r="19561" spans="1:1" s="287" customFormat="1" ht="12" hidden="1" customHeight="1">
      <c r="A19561" s="286"/>
    </row>
    <row r="19562" spans="1:1" s="287" customFormat="1" ht="12" hidden="1" customHeight="1">
      <c r="A19562" s="286"/>
    </row>
    <row r="19563" spans="1:1" s="287" customFormat="1" ht="12" hidden="1" customHeight="1">
      <c r="A19563" s="286"/>
    </row>
    <row r="19564" spans="1:1" s="287" customFormat="1" ht="12" hidden="1" customHeight="1">
      <c r="A19564" s="286"/>
    </row>
    <row r="19565" spans="1:1" s="287" customFormat="1" ht="12" hidden="1" customHeight="1">
      <c r="A19565" s="286"/>
    </row>
    <row r="19566" spans="1:1" s="287" customFormat="1" ht="12" hidden="1" customHeight="1">
      <c r="A19566" s="286"/>
    </row>
    <row r="19567" spans="1:1" s="287" customFormat="1" ht="12" hidden="1" customHeight="1">
      <c r="A19567" s="286"/>
    </row>
    <row r="19568" spans="1:1" s="287" customFormat="1" ht="12" hidden="1" customHeight="1">
      <c r="A19568" s="286"/>
    </row>
    <row r="19569" spans="1:1" s="287" customFormat="1" ht="12" hidden="1" customHeight="1">
      <c r="A19569" s="286"/>
    </row>
    <row r="19570" spans="1:1" s="287" customFormat="1" ht="12" hidden="1" customHeight="1">
      <c r="A19570" s="286"/>
    </row>
    <row r="19571" spans="1:1" s="287" customFormat="1" ht="12" hidden="1" customHeight="1">
      <c r="A19571" s="286"/>
    </row>
    <row r="19572" spans="1:1" s="287" customFormat="1" ht="12" hidden="1" customHeight="1">
      <c r="A19572" s="286"/>
    </row>
    <row r="19573" spans="1:1" s="287" customFormat="1" ht="12" hidden="1" customHeight="1">
      <c r="A19573" s="286"/>
    </row>
    <row r="19574" spans="1:1" s="287" customFormat="1" ht="12" hidden="1" customHeight="1">
      <c r="A19574" s="286"/>
    </row>
    <row r="19575" spans="1:1" s="287" customFormat="1" ht="12" hidden="1" customHeight="1">
      <c r="A19575" s="286"/>
    </row>
    <row r="19576" spans="1:1" s="287" customFormat="1" ht="12" hidden="1" customHeight="1">
      <c r="A19576" s="286"/>
    </row>
    <row r="19577" spans="1:1" s="287" customFormat="1" ht="12" hidden="1" customHeight="1">
      <c r="A19577" s="286"/>
    </row>
    <row r="19578" spans="1:1" s="287" customFormat="1" ht="12" hidden="1" customHeight="1">
      <c r="A19578" s="286"/>
    </row>
    <row r="19579" spans="1:1" s="287" customFormat="1" ht="12" hidden="1" customHeight="1">
      <c r="A19579" s="286"/>
    </row>
    <row r="19580" spans="1:1" s="287" customFormat="1" ht="12" hidden="1" customHeight="1">
      <c r="A19580" s="286"/>
    </row>
    <row r="19581" spans="1:1" s="287" customFormat="1" ht="12" hidden="1" customHeight="1">
      <c r="A19581" s="286"/>
    </row>
    <row r="19582" spans="1:1" s="287" customFormat="1" ht="12" hidden="1" customHeight="1">
      <c r="A19582" s="286"/>
    </row>
    <row r="19583" spans="1:1" s="287" customFormat="1" ht="12" hidden="1" customHeight="1">
      <c r="A19583" s="286"/>
    </row>
    <row r="19584" spans="1:1" s="287" customFormat="1" ht="12" hidden="1" customHeight="1">
      <c r="A19584" s="286"/>
    </row>
    <row r="19585" spans="1:1" s="287" customFormat="1" ht="12" hidden="1" customHeight="1">
      <c r="A19585" s="286"/>
    </row>
    <row r="19586" spans="1:1" s="287" customFormat="1" ht="12" hidden="1" customHeight="1">
      <c r="A19586" s="286"/>
    </row>
    <row r="19587" spans="1:1" s="287" customFormat="1" ht="12" hidden="1" customHeight="1">
      <c r="A19587" s="286"/>
    </row>
    <row r="19588" spans="1:1" s="287" customFormat="1" ht="12" hidden="1" customHeight="1">
      <c r="A19588" s="286"/>
    </row>
    <row r="19589" spans="1:1" s="287" customFormat="1" ht="12" hidden="1" customHeight="1">
      <c r="A19589" s="286"/>
    </row>
    <row r="19590" spans="1:1" s="287" customFormat="1" ht="12" hidden="1" customHeight="1">
      <c r="A19590" s="286"/>
    </row>
    <row r="19591" spans="1:1" s="287" customFormat="1" ht="12" hidden="1" customHeight="1">
      <c r="A19591" s="286"/>
    </row>
    <row r="19592" spans="1:1" s="287" customFormat="1" ht="12" hidden="1" customHeight="1">
      <c r="A19592" s="286"/>
    </row>
    <row r="19593" spans="1:1" s="287" customFormat="1" ht="12" hidden="1" customHeight="1">
      <c r="A19593" s="286"/>
    </row>
    <row r="19594" spans="1:1" s="287" customFormat="1" ht="12" hidden="1" customHeight="1">
      <c r="A19594" s="286"/>
    </row>
    <row r="19595" spans="1:1" s="287" customFormat="1" ht="12" hidden="1" customHeight="1">
      <c r="A19595" s="286"/>
    </row>
    <row r="19596" spans="1:1" s="287" customFormat="1" ht="12" hidden="1" customHeight="1">
      <c r="A19596" s="286"/>
    </row>
    <row r="19597" spans="1:1" s="287" customFormat="1" ht="12" hidden="1" customHeight="1">
      <c r="A19597" s="286"/>
    </row>
    <row r="19598" spans="1:1" s="287" customFormat="1" ht="12" hidden="1" customHeight="1">
      <c r="A19598" s="286"/>
    </row>
    <row r="19599" spans="1:1" s="287" customFormat="1" ht="12" hidden="1" customHeight="1">
      <c r="A19599" s="286"/>
    </row>
    <row r="19600" spans="1:1" s="287" customFormat="1" ht="12" hidden="1" customHeight="1">
      <c r="A19600" s="286"/>
    </row>
    <row r="19601" spans="1:1" s="287" customFormat="1" ht="12" hidden="1" customHeight="1">
      <c r="A19601" s="286"/>
    </row>
    <row r="19602" spans="1:1" s="287" customFormat="1" ht="12" hidden="1" customHeight="1">
      <c r="A19602" s="286"/>
    </row>
    <row r="19603" spans="1:1" s="287" customFormat="1" ht="12" hidden="1" customHeight="1">
      <c r="A19603" s="286"/>
    </row>
    <row r="19604" spans="1:1" s="287" customFormat="1" ht="12" hidden="1" customHeight="1">
      <c r="A19604" s="286"/>
    </row>
    <row r="19605" spans="1:1" s="287" customFormat="1" ht="12" hidden="1" customHeight="1">
      <c r="A19605" s="286"/>
    </row>
    <row r="19606" spans="1:1" s="287" customFormat="1" ht="12" hidden="1" customHeight="1">
      <c r="A19606" s="286"/>
    </row>
    <row r="19607" spans="1:1" s="287" customFormat="1" ht="12" hidden="1" customHeight="1">
      <c r="A19607" s="286"/>
    </row>
    <row r="19608" spans="1:1" s="287" customFormat="1" ht="12" hidden="1" customHeight="1">
      <c r="A19608" s="286"/>
    </row>
    <row r="19609" spans="1:1" s="287" customFormat="1" ht="12" hidden="1" customHeight="1">
      <c r="A19609" s="286"/>
    </row>
    <row r="19610" spans="1:1" s="287" customFormat="1" ht="12" hidden="1" customHeight="1">
      <c r="A19610" s="286"/>
    </row>
    <row r="19611" spans="1:1" s="287" customFormat="1" ht="12" hidden="1" customHeight="1">
      <c r="A19611" s="286"/>
    </row>
    <row r="19612" spans="1:1" s="287" customFormat="1" ht="12" hidden="1" customHeight="1">
      <c r="A19612" s="286"/>
    </row>
    <row r="19613" spans="1:1" s="287" customFormat="1" ht="12" hidden="1" customHeight="1">
      <c r="A19613" s="286"/>
    </row>
    <row r="19614" spans="1:1" s="287" customFormat="1" ht="12" hidden="1" customHeight="1">
      <c r="A19614" s="286"/>
    </row>
    <row r="19615" spans="1:1" s="287" customFormat="1" ht="12" hidden="1" customHeight="1">
      <c r="A19615" s="286"/>
    </row>
    <row r="19616" spans="1:1" s="287" customFormat="1" ht="12" hidden="1" customHeight="1">
      <c r="A19616" s="286"/>
    </row>
    <row r="19617" spans="1:1" s="287" customFormat="1" ht="12" hidden="1" customHeight="1">
      <c r="A19617" s="286"/>
    </row>
    <row r="19618" spans="1:1" s="287" customFormat="1" ht="12" hidden="1" customHeight="1">
      <c r="A19618" s="286"/>
    </row>
    <row r="19619" spans="1:1" s="287" customFormat="1" ht="12" hidden="1" customHeight="1">
      <c r="A19619" s="286"/>
    </row>
    <row r="19620" spans="1:1" s="287" customFormat="1" ht="12" hidden="1" customHeight="1">
      <c r="A19620" s="286"/>
    </row>
    <row r="19621" spans="1:1" s="287" customFormat="1" ht="12" hidden="1" customHeight="1">
      <c r="A19621" s="286"/>
    </row>
    <row r="19622" spans="1:1" s="287" customFormat="1" ht="12" hidden="1" customHeight="1">
      <c r="A19622" s="286"/>
    </row>
    <row r="19623" spans="1:1" s="287" customFormat="1" ht="12" hidden="1" customHeight="1">
      <c r="A19623" s="286"/>
    </row>
    <row r="19624" spans="1:1" s="287" customFormat="1" ht="12" hidden="1" customHeight="1">
      <c r="A19624" s="286"/>
    </row>
    <row r="19625" spans="1:1" s="287" customFormat="1" ht="12" hidden="1" customHeight="1">
      <c r="A19625" s="286"/>
    </row>
    <row r="19626" spans="1:1" s="287" customFormat="1" ht="12" hidden="1" customHeight="1">
      <c r="A19626" s="286"/>
    </row>
    <row r="19627" spans="1:1" s="287" customFormat="1" ht="12" hidden="1" customHeight="1">
      <c r="A19627" s="286"/>
    </row>
    <row r="19628" spans="1:1" s="287" customFormat="1" ht="12" hidden="1" customHeight="1">
      <c r="A19628" s="286"/>
    </row>
    <row r="19629" spans="1:1" s="287" customFormat="1" ht="12" hidden="1" customHeight="1">
      <c r="A19629" s="286"/>
    </row>
    <row r="19630" spans="1:1" s="287" customFormat="1" ht="12" hidden="1" customHeight="1">
      <c r="A19630" s="286"/>
    </row>
    <row r="19631" spans="1:1" s="287" customFormat="1" ht="12" hidden="1" customHeight="1">
      <c r="A19631" s="286"/>
    </row>
    <row r="19632" spans="1:1" s="287" customFormat="1" ht="12" hidden="1" customHeight="1">
      <c r="A19632" s="286"/>
    </row>
    <row r="19633" spans="1:1" s="287" customFormat="1" ht="12" hidden="1" customHeight="1">
      <c r="A19633" s="286"/>
    </row>
    <row r="19634" spans="1:1" s="287" customFormat="1" ht="12" hidden="1" customHeight="1">
      <c r="A19634" s="286"/>
    </row>
    <row r="19635" spans="1:1" s="287" customFormat="1" ht="12" hidden="1" customHeight="1">
      <c r="A19635" s="286"/>
    </row>
    <row r="19636" spans="1:1" s="287" customFormat="1" ht="12" hidden="1" customHeight="1">
      <c r="A19636" s="286"/>
    </row>
    <row r="19637" spans="1:1" s="287" customFormat="1" ht="12" hidden="1" customHeight="1">
      <c r="A19637" s="286"/>
    </row>
    <row r="19638" spans="1:1" s="287" customFormat="1" ht="12" hidden="1" customHeight="1">
      <c r="A19638" s="286"/>
    </row>
    <row r="19639" spans="1:1" s="287" customFormat="1" ht="12" hidden="1" customHeight="1">
      <c r="A19639" s="286"/>
    </row>
    <row r="19640" spans="1:1" s="287" customFormat="1" ht="12" hidden="1" customHeight="1">
      <c r="A19640" s="286"/>
    </row>
    <row r="19641" spans="1:1" s="287" customFormat="1" ht="12" hidden="1" customHeight="1">
      <c r="A19641" s="286"/>
    </row>
    <row r="19642" spans="1:1" s="287" customFormat="1" ht="12" hidden="1" customHeight="1">
      <c r="A19642" s="286"/>
    </row>
    <row r="19643" spans="1:1" s="287" customFormat="1" ht="12" hidden="1" customHeight="1">
      <c r="A19643" s="286"/>
    </row>
    <row r="19644" spans="1:1" s="287" customFormat="1" ht="12" hidden="1" customHeight="1">
      <c r="A19644" s="286"/>
    </row>
    <row r="19645" spans="1:1" s="287" customFormat="1" ht="12" hidden="1" customHeight="1">
      <c r="A19645" s="286"/>
    </row>
    <row r="19646" spans="1:1" s="287" customFormat="1" ht="12" hidden="1" customHeight="1">
      <c r="A19646" s="286"/>
    </row>
    <row r="19647" spans="1:1" s="287" customFormat="1" ht="12" hidden="1" customHeight="1">
      <c r="A19647" s="286"/>
    </row>
    <row r="19648" spans="1:1" s="287" customFormat="1" ht="12" hidden="1" customHeight="1">
      <c r="A19648" s="286"/>
    </row>
    <row r="19649" spans="1:1" s="287" customFormat="1" ht="12" hidden="1" customHeight="1">
      <c r="A19649" s="286"/>
    </row>
    <row r="19650" spans="1:1" s="287" customFormat="1" ht="12" hidden="1" customHeight="1">
      <c r="A19650" s="286"/>
    </row>
    <row r="19651" spans="1:1" s="287" customFormat="1" ht="12" hidden="1" customHeight="1">
      <c r="A19651" s="286"/>
    </row>
    <row r="19652" spans="1:1" s="287" customFormat="1" ht="12" hidden="1" customHeight="1">
      <c r="A19652" s="286"/>
    </row>
    <row r="19653" spans="1:1" s="287" customFormat="1" ht="12" hidden="1" customHeight="1">
      <c r="A19653" s="286"/>
    </row>
    <row r="19654" spans="1:1" s="287" customFormat="1" ht="12" hidden="1" customHeight="1">
      <c r="A19654" s="286"/>
    </row>
    <row r="19655" spans="1:1" s="287" customFormat="1" ht="12" hidden="1" customHeight="1">
      <c r="A19655" s="286"/>
    </row>
    <row r="19656" spans="1:1" s="287" customFormat="1" ht="12" hidden="1" customHeight="1">
      <c r="A19656" s="286"/>
    </row>
    <row r="19657" spans="1:1" s="287" customFormat="1" ht="12" hidden="1" customHeight="1">
      <c r="A19657" s="286"/>
    </row>
    <row r="19658" spans="1:1" s="287" customFormat="1" ht="12" hidden="1" customHeight="1">
      <c r="A19658" s="286"/>
    </row>
    <row r="19659" spans="1:1" s="287" customFormat="1" ht="12" hidden="1" customHeight="1">
      <c r="A19659" s="286"/>
    </row>
    <row r="19660" spans="1:1" s="287" customFormat="1" ht="12" hidden="1" customHeight="1">
      <c r="A19660" s="286"/>
    </row>
    <row r="19661" spans="1:1" s="287" customFormat="1" ht="12" hidden="1" customHeight="1">
      <c r="A19661" s="286"/>
    </row>
    <row r="19662" spans="1:1" s="287" customFormat="1" ht="12" hidden="1" customHeight="1">
      <c r="A19662" s="286"/>
    </row>
    <row r="19663" spans="1:1" s="287" customFormat="1" ht="12" hidden="1" customHeight="1">
      <c r="A19663" s="286"/>
    </row>
    <row r="19664" spans="1:1" s="287" customFormat="1" ht="12" hidden="1" customHeight="1">
      <c r="A19664" s="286"/>
    </row>
    <row r="19665" spans="1:1" s="287" customFormat="1" ht="12" hidden="1" customHeight="1">
      <c r="A19665" s="286"/>
    </row>
    <row r="19666" spans="1:1" s="287" customFormat="1" ht="12" hidden="1" customHeight="1">
      <c r="A19666" s="286"/>
    </row>
    <row r="19667" spans="1:1" s="287" customFormat="1" ht="12" hidden="1" customHeight="1">
      <c r="A19667" s="286"/>
    </row>
    <row r="19668" spans="1:1" s="287" customFormat="1" ht="12" hidden="1" customHeight="1">
      <c r="A19668" s="286"/>
    </row>
    <row r="19669" spans="1:1" s="287" customFormat="1" ht="12" hidden="1" customHeight="1">
      <c r="A19669" s="286"/>
    </row>
    <row r="19670" spans="1:1" s="287" customFormat="1" ht="12" hidden="1" customHeight="1">
      <c r="A19670" s="286"/>
    </row>
    <row r="19671" spans="1:1" s="287" customFormat="1" ht="12" hidden="1" customHeight="1">
      <c r="A19671" s="286"/>
    </row>
    <row r="19672" spans="1:1" s="287" customFormat="1" ht="12" hidden="1" customHeight="1">
      <c r="A19672" s="286"/>
    </row>
    <row r="19673" spans="1:1" s="287" customFormat="1" ht="12" hidden="1" customHeight="1">
      <c r="A19673" s="286"/>
    </row>
    <row r="19674" spans="1:1" s="287" customFormat="1" ht="12" hidden="1" customHeight="1">
      <c r="A19674" s="286"/>
    </row>
    <row r="19675" spans="1:1" s="287" customFormat="1" ht="12" hidden="1" customHeight="1">
      <c r="A19675" s="286"/>
    </row>
    <row r="19676" spans="1:1" s="287" customFormat="1" ht="12" hidden="1" customHeight="1">
      <c r="A19676" s="286"/>
    </row>
    <row r="19677" spans="1:1" s="287" customFormat="1" ht="12" hidden="1" customHeight="1">
      <c r="A19677" s="286"/>
    </row>
    <row r="19678" spans="1:1" s="287" customFormat="1" ht="12" hidden="1" customHeight="1">
      <c r="A19678" s="286"/>
    </row>
    <row r="19679" spans="1:1" s="287" customFormat="1" ht="12" hidden="1" customHeight="1">
      <c r="A19679" s="286"/>
    </row>
    <row r="19680" spans="1:1" s="287" customFormat="1" ht="12" hidden="1" customHeight="1">
      <c r="A19680" s="286"/>
    </row>
    <row r="19681" spans="1:1" s="287" customFormat="1" ht="12" hidden="1" customHeight="1">
      <c r="A19681" s="286"/>
    </row>
    <row r="19682" spans="1:1" s="287" customFormat="1" ht="12" hidden="1" customHeight="1">
      <c r="A19682" s="286"/>
    </row>
    <row r="19683" spans="1:1" s="287" customFormat="1" ht="12" hidden="1" customHeight="1">
      <c r="A19683" s="286"/>
    </row>
    <row r="19684" spans="1:1" s="287" customFormat="1" ht="12" hidden="1" customHeight="1">
      <c r="A19684" s="286"/>
    </row>
    <row r="19685" spans="1:1" s="287" customFormat="1" ht="12" hidden="1" customHeight="1">
      <c r="A19685" s="286"/>
    </row>
    <row r="19686" spans="1:1" s="287" customFormat="1" ht="12" hidden="1" customHeight="1">
      <c r="A19686" s="286"/>
    </row>
    <row r="19687" spans="1:1" s="287" customFormat="1" ht="12" hidden="1" customHeight="1">
      <c r="A19687" s="286"/>
    </row>
    <row r="19688" spans="1:1" s="287" customFormat="1" ht="12" hidden="1" customHeight="1">
      <c r="A19688" s="286"/>
    </row>
    <row r="19689" spans="1:1" s="287" customFormat="1" ht="12" hidden="1" customHeight="1">
      <c r="A19689" s="286"/>
    </row>
    <row r="19690" spans="1:1" s="287" customFormat="1" ht="12" hidden="1" customHeight="1">
      <c r="A19690" s="286"/>
    </row>
    <row r="19691" spans="1:1" s="287" customFormat="1" ht="12" hidden="1" customHeight="1">
      <c r="A19691" s="286"/>
    </row>
    <row r="19692" spans="1:1" s="287" customFormat="1" ht="12" hidden="1" customHeight="1">
      <c r="A19692" s="286"/>
    </row>
    <row r="19693" spans="1:1" s="287" customFormat="1" ht="12" hidden="1" customHeight="1">
      <c r="A19693" s="286"/>
    </row>
    <row r="19694" spans="1:1" s="287" customFormat="1" ht="12" hidden="1" customHeight="1">
      <c r="A19694" s="286"/>
    </row>
    <row r="19695" spans="1:1" s="287" customFormat="1" ht="12" hidden="1" customHeight="1">
      <c r="A19695" s="286"/>
    </row>
    <row r="19696" spans="1:1" s="287" customFormat="1" ht="12" hidden="1" customHeight="1">
      <c r="A19696" s="286"/>
    </row>
    <row r="19697" spans="1:1" s="287" customFormat="1" ht="12" hidden="1" customHeight="1">
      <c r="A19697" s="286"/>
    </row>
    <row r="19698" spans="1:1" s="287" customFormat="1" ht="12" hidden="1" customHeight="1">
      <c r="A19698" s="286"/>
    </row>
    <row r="19699" spans="1:1" s="287" customFormat="1" ht="12" hidden="1" customHeight="1">
      <c r="A19699" s="286"/>
    </row>
    <row r="19700" spans="1:1" s="287" customFormat="1" ht="12" hidden="1" customHeight="1">
      <c r="A19700" s="286"/>
    </row>
    <row r="19701" spans="1:1" s="287" customFormat="1" ht="12" hidden="1" customHeight="1">
      <c r="A19701" s="286"/>
    </row>
    <row r="19702" spans="1:1" s="287" customFormat="1" ht="12" hidden="1" customHeight="1">
      <c r="A19702" s="286"/>
    </row>
    <row r="19703" spans="1:1" s="287" customFormat="1" ht="12" hidden="1" customHeight="1">
      <c r="A19703" s="286"/>
    </row>
    <row r="19704" spans="1:1" s="287" customFormat="1" ht="12" hidden="1" customHeight="1">
      <c r="A19704" s="286"/>
    </row>
    <row r="19705" spans="1:1" s="287" customFormat="1" ht="12" hidden="1" customHeight="1">
      <c r="A19705" s="286"/>
    </row>
    <row r="19706" spans="1:1" s="287" customFormat="1" ht="12" hidden="1" customHeight="1">
      <c r="A19706" s="286"/>
    </row>
    <row r="19707" spans="1:1" s="287" customFormat="1" ht="12" hidden="1" customHeight="1">
      <c r="A19707" s="286"/>
    </row>
    <row r="19708" spans="1:1" s="287" customFormat="1" ht="12" hidden="1" customHeight="1">
      <c r="A19708" s="286"/>
    </row>
    <row r="19709" spans="1:1" s="287" customFormat="1" ht="12" hidden="1" customHeight="1">
      <c r="A19709" s="286"/>
    </row>
    <row r="19710" spans="1:1" s="287" customFormat="1" ht="12" hidden="1" customHeight="1">
      <c r="A19710" s="286"/>
    </row>
    <row r="19711" spans="1:1" s="287" customFormat="1" ht="12" hidden="1" customHeight="1">
      <c r="A19711" s="286"/>
    </row>
    <row r="19712" spans="1:1" s="287" customFormat="1" ht="12" hidden="1" customHeight="1">
      <c r="A19712" s="286"/>
    </row>
    <row r="19713" spans="1:1" s="287" customFormat="1" ht="12" hidden="1" customHeight="1">
      <c r="A19713" s="286"/>
    </row>
    <row r="19714" spans="1:1" s="287" customFormat="1" ht="12" hidden="1" customHeight="1">
      <c r="A19714" s="286"/>
    </row>
    <row r="19715" spans="1:1" s="287" customFormat="1" ht="12" hidden="1" customHeight="1">
      <c r="A19715" s="286"/>
    </row>
    <row r="19716" spans="1:1" s="287" customFormat="1" ht="12" hidden="1" customHeight="1">
      <c r="A19716" s="286"/>
    </row>
    <row r="19717" spans="1:1" s="287" customFormat="1" ht="12" hidden="1" customHeight="1">
      <c r="A19717" s="286"/>
    </row>
    <row r="19718" spans="1:1" s="287" customFormat="1" ht="12" hidden="1" customHeight="1">
      <c r="A19718" s="286"/>
    </row>
    <row r="19719" spans="1:1" s="287" customFormat="1" ht="12" hidden="1" customHeight="1">
      <c r="A19719" s="286"/>
    </row>
    <row r="19720" spans="1:1" s="287" customFormat="1" ht="12" hidden="1" customHeight="1">
      <c r="A19720" s="286"/>
    </row>
    <row r="19721" spans="1:1" s="287" customFormat="1" ht="12" hidden="1" customHeight="1">
      <c r="A19721" s="286"/>
    </row>
    <row r="19722" spans="1:1" s="287" customFormat="1" ht="12" hidden="1" customHeight="1">
      <c r="A19722" s="286"/>
    </row>
    <row r="19723" spans="1:1" s="287" customFormat="1" ht="12" hidden="1" customHeight="1">
      <c r="A19723" s="286"/>
    </row>
    <row r="19724" spans="1:1" s="287" customFormat="1" ht="12" hidden="1" customHeight="1">
      <c r="A19724" s="286"/>
    </row>
    <row r="19725" spans="1:1" s="287" customFormat="1" ht="12" hidden="1" customHeight="1">
      <c r="A19725" s="286"/>
    </row>
    <row r="19726" spans="1:1" s="287" customFormat="1" ht="12" hidden="1" customHeight="1">
      <c r="A19726" s="286"/>
    </row>
    <row r="19727" spans="1:1" s="287" customFormat="1" ht="12" hidden="1" customHeight="1">
      <c r="A19727" s="286"/>
    </row>
    <row r="19728" spans="1:1" s="287" customFormat="1" ht="12" hidden="1" customHeight="1">
      <c r="A19728" s="286"/>
    </row>
    <row r="19729" spans="1:1" s="287" customFormat="1" ht="12" hidden="1" customHeight="1">
      <c r="A19729" s="286"/>
    </row>
    <row r="19730" spans="1:1" s="287" customFormat="1" ht="12" hidden="1" customHeight="1">
      <c r="A19730" s="286"/>
    </row>
    <row r="19731" spans="1:1" s="287" customFormat="1" ht="12" hidden="1" customHeight="1">
      <c r="A19731" s="286"/>
    </row>
    <row r="19732" spans="1:1" s="287" customFormat="1" ht="12" hidden="1" customHeight="1">
      <c r="A19732" s="286"/>
    </row>
    <row r="19733" spans="1:1" s="287" customFormat="1" ht="12" hidden="1" customHeight="1">
      <c r="A19733" s="286"/>
    </row>
    <row r="19734" spans="1:1" s="287" customFormat="1" ht="12" hidden="1" customHeight="1">
      <c r="A19734" s="286"/>
    </row>
    <row r="19735" spans="1:1" s="287" customFormat="1" ht="12" hidden="1" customHeight="1">
      <c r="A19735" s="286"/>
    </row>
    <row r="19736" spans="1:1" s="287" customFormat="1" ht="12" hidden="1" customHeight="1">
      <c r="A19736" s="286"/>
    </row>
    <row r="19737" spans="1:1" s="287" customFormat="1" ht="12" hidden="1" customHeight="1">
      <c r="A19737" s="286"/>
    </row>
    <row r="19738" spans="1:1" s="287" customFormat="1" ht="12" hidden="1" customHeight="1">
      <c r="A19738" s="286"/>
    </row>
    <row r="19739" spans="1:1" s="287" customFormat="1" ht="12" hidden="1" customHeight="1">
      <c r="A19739" s="286"/>
    </row>
    <row r="19740" spans="1:1" s="287" customFormat="1" ht="12" hidden="1" customHeight="1">
      <c r="A19740" s="286"/>
    </row>
    <row r="19741" spans="1:1" s="287" customFormat="1" ht="12" hidden="1" customHeight="1">
      <c r="A19741" s="286"/>
    </row>
    <row r="19742" spans="1:1" s="287" customFormat="1" ht="12" hidden="1" customHeight="1">
      <c r="A19742" s="286"/>
    </row>
    <row r="19743" spans="1:1" s="287" customFormat="1" ht="12" hidden="1" customHeight="1">
      <c r="A19743" s="286"/>
    </row>
    <row r="19744" spans="1:1" s="287" customFormat="1" ht="12" hidden="1" customHeight="1">
      <c r="A19744" s="286"/>
    </row>
    <row r="19745" spans="1:1" s="287" customFormat="1" ht="12" hidden="1" customHeight="1">
      <c r="A19745" s="286"/>
    </row>
    <row r="19746" spans="1:1" s="287" customFormat="1" ht="12" hidden="1" customHeight="1">
      <c r="A19746" s="286"/>
    </row>
    <row r="19747" spans="1:1" s="287" customFormat="1" ht="12" hidden="1" customHeight="1">
      <c r="A19747" s="286"/>
    </row>
    <row r="19748" spans="1:1" s="287" customFormat="1" ht="12" hidden="1" customHeight="1">
      <c r="A19748" s="286"/>
    </row>
    <row r="19749" spans="1:1" s="287" customFormat="1" ht="12" hidden="1" customHeight="1">
      <c r="A19749" s="286"/>
    </row>
    <row r="19750" spans="1:1" s="287" customFormat="1" ht="12" hidden="1" customHeight="1">
      <c r="A19750" s="286"/>
    </row>
    <row r="19751" spans="1:1" s="287" customFormat="1" ht="12" hidden="1" customHeight="1">
      <c r="A19751" s="286"/>
    </row>
    <row r="19752" spans="1:1" s="287" customFormat="1" ht="12" hidden="1" customHeight="1">
      <c r="A19752" s="286"/>
    </row>
    <row r="19753" spans="1:1" s="287" customFormat="1" ht="12" hidden="1" customHeight="1">
      <c r="A19753" s="286"/>
    </row>
    <row r="19754" spans="1:1" s="287" customFormat="1" ht="12" hidden="1" customHeight="1">
      <c r="A19754" s="286"/>
    </row>
    <row r="19755" spans="1:1" s="287" customFormat="1" ht="12" hidden="1" customHeight="1">
      <c r="A19755" s="286"/>
    </row>
    <row r="19756" spans="1:1" s="287" customFormat="1" ht="12" hidden="1" customHeight="1">
      <c r="A19756" s="286"/>
    </row>
    <row r="19757" spans="1:1" s="287" customFormat="1" ht="12" hidden="1" customHeight="1">
      <c r="A19757" s="286"/>
    </row>
    <row r="19758" spans="1:1" s="287" customFormat="1" ht="12" hidden="1" customHeight="1">
      <c r="A19758" s="286"/>
    </row>
    <row r="19759" spans="1:1" s="287" customFormat="1" ht="12" hidden="1" customHeight="1">
      <c r="A19759" s="286"/>
    </row>
    <row r="19760" spans="1:1" s="287" customFormat="1" ht="12" hidden="1" customHeight="1">
      <c r="A19760" s="286"/>
    </row>
    <row r="19761" spans="1:1" s="287" customFormat="1" ht="12" hidden="1" customHeight="1">
      <c r="A19761" s="286"/>
    </row>
    <row r="19762" spans="1:1" s="287" customFormat="1" ht="12" hidden="1" customHeight="1">
      <c r="A19762" s="286"/>
    </row>
    <row r="19763" spans="1:1" s="287" customFormat="1" ht="12" hidden="1" customHeight="1">
      <c r="A19763" s="286"/>
    </row>
    <row r="19764" spans="1:1" s="287" customFormat="1" ht="12" hidden="1" customHeight="1">
      <c r="A19764" s="286"/>
    </row>
    <row r="19765" spans="1:1" s="287" customFormat="1" ht="12" hidden="1" customHeight="1">
      <c r="A19765" s="286"/>
    </row>
    <row r="19766" spans="1:1" s="287" customFormat="1" ht="12" hidden="1" customHeight="1">
      <c r="A19766" s="286"/>
    </row>
    <row r="19767" spans="1:1" s="287" customFormat="1" ht="12" hidden="1" customHeight="1">
      <c r="A19767" s="286"/>
    </row>
    <row r="19768" spans="1:1" s="287" customFormat="1" ht="12" hidden="1" customHeight="1">
      <c r="A19768" s="286"/>
    </row>
    <row r="19769" spans="1:1" s="287" customFormat="1" ht="12" hidden="1" customHeight="1">
      <c r="A19769" s="286"/>
    </row>
    <row r="19770" spans="1:1" s="287" customFormat="1" ht="12" hidden="1" customHeight="1">
      <c r="A19770" s="286"/>
    </row>
    <row r="19771" spans="1:1" s="287" customFormat="1" ht="12" hidden="1" customHeight="1">
      <c r="A19771" s="286"/>
    </row>
    <row r="19772" spans="1:1" s="287" customFormat="1" ht="12" hidden="1" customHeight="1">
      <c r="A19772" s="286"/>
    </row>
    <row r="19773" spans="1:1" s="287" customFormat="1" ht="12" hidden="1" customHeight="1">
      <c r="A19773" s="286"/>
    </row>
    <row r="19774" spans="1:1" s="287" customFormat="1" ht="12" hidden="1" customHeight="1">
      <c r="A19774" s="286"/>
    </row>
    <row r="19775" spans="1:1" s="287" customFormat="1" ht="12" hidden="1" customHeight="1">
      <c r="A19775" s="286"/>
    </row>
    <row r="19776" spans="1:1" s="287" customFormat="1" ht="12" hidden="1" customHeight="1">
      <c r="A19776" s="286"/>
    </row>
    <row r="19777" spans="1:1" s="287" customFormat="1" ht="12" hidden="1" customHeight="1">
      <c r="A19777" s="286"/>
    </row>
    <row r="19778" spans="1:1" s="287" customFormat="1" ht="12" hidden="1" customHeight="1">
      <c r="A19778" s="286"/>
    </row>
    <row r="19779" spans="1:1" s="287" customFormat="1" ht="12" hidden="1" customHeight="1">
      <c r="A19779" s="286"/>
    </row>
    <row r="19780" spans="1:1" s="287" customFormat="1" ht="12" hidden="1" customHeight="1">
      <c r="A19780" s="286"/>
    </row>
    <row r="19781" spans="1:1" s="287" customFormat="1" ht="12" hidden="1" customHeight="1">
      <c r="A19781" s="286"/>
    </row>
    <row r="19782" spans="1:1" s="287" customFormat="1" ht="12" hidden="1" customHeight="1">
      <c r="A19782" s="286"/>
    </row>
    <row r="19783" spans="1:1" s="287" customFormat="1" ht="12" hidden="1" customHeight="1">
      <c r="A19783" s="286"/>
    </row>
    <row r="19784" spans="1:1" s="287" customFormat="1" ht="12" hidden="1" customHeight="1">
      <c r="A19784" s="286"/>
    </row>
    <row r="19785" spans="1:1" s="287" customFormat="1" ht="12" hidden="1" customHeight="1">
      <c r="A19785" s="286"/>
    </row>
    <row r="19786" spans="1:1" s="287" customFormat="1" ht="12" hidden="1" customHeight="1">
      <c r="A19786" s="286"/>
    </row>
    <row r="19787" spans="1:1" s="287" customFormat="1" ht="12" hidden="1" customHeight="1">
      <c r="A19787" s="286"/>
    </row>
    <row r="19788" spans="1:1" s="287" customFormat="1" ht="12" hidden="1" customHeight="1">
      <c r="A19788" s="286"/>
    </row>
    <row r="19789" spans="1:1" s="287" customFormat="1" ht="12" hidden="1" customHeight="1">
      <c r="A19789" s="286"/>
    </row>
    <row r="19790" spans="1:1" s="287" customFormat="1" ht="12" hidden="1" customHeight="1">
      <c r="A19790" s="286"/>
    </row>
    <row r="19791" spans="1:1" s="287" customFormat="1" ht="12" hidden="1" customHeight="1">
      <c r="A19791" s="286"/>
    </row>
    <row r="19792" spans="1:1" s="287" customFormat="1" ht="12" hidden="1" customHeight="1">
      <c r="A19792" s="286"/>
    </row>
    <row r="19793" spans="1:1" s="287" customFormat="1" ht="12" hidden="1" customHeight="1">
      <c r="A19793" s="286"/>
    </row>
    <row r="19794" spans="1:1" s="287" customFormat="1" ht="12" hidden="1" customHeight="1">
      <c r="A19794" s="286"/>
    </row>
    <row r="19795" spans="1:1" s="287" customFormat="1" ht="12" hidden="1" customHeight="1">
      <c r="A19795" s="286"/>
    </row>
    <row r="19796" spans="1:1" s="287" customFormat="1" ht="12" hidden="1" customHeight="1">
      <c r="A19796" s="286"/>
    </row>
    <row r="19797" spans="1:1" s="287" customFormat="1" ht="12" hidden="1" customHeight="1">
      <c r="A19797" s="286"/>
    </row>
    <row r="19798" spans="1:1" s="287" customFormat="1" ht="12" hidden="1" customHeight="1">
      <c r="A19798" s="286"/>
    </row>
    <row r="19799" spans="1:1" s="287" customFormat="1" ht="12" hidden="1" customHeight="1">
      <c r="A19799" s="286"/>
    </row>
    <row r="19800" spans="1:1" s="287" customFormat="1" ht="12" hidden="1" customHeight="1">
      <c r="A19800" s="286"/>
    </row>
    <row r="19801" spans="1:1" s="287" customFormat="1" ht="12" hidden="1" customHeight="1">
      <c r="A19801" s="286"/>
    </row>
    <row r="19802" spans="1:1" s="287" customFormat="1" ht="12" hidden="1" customHeight="1">
      <c r="A19802" s="286"/>
    </row>
    <row r="19803" spans="1:1" s="287" customFormat="1" ht="12" hidden="1" customHeight="1">
      <c r="A19803" s="286"/>
    </row>
    <row r="19804" spans="1:1" s="287" customFormat="1" ht="12" hidden="1" customHeight="1">
      <c r="A19804" s="286"/>
    </row>
    <row r="19805" spans="1:1" s="287" customFormat="1" ht="12" hidden="1" customHeight="1">
      <c r="A19805" s="286"/>
    </row>
    <row r="19806" spans="1:1" s="287" customFormat="1" ht="12" hidden="1" customHeight="1">
      <c r="A19806" s="286"/>
    </row>
    <row r="19807" spans="1:1" s="287" customFormat="1" ht="12" hidden="1" customHeight="1">
      <c r="A19807" s="286"/>
    </row>
    <row r="19808" spans="1:1" s="287" customFormat="1" ht="12" hidden="1" customHeight="1">
      <c r="A19808" s="286"/>
    </row>
    <row r="19809" spans="1:1" s="287" customFormat="1" ht="12" hidden="1" customHeight="1">
      <c r="A19809" s="286"/>
    </row>
    <row r="19810" spans="1:1" s="287" customFormat="1" ht="12" hidden="1" customHeight="1">
      <c r="A19810" s="286"/>
    </row>
    <row r="19811" spans="1:1" s="287" customFormat="1" ht="12" hidden="1" customHeight="1">
      <c r="A19811" s="286"/>
    </row>
    <row r="19812" spans="1:1" s="287" customFormat="1" ht="12" hidden="1" customHeight="1">
      <c r="A19812" s="286"/>
    </row>
    <row r="19813" spans="1:1" s="287" customFormat="1" ht="12" hidden="1" customHeight="1">
      <c r="A19813" s="286"/>
    </row>
    <row r="19814" spans="1:1" s="287" customFormat="1" ht="12" hidden="1" customHeight="1">
      <c r="A19814" s="286"/>
    </row>
    <row r="19815" spans="1:1" s="287" customFormat="1" ht="12" hidden="1" customHeight="1">
      <c r="A19815" s="286"/>
    </row>
    <row r="19816" spans="1:1" s="287" customFormat="1" ht="12" hidden="1" customHeight="1">
      <c r="A19816" s="286"/>
    </row>
    <row r="19817" spans="1:1" s="287" customFormat="1" ht="12" hidden="1" customHeight="1">
      <c r="A19817" s="286"/>
    </row>
    <row r="19818" spans="1:1" s="287" customFormat="1" ht="12" hidden="1" customHeight="1">
      <c r="A19818" s="286"/>
    </row>
    <row r="19819" spans="1:1" s="287" customFormat="1" ht="12" hidden="1" customHeight="1">
      <c r="A19819" s="286"/>
    </row>
    <row r="19820" spans="1:1" s="287" customFormat="1" ht="12" hidden="1" customHeight="1">
      <c r="A19820" s="286"/>
    </row>
    <row r="19821" spans="1:1" s="287" customFormat="1" ht="12" hidden="1" customHeight="1">
      <c r="A19821" s="286"/>
    </row>
    <row r="19822" spans="1:1" s="287" customFormat="1" ht="12" hidden="1" customHeight="1">
      <c r="A19822" s="286"/>
    </row>
    <row r="19823" spans="1:1" s="287" customFormat="1" ht="12" hidden="1" customHeight="1">
      <c r="A19823" s="286"/>
    </row>
    <row r="19824" spans="1:1" s="287" customFormat="1" ht="12" hidden="1" customHeight="1">
      <c r="A19824" s="286"/>
    </row>
    <row r="19825" spans="1:1" s="287" customFormat="1" ht="12" hidden="1" customHeight="1">
      <c r="A19825" s="286"/>
    </row>
    <row r="19826" spans="1:1" s="287" customFormat="1" ht="12" hidden="1" customHeight="1">
      <c r="A19826" s="286"/>
    </row>
    <row r="19827" spans="1:1" s="287" customFormat="1" ht="12" hidden="1" customHeight="1">
      <c r="A19827" s="286"/>
    </row>
    <row r="19828" spans="1:1" s="287" customFormat="1" ht="12" hidden="1" customHeight="1">
      <c r="A19828" s="286"/>
    </row>
    <row r="19829" spans="1:1" s="287" customFormat="1" ht="12" hidden="1" customHeight="1">
      <c r="A19829" s="286"/>
    </row>
    <row r="19830" spans="1:1" s="287" customFormat="1" ht="12" hidden="1" customHeight="1">
      <c r="A19830" s="286"/>
    </row>
    <row r="19831" spans="1:1" s="287" customFormat="1" ht="12" hidden="1" customHeight="1">
      <c r="A19831" s="286"/>
    </row>
    <row r="19832" spans="1:1" s="287" customFormat="1" ht="12" hidden="1" customHeight="1">
      <c r="A19832" s="286"/>
    </row>
    <row r="19833" spans="1:1" s="287" customFormat="1" ht="12" hidden="1" customHeight="1">
      <c r="A19833" s="286"/>
    </row>
    <row r="19834" spans="1:1" s="287" customFormat="1" ht="12" hidden="1" customHeight="1">
      <c r="A19834" s="286"/>
    </row>
    <row r="19835" spans="1:1" s="287" customFormat="1" ht="12" hidden="1" customHeight="1">
      <c r="A19835" s="286"/>
    </row>
    <row r="19836" spans="1:1" s="287" customFormat="1" ht="12" hidden="1" customHeight="1">
      <c r="A19836" s="286"/>
    </row>
    <row r="19837" spans="1:1" s="287" customFormat="1" ht="12" hidden="1" customHeight="1">
      <c r="A19837" s="286"/>
    </row>
    <row r="19838" spans="1:1" s="287" customFormat="1" ht="12" hidden="1" customHeight="1">
      <c r="A19838" s="286"/>
    </row>
    <row r="19839" spans="1:1" s="287" customFormat="1" ht="12" hidden="1" customHeight="1">
      <c r="A19839" s="286"/>
    </row>
    <row r="19840" spans="1:1" s="287" customFormat="1" ht="12" hidden="1" customHeight="1">
      <c r="A19840" s="286"/>
    </row>
    <row r="19841" spans="1:1" s="287" customFormat="1" ht="12" hidden="1" customHeight="1">
      <c r="A19841" s="286"/>
    </row>
    <row r="19842" spans="1:1" s="287" customFormat="1" ht="12" hidden="1" customHeight="1">
      <c r="A19842" s="286"/>
    </row>
    <row r="19843" spans="1:1" s="287" customFormat="1" ht="12" hidden="1" customHeight="1">
      <c r="A19843" s="286"/>
    </row>
    <row r="19844" spans="1:1" s="287" customFormat="1" ht="12" hidden="1" customHeight="1">
      <c r="A19844" s="286"/>
    </row>
    <row r="19845" spans="1:1" s="287" customFormat="1" ht="12" hidden="1" customHeight="1">
      <c r="A19845" s="286"/>
    </row>
    <row r="19846" spans="1:1" s="287" customFormat="1" ht="12" hidden="1" customHeight="1">
      <c r="A19846" s="286"/>
    </row>
    <row r="19847" spans="1:1" s="287" customFormat="1" ht="12" hidden="1" customHeight="1">
      <c r="A19847" s="286"/>
    </row>
    <row r="19848" spans="1:1" s="287" customFormat="1" ht="12" hidden="1" customHeight="1">
      <c r="A19848" s="286"/>
    </row>
    <row r="19849" spans="1:1" s="287" customFormat="1" ht="12" hidden="1" customHeight="1">
      <c r="A19849" s="286"/>
    </row>
    <row r="19850" spans="1:1" s="287" customFormat="1" ht="12" hidden="1" customHeight="1">
      <c r="A19850" s="286"/>
    </row>
    <row r="19851" spans="1:1" s="287" customFormat="1" ht="12" hidden="1" customHeight="1">
      <c r="A19851" s="286"/>
    </row>
    <row r="19852" spans="1:1" s="287" customFormat="1" ht="12" hidden="1" customHeight="1">
      <c r="A19852" s="286"/>
    </row>
    <row r="19853" spans="1:1" s="287" customFormat="1" ht="12" hidden="1" customHeight="1">
      <c r="A19853" s="286"/>
    </row>
    <row r="19854" spans="1:1" s="287" customFormat="1" ht="12" hidden="1" customHeight="1">
      <c r="A19854" s="286"/>
    </row>
    <row r="19855" spans="1:1" s="287" customFormat="1" ht="12" hidden="1" customHeight="1">
      <c r="A19855" s="286"/>
    </row>
    <row r="19856" spans="1:1" s="287" customFormat="1" ht="12" hidden="1" customHeight="1">
      <c r="A19856" s="286"/>
    </row>
    <row r="19857" spans="1:1" s="287" customFormat="1" ht="12" hidden="1" customHeight="1">
      <c r="A19857" s="286"/>
    </row>
    <row r="19858" spans="1:1" s="287" customFormat="1" ht="12" hidden="1" customHeight="1">
      <c r="A19858" s="286"/>
    </row>
    <row r="19859" spans="1:1" s="287" customFormat="1" ht="12" hidden="1" customHeight="1">
      <c r="A19859" s="286"/>
    </row>
    <row r="19860" spans="1:1" s="287" customFormat="1" ht="12" hidden="1" customHeight="1">
      <c r="A19860" s="286"/>
    </row>
    <row r="19861" spans="1:1" s="287" customFormat="1" ht="12" hidden="1" customHeight="1">
      <c r="A19861" s="286"/>
    </row>
    <row r="19862" spans="1:1" s="287" customFormat="1" ht="12" hidden="1" customHeight="1">
      <c r="A19862" s="286"/>
    </row>
    <row r="19863" spans="1:1" s="287" customFormat="1" ht="12" hidden="1" customHeight="1">
      <c r="A19863" s="286"/>
    </row>
    <row r="19864" spans="1:1" s="287" customFormat="1" ht="12" hidden="1" customHeight="1">
      <c r="A19864" s="286"/>
    </row>
    <row r="19865" spans="1:1" s="287" customFormat="1" ht="12" hidden="1" customHeight="1">
      <c r="A19865" s="286"/>
    </row>
    <row r="19866" spans="1:1" s="287" customFormat="1" ht="12" hidden="1" customHeight="1">
      <c r="A19866" s="286"/>
    </row>
    <row r="19867" spans="1:1" s="287" customFormat="1" ht="12" hidden="1" customHeight="1">
      <c r="A19867" s="286"/>
    </row>
    <row r="19868" spans="1:1" s="287" customFormat="1" ht="12" hidden="1" customHeight="1">
      <c r="A19868" s="286"/>
    </row>
    <row r="19869" spans="1:1" s="287" customFormat="1" ht="12" hidden="1" customHeight="1">
      <c r="A19869" s="286"/>
    </row>
    <row r="19870" spans="1:1" s="287" customFormat="1" ht="12" hidden="1" customHeight="1">
      <c r="A19870" s="286"/>
    </row>
    <row r="19871" spans="1:1" s="287" customFormat="1" ht="12" hidden="1" customHeight="1">
      <c r="A19871" s="286"/>
    </row>
    <row r="19872" spans="1:1" s="287" customFormat="1" ht="12" hidden="1" customHeight="1">
      <c r="A19872" s="286"/>
    </row>
    <row r="19873" spans="1:1" s="287" customFormat="1" ht="12" hidden="1" customHeight="1">
      <c r="A19873" s="286"/>
    </row>
    <row r="19874" spans="1:1" s="287" customFormat="1" ht="12" hidden="1" customHeight="1">
      <c r="A19874" s="286"/>
    </row>
    <row r="19875" spans="1:1" s="287" customFormat="1" ht="12" hidden="1" customHeight="1">
      <c r="A19875" s="286"/>
    </row>
    <row r="19876" spans="1:1" s="287" customFormat="1" ht="12" hidden="1" customHeight="1">
      <c r="A19876" s="286"/>
    </row>
    <row r="19877" spans="1:1" s="287" customFormat="1" ht="12" hidden="1" customHeight="1">
      <c r="A19877" s="286"/>
    </row>
    <row r="19878" spans="1:1" s="287" customFormat="1" ht="12" hidden="1" customHeight="1">
      <c r="A19878" s="286"/>
    </row>
    <row r="19879" spans="1:1" s="287" customFormat="1" ht="12" hidden="1" customHeight="1">
      <c r="A19879" s="286"/>
    </row>
    <row r="19880" spans="1:1" s="287" customFormat="1" ht="12" hidden="1" customHeight="1">
      <c r="A19880" s="286"/>
    </row>
    <row r="19881" spans="1:1" s="287" customFormat="1" ht="12" hidden="1" customHeight="1">
      <c r="A19881" s="286"/>
    </row>
    <row r="19882" spans="1:1" s="287" customFormat="1" ht="12" hidden="1" customHeight="1">
      <c r="A19882" s="286"/>
    </row>
    <row r="19883" spans="1:1" s="287" customFormat="1" ht="12" hidden="1" customHeight="1">
      <c r="A19883" s="286"/>
    </row>
    <row r="19884" spans="1:1" s="287" customFormat="1" ht="12" hidden="1" customHeight="1">
      <c r="A19884" s="286"/>
    </row>
    <row r="19885" spans="1:1" s="287" customFormat="1" ht="12" hidden="1" customHeight="1">
      <c r="A19885" s="286"/>
    </row>
    <row r="19886" spans="1:1" s="287" customFormat="1" ht="12" hidden="1" customHeight="1">
      <c r="A19886" s="286"/>
    </row>
    <row r="19887" spans="1:1" s="287" customFormat="1" ht="12" hidden="1" customHeight="1">
      <c r="A19887" s="286"/>
    </row>
    <row r="19888" spans="1:1" s="287" customFormat="1" ht="12" hidden="1" customHeight="1">
      <c r="A19888" s="286"/>
    </row>
    <row r="19889" spans="1:1" s="287" customFormat="1" ht="12" hidden="1" customHeight="1">
      <c r="A19889" s="286"/>
    </row>
    <row r="19890" spans="1:1" s="287" customFormat="1" ht="12" hidden="1" customHeight="1">
      <c r="A19890" s="286"/>
    </row>
    <row r="19891" spans="1:1" s="287" customFormat="1" ht="12" hidden="1" customHeight="1">
      <c r="A19891" s="286"/>
    </row>
    <row r="19892" spans="1:1" s="287" customFormat="1" ht="12" hidden="1" customHeight="1">
      <c r="A19892" s="286"/>
    </row>
    <row r="19893" spans="1:1" s="287" customFormat="1" ht="12" hidden="1" customHeight="1">
      <c r="A19893" s="286"/>
    </row>
    <row r="19894" spans="1:1" s="287" customFormat="1" ht="12" hidden="1" customHeight="1">
      <c r="A19894" s="286"/>
    </row>
    <row r="19895" spans="1:1" s="287" customFormat="1" ht="12" hidden="1" customHeight="1">
      <c r="A19895" s="286"/>
    </row>
    <row r="19896" spans="1:1" s="287" customFormat="1" ht="12" hidden="1" customHeight="1">
      <c r="A19896" s="286"/>
    </row>
    <row r="19897" spans="1:1" s="287" customFormat="1" ht="12" hidden="1" customHeight="1">
      <c r="A19897" s="286"/>
    </row>
    <row r="19898" spans="1:1" s="287" customFormat="1" ht="12" hidden="1" customHeight="1">
      <c r="A19898" s="286"/>
    </row>
    <row r="19899" spans="1:1" s="287" customFormat="1" ht="12" hidden="1" customHeight="1">
      <c r="A19899" s="286"/>
    </row>
    <row r="19900" spans="1:1" s="287" customFormat="1" ht="12" hidden="1" customHeight="1">
      <c r="A19900" s="286"/>
    </row>
    <row r="19901" spans="1:1" s="287" customFormat="1" ht="12" hidden="1" customHeight="1">
      <c r="A19901" s="286"/>
    </row>
    <row r="19902" spans="1:1" s="287" customFormat="1" ht="12" hidden="1" customHeight="1">
      <c r="A19902" s="286"/>
    </row>
    <row r="19903" spans="1:1" s="287" customFormat="1" ht="12" hidden="1" customHeight="1">
      <c r="A19903" s="286"/>
    </row>
    <row r="19904" spans="1:1" s="287" customFormat="1" ht="12" hidden="1" customHeight="1">
      <c r="A19904" s="286"/>
    </row>
    <row r="19905" spans="1:185" s="287" customFormat="1" ht="12" hidden="1" customHeight="1">
      <c r="A19905" s="286"/>
    </row>
    <row r="19906" spans="1:185" s="287" customFormat="1" ht="12" hidden="1" customHeight="1">
      <c r="A19906" s="286"/>
    </row>
    <row r="19907" spans="1:185" s="287" customFormat="1" ht="12" hidden="1" customHeight="1">
      <c r="A19907" s="286"/>
    </row>
    <row r="19908" spans="1:185" s="287" customFormat="1" ht="12" hidden="1" customHeight="1">
      <c r="A19908" s="286"/>
    </row>
    <row r="19909" spans="1:185" s="287" customFormat="1" ht="12" hidden="1" customHeight="1">
      <c r="A19909" s="286"/>
    </row>
    <row r="19910" spans="1:185" s="287" customFormat="1" ht="12" hidden="1" customHeight="1">
      <c r="A19910" s="286"/>
    </row>
    <row r="19911" spans="1:185" s="287" customFormat="1" ht="12" hidden="1" customHeight="1">
      <c r="A19911" s="286"/>
    </row>
    <row r="19912" spans="1:185" s="287" customFormat="1" ht="12" hidden="1" customHeight="1">
      <c r="A19912" s="286"/>
    </row>
    <row r="19913" spans="1:185" s="287" customFormat="1" ht="12" hidden="1" customHeight="1">
      <c r="A19913" s="286"/>
    </row>
    <row r="19914" spans="1:185" ht="13" hidden="1">
      <c r="A19914" s="286"/>
      <c r="B19914" s="287"/>
      <c r="C19914" s="287"/>
      <c r="D19914" s="287"/>
      <c r="E19914" s="287"/>
      <c r="F19914" s="287"/>
      <c r="G19914" s="287"/>
      <c r="H19914" s="287"/>
      <c r="I19914" s="287"/>
      <c r="J19914" s="287"/>
      <c r="K19914" s="287"/>
      <c r="L19914" s="287"/>
      <c r="M19914" s="287"/>
      <c r="N19914" s="287"/>
      <c r="O19914" s="287"/>
      <c r="P19914" s="287"/>
      <c r="Q19914" s="287"/>
      <c r="R19914" s="287"/>
      <c r="S19914" s="287"/>
      <c r="T19914" s="287"/>
      <c r="U19914" s="287"/>
      <c r="V19914" s="287"/>
      <c r="W19914" s="287"/>
      <c r="X19914" s="287"/>
      <c r="Y19914" s="287"/>
      <c r="Z19914" s="287"/>
      <c r="AA19914" s="287"/>
      <c r="AB19914" s="287"/>
      <c r="AC19914" s="287"/>
      <c r="AD19914" s="287"/>
      <c r="AE19914" s="287"/>
      <c r="AF19914" s="287"/>
      <c r="AG19914" s="287"/>
      <c r="AH19914" s="287"/>
      <c r="AI19914" s="287"/>
      <c r="AJ19914" s="287"/>
      <c r="AK19914" s="287"/>
      <c r="AL19914" s="287"/>
      <c r="AM19914" s="287"/>
      <c r="AN19914" s="287"/>
      <c r="AO19914" s="287"/>
      <c r="AP19914" s="287"/>
      <c r="AQ19914" s="287"/>
      <c r="AR19914" s="287"/>
      <c r="AS19914" s="287"/>
      <c r="AT19914" s="287"/>
      <c r="AU19914" s="287"/>
      <c r="AV19914" s="287"/>
      <c r="AW19914" s="287"/>
      <c r="AX19914" s="287"/>
      <c r="AY19914" s="287"/>
      <c r="AZ19914" s="287"/>
      <c r="BA19914" s="287"/>
      <c r="BB19914" s="287"/>
      <c r="BC19914" s="287"/>
      <c r="BD19914" s="287"/>
      <c r="BE19914" s="287"/>
      <c r="BF19914" s="287"/>
      <c r="BG19914" s="287"/>
      <c r="BH19914" s="287"/>
      <c r="BI19914" s="287"/>
      <c r="BJ19914" s="287"/>
      <c r="BK19914" s="287"/>
      <c r="BL19914" s="287"/>
      <c r="BM19914" s="287"/>
      <c r="BN19914" s="287"/>
      <c r="BO19914" s="287"/>
      <c r="BP19914" s="287"/>
      <c r="BQ19914" s="287"/>
      <c r="BR19914" s="287"/>
      <c r="BS19914" s="287"/>
      <c r="BT19914" s="287"/>
      <c r="BU19914" s="287"/>
      <c r="BV19914" s="287"/>
      <c r="BW19914" s="287"/>
      <c r="BX19914" s="287"/>
      <c r="BY19914" s="287"/>
      <c r="BZ19914" s="287"/>
      <c r="CA19914" s="287"/>
      <c r="CB19914" s="287"/>
      <c r="CC19914" s="287"/>
      <c r="CD19914" s="287"/>
      <c r="CE19914" s="287"/>
      <c r="CF19914" s="287"/>
      <c r="CG19914" s="287"/>
      <c r="CH19914" s="287"/>
      <c r="CI19914" s="287"/>
      <c r="CJ19914" s="287"/>
      <c r="CK19914" s="287"/>
      <c r="CL19914" s="287"/>
      <c r="CM19914" s="287"/>
      <c r="CN19914" s="287"/>
      <c r="CO19914" s="287"/>
      <c r="CP19914" s="287"/>
      <c r="CQ19914" s="287"/>
      <c r="CR19914" s="287"/>
      <c r="CS19914" s="287"/>
      <c r="CT19914" s="287"/>
      <c r="CU19914" s="287"/>
      <c r="CV19914" s="287"/>
      <c r="CW19914" s="287"/>
      <c r="CX19914" s="287"/>
      <c r="CY19914" s="287"/>
      <c r="CZ19914" s="287"/>
      <c r="DA19914" s="287"/>
      <c r="DB19914" s="287"/>
      <c r="DC19914" s="287"/>
      <c r="DD19914" s="287"/>
      <c r="DE19914" s="287"/>
      <c r="DF19914" s="287"/>
      <c r="DG19914" s="287"/>
      <c r="DH19914" s="287"/>
      <c r="DI19914" s="287"/>
      <c r="DJ19914" s="287"/>
      <c r="DK19914" s="287"/>
      <c r="DL19914" s="287"/>
      <c r="DM19914" s="287"/>
      <c r="DN19914" s="287"/>
      <c r="DO19914" s="287"/>
      <c r="DP19914" s="287"/>
      <c r="DQ19914" s="287"/>
      <c r="DR19914" s="287"/>
      <c r="DS19914" s="287"/>
      <c r="DT19914" s="287"/>
      <c r="DU19914" s="287"/>
      <c r="DV19914" s="287"/>
      <c r="DW19914" s="287"/>
      <c r="DX19914" s="287"/>
      <c r="DY19914" s="287"/>
      <c r="DZ19914" s="287"/>
      <c r="EA19914" s="287"/>
      <c r="EB19914" s="287"/>
      <c r="EC19914" s="287"/>
      <c r="ED19914" s="287"/>
      <c r="EE19914" s="287"/>
      <c r="EF19914" s="287"/>
      <c r="EG19914" s="287"/>
      <c r="EH19914" s="287"/>
      <c r="EI19914" s="287"/>
      <c r="EJ19914" s="287"/>
      <c r="EK19914" s="287"/>
      <c r="EL19914" s="287"/>
      <c r="EM19914" s="287"/>
      <c r="EN19914" s="287"/>
      <c r="EO19914" s="287"/>
      <c r="EP19914" s="287"/>
      <c r="EQ19914" s="287"/>
      <c r="ER19914" s="287"/>
      <c r="ES19914" s="287"/>
      <c r="ET19914" s="287"/>
      <c r="EU19914" s="287"/>
      <c r="EV19914" s="287"/>
      <c r="EW19914" s="287"/>
      <c r="EX19914" s="287"/>
      <c r="EY19914" s="287"/>
      <c r="EZ19914" s="287"/>
      <c r="FA19914" s="287"/>
      <c r="FB19914" s="287"/>
      <c r="FC19914" s="287"/>
      <c r="FD19914" s="287"/>
      <c r="FE19914" s="287"/>
      <c r="FF19914" s="287"/>
      <c r="FG19914" s="287"/>
      <c r="FH19914" s="287"/>
      <c r="FI19914" s="287"/>
      <c r="FJ19914" s="287"/>
      <c r="FK19914" s="287"/>
      <c r="FL19914" s="287"/>
      <c r="FM19914" s="287"/>
      <c r="FN19914" s="287"/>
      <c r="FO19914" s="287"/>
      <c r="FP19914" s="287"/>
      <c r="FQ19914" s="287"/>
      <c r="FR19914" s="287"/>
      <c r="FS19914" s="287"/>
      <c r="FT19914" s="287"/>
      <c r="FU19914" s="287"/>
      <c r="FV19914" s="287"/>
      <c r="FW19914" s="287"/>
      <c r="FX19914" s="287"/>
      <c r="FY19914" s="287"/>
      <c r="FZ19914" s="287"/>
      <c r="GA19914" s="287"/>
      <c r="GB19914" s="287"/>
      <c r="GC19914" s="28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6328125" hidden="1"/>
  </cols>
  <sheetData>
    <row r="1" spans="1:9"/>
    <row r="2" spans="1:9" ht="13">
      <c r="A2" s="1293" t="s">
        <v>1105</v>
      </c>
      <c r="B2" s="1293"/>
      <c r="C2" s="1267"/>
      <c r="D2" s="1267"/>
      <c r="E2" s="1267"/>
      <c r="F2" s="1267"/>
      <c r="G2" s="1267"/>
    </row>
    <row r="3" spans="1:9" s="173" customFormat="1" ht="13">
      <c r="A3" s="1293" t="s">
        <v>1042</v>
      </c>
      <c r="B3" s="1293"/>
      <c r="C3" s="1267"/>
      <c r="D3" s="1267"/>
      <c r="E3" s="1267"/>
      <c r="F3" s="1267"/>
      <c r="G3" s="1267"/>
      <c r="I3" t="s">
        <v>309</v>
      </c>
    </row>
    <row r="4" spans="1:9">
      <c r="I4" s="3" t="s">
        <v>1106</v>
      </c>
    </row>
    <row r="5" spans="1:9" ht="13">
      <c r="A5" s="1295" t="s">
        <v>1043</v>
      </c>
      <c r="B5" s="1295"/>
      <c r="C5" s="1267"/>
      <c r="D5" s="1267"/>
      <c r="E5" s="1267"/>
      <c r="F5" s="1267"/>
      <c r="G5" s="1267"/>
      <c r="I5" s="3" t="s">
        <v>1107</v>
      </c>
    </row>
    <row r="6" spans="1:9" ht="13">
      <c r="A6" s="1295" t="s">
        <v>846</v>
      </c>
      <c r="B6" s="1295"/>
      <c r="C6" s="1267"/>
      <c r="D6" s="1267"/>
      <c r="E6" s="1267"/>
      <c r="F6" s="1267"/>
      <c r="G6" s="1267"/>
      <c r="I6" t="s">
        <v>601</v>
      </c>
    </row>
    <row r="7" spans="1:9" ht="11.75" customHeight="1"/>
    <row r="8" spans="1:9" ht="13">
      <c r="A8" s="1293" t="s">
        <v>1202</v>
      </c>
      <c r="B8" s="1293"/>
      <c r="C8" s="1294"/>
      <c r="D8" s="1294"/>
      <c r="E8" s="1294"/>
      <c r="F8" s="1294"/>
      <c r="G8" s="1294"/>
    </row>
    <row r="9" spans="1:9" ht="13">
      <c r="A9" s="1293" t="s">
        <v>1203</v>
      </c>
      <c r="B9" s="1293"/>
      <c r="C9" s="1294"/>
      <c r="D9" s="1294"/>
      <c r="E9" s="1294"/>
      <c r="F9" s="1294"/>
      <c r="G9" s="1294"/>
    </row>
    <row r="10" spans="1:9" ht="13">
      <c r="A10" s="174"/>
      <c r="B10" s="174"/>
      <c r="C10" s="172"/>
      <c r="D10" s="172"/>
      <c r="E10" s="172"/>
      <c r="F10" s="172"/>
    </row>
    <row r="11" spans="1:9" ht="13">
      <c r="A11" s="1274" t="s">
        <v>1205</v>
      </c>
      <c r="B11" s="1274"/>
      <c r="C11" s="1274"/>
      <c r="D11" s="1274"/>
      <c r="E11" s="1274"/>
      <c r="F11" s="1274"/>
      <c r="G11" s="1274"/>
    </row>
    <row r="12" spans="1:9" ht="13">
      <c r="A12" s="172"/>
      <c r="B12" s="172"/>
      <c r="E12" s="2"/>
    </row>
    <row r="13" spans="1:9" ht="13.25" customHeight="1">
      <c r="C13" s="172"/>
      <c r="D13" s="1307" t="s">
        <v>1204</v>
      </c>
      <c r="E13" s="1307"/>
      <c r="F13" s="1307"/>
    </row>
    <row r="14" spans="1:9" ht="13">
      <c r="C14" s="172"/>
      <c r="D14" s="1307"/>
      <c r="E14" s="1307"/>
      <c r="F14" s="1307"/>
    </row>
    <row r="15" spans="1:9" ht="13">
      <c r="A15" s="175"/>
      <c r="B15" s="175"/>
      <c r="C15" s="175"/>
      <c r="D15" s="1270" t="s">
        <v>1187</v>
      </c>
      <c r="E15" s="1270"/>
      <c r="F15" s="1270"/>
    </row>
    <row r="16" spans="1:9" ht="13">
      <c r="A16" s="175"/>
      <c r="B16" s="175"/>
      <c r="C16" s="175"/>
      <c r="D16" s="217"/>
    </row>
    <row r="17" spans="1:6" ht="13">
      <c r="A17" s="176"/>
      <c r="B17" s="460" t="s">
        <v>309</v>
      </c>
      <c r="C17" s="175"/>
      <c r="D17" s="1259" t="s">
        <v>1188</v>
      </c>
      <c r="E17" s="1259"/>
      <c r="F17" s="1259"/>
    </row>
    <row r="18" spans="1:6" ht="13">
      <c r="A18" s="175"/>
      <c r="B18" s="175"/>
      <c r="C18" s="175"/>
      <c r="D18" s="1259"/>
      <c r="E18" s="1259"/>
      <c r="F18" s="1259"/>
    </row>
    <row r="19" spans="1:6" ht="13">
      <c r="A19" s="175"/>
      <c r="B19" s="175"/>
      <c r="C19" s="175"/>
      <c r="D19" s="1259"/>
      <c r="E19" s="1259"/>
      <c r="F19" s="1259"/>
    </row>
    <row r="20" spans="1:6" ht="13">
      <c r="A20" s="175"/>
      <c r="B20" s="175"/>
      <c r="C20" s="175"/>
    </row>
    <row r="21" spans="1:6" ht="13">
      <c r="A21" s="176"/>
      <c r="B21" s="460" t="s">
        <v>309</v>
      </c>
      <c r="D21" s="1302" t="s">
        <v>1189</v>
      </c>
      <c r="E21" s="1302"/>
      <c r="F21" s="1302"/>
    </row>
    <row r="22" spans="1:6" ht="13">
      <c r="A22" s="176"/>
      <c r="B22" s="176"/>
      <c r="D22" s="35"/>
    </row>
    <row r="23" spans="1:6" ht="13">
      <c r="A23" s="176"/>
      <c r="B23" s="460" t="s">
        <v>309</v>
      </c>
      <c r="D23" s="1259" t="s">
        <v>1190</v>
      </c>
      <c r="E23" s="1259"/>
      <c r="F23" s="1259"/>
    </row>
    <row r="24" spans="1:6" ht="13">
      <c r="A24" s="176"/>
      <c r="B24" s="176"/>
      <c r="D24" s="1259"/>
      <c r="E24" s="1259"/>
      <c r="F24" s="1259"/>
    </row>
    <row r="25" spans="1:6"/>
    <row r="26" spans="1:6" ht="13">
      <c r="A26" s="176"/>
      <c r="B26" s="460" t="s">
        <v>309</v>
      </c>
      <c r="D26" s="1259" t="s">
        <v>1191</v>
      </c>
      <c r="E26" s="1259"/>
      <c r="F26" s="1259"/>
    </row>
    <row r="27" spans="1:6">
      <c r="D27" s="1259"/>
      <c r="E27" s="1259"/>
      <c r="F27" s="1259"/>
    </row>
    <row r="28" spans="1:6">
      <c r="D28" s="1259"/>
      <c r="E28" s="1259"/>
      <c r="F28" s="1259"/>
    </row>
    <row r="29" spans="1:6">
      <c r="D29" s="1259"/>
      <c r="E29" s="1259"/>
      <c r="F29" s="1259"/>
    </row>
    <row r="30" spans="1:6">
      <c r="D30" s="1259"/>
      <c r="E30" s="1259"/>
      <c r="F30" s="1259"/>
    </row>
    <row r="31" spans="1:6">
      <c r="D31" s="219"/>
    </row>
    <row r="32" spans="1:6">
      <c r="B32" s="460" t="s">
        <v>309</v>
      </c>
      <c r="D32" s="1259" t="s">
        <v>1192</v>
      </c>
      <c r="E32" s="1259"/>
      <c r="F32" s="1259"/>
    </row>
    <row r="33" spans="1:6">
      <c r="D33" s="1259"/>
      <c r="E33" s="1259"/>
      <c r="F33" s="1259"/>
    </row>
    <row r="34" spans="1:6" ht="13">
      <c r="A34" s="176"/>
      <c r="B34" s="176"/>
      <c r="D34" s="219"/>
    </row>
    <row r="35" spans="1:6" ht="14.75" customHeight="1">
      <c r="A35" s="176"/>
      <c r="B35" s="460" t="s">
        <v>309</v>
      </c>
      <c r="D35" s="1259" t="s">
        <v>1193</v>
      </c>
      <c r="E35" s="1259"/>
      <c r="F35" s="1259"/>
    </row>
    <row r="36" spans="1:6" ht="13">
      <c r="A36" s="176"/>
      <c r="B36" s="176"/>
      <c r="D36" s="1259"/>
      <c r="E36" s="1259"/>
      <c r="F36" s="1259"/>
    </row>
    <row r="37" spans="1:6" ht="13">
      <c r="A37" s="176"/>
      <c r="B37" s="176"/>
      <c r="D37" s="1259"/>
      <c r="E37" s="1259"/>
      <c r="F37" s="1259"/>
    </row>
    <row r="38" spans="1:6" ht="13">
      <c r="A38" s="176"/>
      <c r="B38" s="176"/>
      <c r="D38"/>
    </row>
    <row r="39" spans="1:6" ht="13">
      <c r="A39" s="176"/>
      <c r="B39" s="460" t="s">
        <v>309</v>
      </c>
      <c r="D39" s="1259" t="s">
        <v>1194</v>
      </c>
      <c r="E39" s="1259"/>
      <c r="F39" s="1259"/>
    </row>
    <row r="40" spans="1:6" ht="13">
      <c r="A40" s="176"/>
      <c r="B40" s="176"/>
      <c r="D40" s="1259"/>
      <c r="E40" s="1259"/>
      <c r="F40" s="1259"/>
    </row>
    <row r="41" spans="1:6" ht="13">
      <c r="A41" s="176"/>
      <c r="B41" s="176"/>
      <c r="D41" s="1259"/>
      <c r="E41" s="1259"/>
      <c r="F41" s="1259"/>
    </row>
    <row r="42" spans="1:6" ht="13">
      <c r="A42" s="176"/>
      <c r="B42" s="176"/>
      <c r="D42" s="1259"/>
      <c r="E42" s="1259"/>
      <c r="F42" s="1259"/>
    </row>
    <row r="43" spans="1:6" ht="13">
      <c r="A43" s="176"/>
      <c r="B43" s="176"/>
      <c r="D43" s="1259"/>
      <c r="E43" s="1259"/>
      <c r="F43" s="1259"/>
    </row>
    <row r="44" spans="1:6" ht="13">
      <c r="A44" s="176"/>
      <c r="B44" s="176"/>
      <c r="D44" s="466"/>
      <c r="E44" s="466"/>
      <c r="F44" s="466"/>
    </row>
    <row r="45" spans="1:6" ht="13">
      <c r="A45" s="176"/>
      <c r="B45" s="460" t="s">
        <v>309</v>
      </c>
      <c r="D45" s="1259" t="s">
        <v>1195</v>
      </c>
      <c r="E45" s="1259"/>
      <c r="F45" s="1259"/>
    </row>
    <row r="46" spans="1:6" ht="13">
      <c r="A46" s="176"/>
      <c r="B46" s="176"/>
      <c r="D46" s="1259"/>
      <c r="E46" s="1259"/>
      <c r="F46" s="1259"/>
    </row>
    <row r="47" spans="1:6" ht="13">
      <c r="A47" s="176"/>
      <c r="B47" s="176"/>
      <c r="D47" s="1259"/>
      <c r="E47" s="1259"/>
      <c r="F47" s="1259"/>
    </row>
    <row r="48" spans="1:6" ht="23.25" customHeight="1">
      <c r="A48" s="176"/>
      <c r="B48" s="176"/>
      <c r="D48" s="1259"/>
      <c r="E48" s="1259"/>
      <c r="F48" s="1259"/>
    </row>
    <row r="49" spans="1:7" ht="13">
      <c r="A49" s="176"/>
      <c r="B49" s="176"/>
      <c r="D49" s="35"/>
    </row>
    <row r="50" spans="1:7" ht="14.75" customHeight="1">
      <c r="A50" s="176"/>
      <c r="B50" s="460" t="s">
        <v>309</v>
      </c>
      <c r="D50" s="1259" t="s">
        <v>1196</v>
      </c>
      <c r="E50" s="1259"/>
      <c r="F50" s="1259"/>
    </row>
    <row r="51" spans="1:7" ht="13">
      <c r="A51" s="176"/>
      <c r="B51" s="176"/>
      <c r="D51" s="1259"/>
      <c r="E51" s="1259"/>
      <c r="F51" s="1259"/>
    </row>
    <row r="52" spans="1:7" ht="13">
      <c r="A52" s="176"/>
      <c r="B52" s="176"/>
      <c r="D52" s="1259"/>
      <c r="E52" s="1259"/>
      <c r="F52" s="1259"/>
    </row>
    <row r="53" spans="1:7" ht="13">
      <c r="A53" s="176"/>
      <c r="B53" s="176"/>
      <c r="C53" s="377"/>
      <c r="D53" s="3"/>
      <c r="E53" s="3"/>
      <c r="F53" s="3"/>
      <c r="G53" s="3"/>
    </row>
    <row r="54" spans="1:7" ht="13">
      <c r="A54" s="176"/>
      <c r="B54" s="460" t="s">
        <v>309</v>
      </c>
      <c r="C54" s="377"/>
      <c r="D54" s="1259" t="s">
        <v>1197</v>
      </c>
      <c r="E54" s="1259"/>
      <c r="F54" s="1259"/>
      <c r="G54" s="3"/>
    </row>
    <row r="55" spans="1:7" ht="13">
      <c r="A55" s="176"/>
      <c r="B55" s="176"/>
      <c r="C55" s="377"/>
      <c r="D55" s="1259"/>
      <c r="E55" s="1259"/>
      <c r="F55" s="1259"/>
      <c r="G55" s="3"/>
    </row>
    <row r="56" spans="1:7">
      <c r="D56" s="219"/>
    </row>
    <row r="57" spans="1:7" ht="13">
      <c r="A57" s="176"/>
      <c r="B57" s="460" t="s">
        <v>309</v>
      </c>
      <c r="D57" s="1259" t="s">
        <v>1198</v>
      </c>
      <c r="E57" s="1259"/>
      <c r="F57" s="1259"/>
    </row>
    <row r="58" spans="1:7">
      <c r="D58" s="1259"/>
      <c r="E58" s="1259"/>
      <c r="F58" s="1259"/>
    </row>
    <row r="59" spans="1:7">
      <c r="D59" s="1259"/>
      <c r="E59" s="1259"/>
      <c r="F59" s="1259"/>
    </row>
    <row r="60" spans="1:7">
      <c r="D60" s="3"/>
    </row>
    <row r="61" spans="1:7" ht="13">
      <c r="A61" s="176"/>
      <c r="B61" s="460" t="s">
        <v>309</v>
      </c>
      <c r="D61" s="1259" t="s">
        <v>1199</v>
      </c>
      <c r="E61" s="1259"/>
      <c r="F61" s="1259"/>
    </row>
    <row r="62" spans="1:7">
      <c r="D62" s="1259"/>
      <c r="E62" s="1259"/>
      <c r="F62" s="1259"/>
    </row>
    <row r="63" spans="1:7"/>
    <row r="64" spans="1:7" ht="13">
      <c r="A64" s="176"/>
      <c r="B64" s="460" t="s">
        <v>309</v>
      </c>
      <c r="D64" s="1259" t="s">
        <v>1200</v>
      </c>
      <c r="E64" s="1259"/>
      <c r="F64" s="1259"/>
    </row>
    <row r="65" spans="1:7">
      <c r="D65" s="1259"/>
      <c r="E65" s="1259"/>
      <c r="F65" s="1259"/>
    </row>
    <row r="66" spans="1:7">
      <c r="D66" s="1259"/>
      <c r="E66" s="1259"/>
      <c r="F66" s="1259"/>
    </row>
    <row r="67" spans="1:7">
      <c r="D67"/>
    </row>
    <row r="68" spans="1:7" ht="13">
      <c r="A68" s="176"/>
      <c r="B68" s="460" t="s">
        <v>309</v>
      </c>
      <c r="D68" s="1259" t="s">
        <v>1201</v>
      </c>
      <c r="E68" s="1259"/>
      <c r="F68" s="1259"/>
    </row>
    <row r="69" spans="1:7">
      <c r="D69" s="1259"/>
      <c r="E69" s="1259"/>
      <c r="F69" s="1259"/>
    </row>
    <row r="70" spans="1:7" ht="13">
      <c r="A70" s="176"/>
      <c r="B70" s="176"/>
      <c r="D70" s="35"/>
    </row>
    <row r="71" spans="1:7" ht="13">
      <c r="A71" s="1274" t="s">
        <v>1108</v>
      </c>
      <c r="B71" s="1274"/>
      <c r="C71" s="1274"/>
      <c r="D71" s="1274"/>
      <c r="E71" s="1274"/>
      <c r="F71" s="1274"/>
      <c r="G71" s="1274"/>
    </row>
    <row r="72" spans="1:7"/>
    <row r="73" spans="1:7" ht="13">
      <c r="C73" s="177"/>
      <c r="D73" s="1292" t="s">
        <v>1206</v>
      </c>
      <c r="E73" s="1292"/>
      <c r="F73" s="1292"/>
    </row>
    <row r="74" spans="1:7">
      <c r="A74" s="35"/>
      <c r="B74" s="35"/>
      <c r="D74" s="1259" t="s">
        <v>1233</v>
      </c>
      <c r="E74" s="1259"/>
      <c r="F74" s="1259"/>
    </row>
    <row r="75" spans="1:7">
      <c r="A75" s="35"/>
      <c r="B75" s="35"/>
    </row>
    <row r="76" spans="1:7" ht="13">
      <c r="A76" s="176"/>
      <c r="B76" s="460" t="s">
        <v>309</v>
      </c>
      <c r="D76" s="1259" t="s">
        <v>1207</v>
      </c>
      <c r="E76" s="1259"/>
      <c r="F76" s="1259"/>
    </row>
    <row r="77" spans="1:7" ht="13">
      <c r="A77" s="176"/>
      <c r="B77" s="176"/>
      <c r="D77" s="1259"/>
      <c r="E77" s="1259"/>
      <c r="F77" s="1259"/>
    </row>
    <row r="78" spans="1:7" ht="13">
      <c r="A78" s="176"/>
      <c r="B78" s="176"/>
      <c r="D78" s="1259"/>
      <c r="E78" s="1259"/>
      <c r="F78" s="1259"/>
    </row>
    <row r="79" spans="1:7" ht="13">
      <c r="A79" s="176"/>
      <c r="B79" s="176"/>
      <c r="D79" s="1259"/>
      <c r="E79" s="1259"/>
      <c r="F79" s="1259"/>
    </row>
    <row r="80" spans="1:7" ht="13">
      <c r="A80" s="176"/>
      <c r="B80" s="176"/>
      <c r="D80" s="1259"/>
      <c r="E80" s="1259"/>
      <c r="F80" s="1259"/>
    </row>
    <row r="81" spans="1:6" ht="13">
      <c r="A81" s="176"/>
      <c r="B81" s="176"/>
      <c r="D81" s="1259"/>
      <c r="E81" s="1259"/>
      <c r="F81" s="1259"/>
    </row>
    <row r="82" spans="1:6" ht="13">
      <c r="A82" s="176"/>
      <c r="B82" s="176"/>
      <c r="D82" s="466"/>
      <c r="E82" s="466"/>
      <c r="F82" s="466"/>
    </row>
    <row r="83" spans="1:6" ht="14.75" customHeight="1">
      <c r="A83" s="176"/>
      <c r="B83" s="460" t="s">
        <v>309</v>
      </c>
      <c r="D83" s="1268" t="s">
        <v>1306</v>
      </c>
      <c r="E83" s="1268"/>
      <c r="F83" s="1268"/>
    </row>
    <row r="84" spans="1:6" ht="13">
      <c r="A84" s="176"/>
      <c r="B84" s="176"/>
      <c r="D84" s="1268"/>
      <c r="E84" s="1268"/>
      <c r="F84" s="1268"/>
    </row>
    <row r="85" spans="1:6" ht="13">
      <c r="A85" s="176"/>
      <c r="B85" s="176"/>
      <c r="D85" s="1268"/>
      <c r="E85" s="1268"/>
      <c r="F85" s="1268"/>
    </row>
    <row r="86" spans="1:6" ht="13">
      <c r="A86" s="176"/>
      <c r="B86" s="176"/>
      <c r="D86" s="1268"/>
      <c r="E86" s="1268"/>
      <c r="F86" s="1268"/>
    </row>
    <row r="87" spans="1:6" ht="13">
      <c r="A87" s="176"/>
      <c r="B87" s="176"/>
      <c r="D87" s="1268"/>
      <c r="E87" s="1268"/>
      <c r="F87" s="1268"/>
    </row>
    <row r="88" spans="1:6" ht="13">
      <c r="A88" s="176"/>
      <c r="B88" s="176"/>
      <c r="D88" s="1268"/>
      <c r="E88" s="1268"/>
      <c r="F88" s="1268"/>
    </row>
    <row r="89" spans="1:6" ht="13">
      <c r="A89" s="176"/>
      <c r="B89" s="176"/>
      <c r="D89" s="1268"/>
      <c r="E89" s="1268"/>
      <c r="F89" s="1268"/>
    </row>
    <row r="90" spans="1:6" ht="13">
      <c r="A90" s="176"/>
      <c r="B90" s="176"/>
      <c r="D90" s="1268"/>
      <c r="E90" s="1268"/>
      <c r="F90" s="1268"/>
    </row>
    <row r="91" spans="1:6" ht="13">
      <c r="A91" s="176"/>
      <c r="B91" s="176"/>
      <c r="D91" s="1268"/>
      <c r="E91" s="1268"/>
      <c r="F91" s="1268"/>
    </row>
    <row r="92" spans="1:6" ht="13">
      <c r="A92" s="176"/>
      <c r="B92" s="176"/>
      <c r="D92" s="1268"/>
      <c r="E92" s="1268"/>
      <c r="F92" s="1268"/>
    </row>
    <row r="93" spans="1:6" ht="13">
      <c r="A93" s="176"/>
      <c r="B93" s="176"/>
      <c r="D93" s="1268"/>
      <c r="E93" s="1268"/>
      <c r="F93" s="1268"/>
    </row>
    <row r="94" spans="1:6" ht="13">
      <c r="A94" s="176"/>
      <c r="B94" s="176"/>
      <c r="D94" s="1268"/>
      <c r="E94" s="1268"/>
      <c r="F94" s="1268"/>
    </row>
    <row r="95" spans="1:6" ht="13">
      <c r="A95" s="176"/>
      <c r="B95" s="176"/>
      <c r="D95" s="1268"/>
      <c r="E95" s="1268"/>
      <c r="F95" s="1268"/>
    </row>
    <row r="96" spans="1:6" ht="13">
      <c r="A96" s="176"/>
      <c r="B96" s="176"/>
      <c r="D96" s="1268"/>
      <c r="E96" s="1268"/>
      <c r="F96" s="1268"/>
    </row>
    <row r="97" spans="1:11" ht="13">
      <c r="A97" s="176"/>
      <c r="B97" s="460" t="s">
        <v>309</v>
      </c>
      <c r="D97" s="1259" t="s">
        <v>1208</v>
      </c>
      <c r="E97" s="1259"/>
      <c r="F97" s="1259"/>
    </row>
    <row r="98" spans="1:11" ht="13">
      <c r="A98" s="176"/>
      <c r="B98" s="176"/>
      <c r="D98" s="1259"/>
      <c r="E98" s="1259"/>
      <c r="F98" s="1259"/>
    </row>
    <row r="99" spans="1:11" ht="13">
      <c r="A99" s="176"/>
      <c r="B99" s="176"/>
      <c r="D99" s="1259"/>
      <c r="E99" s="1259"/>
      <c r="F99" s="1259"/>
    </row>
    <row r="100" spans="1:11" ht="13">
      <c r="A100" s="176"/>
      <c r="B100" s="176"/>
      <c r="D100" s="1259"/>
      <c r="E100" s="1259"/>
      <c r="F100" s="1259"/>
    </row>
    <row r="101" spans="1:11" ht="13">
      <c r="A101" s="176"/>
      <c r="B101" s="176"/>
      <c r="D101" s="1259"/>
      <c r="E101" s="1259"/>
      <c r="F101" s="1259"/>
    </row>
    <row r="102" spans="1:11" ht="13">
      <c r="A102" s="176"/>
      <c r="B102" s="176"/>
      <c r="D102" s="1259"/>
      <c r="E102" s="1259"/>
      <c r="F102" s="1259"/>
    </row>
    <row r="103" spans="1:11" ht="13">
      <c r="A103" s="176"/>
      <c r="B103" s="176"/>
      <c r="D103" s="1259"/>
      <c r="E103" s="1259"/>
      <c r="F103" s="1259"/>
    </row>
    <row r="104" spans="1:11" ht="13">
      <c r="A104" s="176"/>
      <c r="B104" s="176"/>
      <c r="D104" s="1259"/>
      <c r="E104" s="1259"/>
      <c r="F104" s="1259"/>
    </row>
    <row r="105" spans="1:11" ht="13">
      <c r="A105" s="176"/>
      <c r="B105" s="176"/>
      <c r="D105" s="466"/>
      <c r="E105" s="466"/>
      <c r="F105" s="466"/>
    </row>
    <row r="106" spans="1:11" ht="13">
      <c r="A106" s="176"/>
      <c r="B106" s="460" t="s">
        <v>309</v>
      </c>
      <c r="C106" s="179"/>
      <c r="D106" s="1296" t="s">
        <v>1209</v>
      </c>
      <c r="E106" s="1296"/>
      <c r="F106" s="1296"/>
      <c r="G106" s="183"/>
      <c r="H106" s="181"/>
      <c r="I106" s="181"/>
      <c r="J106" s="181"/>
      <c r="K106" s="181"/>
    </row>
    <row r="107" spans="1:11" ht="13">
      <c r="A107" s="176"/>
      <c r="B107" s="176"/>
      <c r="C107" s="179"/>
      <c r="D107" s="1296"/>
      <c r="E107" s="1296"/>
      <c r="F107" s="1296"/>
      <c r="G107" s="183"/>
      <c r="H107" s="181"/>
      <c r="I107" s="181"/>
      <c r="J107" s="181"/>
      <c r="K107" s="181"/>
    </row>
    <row r="108" spans="1:11" ht="13">
      <c r="A108" s="176"/>
      <c r="B108" s="176"/>
      <c r="C108" s="179"/>
      <c r="D108" s="1296"/>
      <c r="E108" s="1296"/>
      <c r="F108" s="1296"/>
      <c r="G108" s="183"/>
      <c r="H108" s="181"/>
      <c r="I108" s="181"/>
      <c r="J108" s="181"/>
      <c r="K108" s="181"/>
    </row>
    <row r="109" spans="1:11" ht="13">
      <c r="A109" s="176"/>
      <c r="B109" s="176"/>
      <c r="C109" s="179"/>
      <c r="D109" s="1296"/>
      <c r="E109" s="1296"/>
      <c r="F109" s="1296"/>
      <c r="G109" s="183"/>
      <c r="H109" s="181"/>
      <c r="I109" s="181"/>
      <c r="J109" s="181"/>
      <c r="K109" s="181"/>
    </row>
    <row r="110" spans="1:11" ht="13">
      <c r="A110" s="176"/>
      <c r="B110" s="176"/>
      <c r="C110" s="179"/>
      <c r="D110" s="1296"/>
      <c r="E110" s="1296"/>
      <c r="F110" s="1296"/>
      <c r="G110" s="183"/>
      <c r="H110" s="181"/>
      <c r="I110" s="181"/>
      <c r="J110" s="181"/>
      <c r="K110" s="181"/>
    </row>
    <row r="111" spans="1:11">
      <c r="C111"/>
      <c r="D111" s="1296"/>
      <c r="E111" s="1296"/>
      <c r="F111" s="1296"/>
      <c r="G111"/>
    </row>
    <row r="112" spans="1:11">
      <c r="C112"/>
      <c r="D112" s="1296"/>
      <c r="E112" s="1296"/>
      <c r="F112" s="1296"/>
      <c r="G112"/>
    </row>
    <row r="113" spans="1:7">
      <c r="C113"/>
      <c r="D113" s="321"/>
      <c r="E113"/>
      <c r="F113"/>
      <c r="G113"/>
    </row>
    <row r="114" spans="1:7" ht="13">
      <c r="A114" s="176"/>
      <c r="B114" s="460" t="s">
        <v>309</v>
      </c>
      <c r="C114"/>
      <c r="D114" s="1297" t="s">
        <v>1210</v>
      </c>
      <c r="E114" s="1297"/>
      <c r="F114" s="1297"/>
      <c r="G114"/>
    </row>
    <row r="115" spans="1:7" ht="13">
      <c r="A115" s="176"/>
      <c r="B115" s="176"/>
      <c r="C115"/>
      <c r="D115" s="1297"/>
      <c r="E115" s="1297"/>
      <c r="F115" s="1297"/>
      <c r="G115"/>
    </row>
    <row r="116" spans="1:7"/>
    <row r="117" spans="1:7" ht="13">
      <c r="A117" s="176"/>
      <c r="B117" s="460" t="s">
        <v>309</v>
      </c>
      <c r="D117" s="1259" t="s">
        <v>1211</v>
      </c>
      <c r="E117" s="1259"/>
      <c r="F117" s="1259"/>
    </row>
    <row r="118" spans="1:7">
      <c r="D118" s="1259"/>
      <c r="E118" s="1259"/>
      <c r="F118" s="1259"/>
    </row>
    <row r="119" spans="1:7">
      <c r="D119" s="1259"/>
      <c r="E119" s="1259"/>
      <c r="F119" s="1259"/>
    </row>
    <row r="120" spans="1:7">
      <c r="D120" s="1259"/>
      <c r="E120" s="1259"/>
      <c r="F120" s="1259"/>
    </row>
    <row r="121" spans="1:7">
      <c r="D121" s="1259"/>
      <c r="E121" s="1259"/>
      <c r="F121" s="1259"/>
    </row>
    <row r="122" spans="1:7"/>
    <row r="123" spans="1:7" ht="13">
      <c r="A123" s="176"/>
      <c r="B123" s="460" t="s">
        <v>309</v>
      </c>
      <c r="D123" s="1259" t="s">
        <v>1212</v>
      </c>
      <c r="E123" s="1259"/>
      <c r="F123" s="1259"/>
    </row>
    <row r="124" spans="1:7" s="197" customFormat="1" ht="14" customHeight="1">
      <c r="A124" s="195"/>
      <c r="B124" s="195"/>
      <c r="C124" s="195"/>
      <c r="D124" s="1259"/>
      <c r="E124" s="1259"/>
      <c r="F124" s="1259"/>
      <c r="G124" s="196"/>
    </row>
    <row r="125" spans="1:7" ht="14" customHeight="1">
      <c r="D125" s="1259"/>
      <c r="E125" s="1259"/>
      <c r="F125" s="1259"/>
    </row>
    <row r="126" spans="1:7" ht="14" customHeight="1">
      <c r="D126" s="1259"/>
      <c r="E126" s="1259"/>
      <c r="F126" s="1259"/>
    </row>
    <row r="127" spans="1:7" ht="14" customHeight="1">
      <c r="D127" s="1259"/>
      <c r="E127" s="1259"/>
      <c r="F127" s="1259"/>
    </row>
    <row r="128" spans="1:7" ht="14" customHeight="1">
      <c r="A128" s="248"/>
      <c r="B128" s="248"/>
      <c r="D128" s="1259"/>
      <c r="E128" s="1259"/>
      <c r="F128" s="1259"/>
    </row>
    <row r="129" spans="2:6" ht="14" customHeight="1">
      <c r="D129" s="1259"/>
      <c r="E129" s="1259"/>
      <c r="F129" s="1259"/>
    </row>
    <row r="130" spans="2:6" ht="14" customHeight="1">
      <c r="D130" s="1259"/>
      <c r="E130" s="1259"/>
      <c r="F130" s="1259"/>
    </row>
    <row r="131" spans="2:6" ht="14" customHeight="1">
      <c r="D131" s="1259"/>
      <c r="E131" s="1259"/>
      <c r="F131" s="1259"/>
    </row>
    <row r="132" spans="2:6" ht="14" customHeight="1">
      <c r="D132" s="1259"/>
      <c r="E132" s="1259"/>
      <c r="F132" s="1259"/>
    </row>
    <row r="133" spans="2:6" ht="14" customHeight="1">
      <c r="D133" s="1259"/>
      <c r="E133" s="1259"/>
      <c r="F133" s="1259"/>
    </row>
    <row r="134" spans="2:6" ht="14" customHeight="1">
      <c r="D134" s="1259"/>
      <c r="E134" s="1259"/>
      <c r="F134" s="1259"/>
    </row>
    <row r="135" spans="2:6" ht="14" customHeight="1">
      <c r="D135" s="217"/>
      <c r="E135" s="35"/>
      <c r="F135" s="35"/>
    </row>
    <row r="136" spans="2:6" ht="14" customHeight="1">
      <c r="B136" s="460" t="s">
        <v>309</v>
      </c>
      <c r="D136" s="1259" t="s">
        <v>1320</v>
      </c>
      <c r="E136" s="1259"/>
      <c r="F136" s="1259"/>
    </row>
    <row r="137" spans="2:6" ht="14" customHeight="1">
      <c r="D137" s="1259"/>
      <c r="E137" s="1259"/>
      <c r="F137" s="1259"/>
    </row>
    <row r="138" spans="2:6" ht="14" customHeight="1">
      <c r="D138" s="1259"/>
      <c r="E138" s="1259"/>
      <c r="F138" s="1259"/>
    </row>
    <row r="139" spans="2:6" ht="14" customHeight="1">
      <c r="D139" s="1259"/>
      <c r="E139" s="1259"/>
      <c r="F139" s="1259"/>
    </row>
    <row r="140" spans="2:6" ht="14" customHeight="1">
      <c r="D140" s="1259"/>
      <c r="E140" s="1259"/>
      <c r="F140" s="1259"/>
    </row>
    <row r="141" spans="2:6" ht="14" customHeight="1">
      <c r="D141" s="1259"/>
      <c r="E141" s="1259"/>
      <c r="F141" s="1259"/>
    </row>
    <row r="142" spans="2:6" ht="14" customHeight="1">
      <c r="D142" s="1259"/>
      <c r="E142" s="1259"/>
      <c r="F142" s="1259"/>
    </row>
    <row r="143" spans="2:6" ht="14" customHeight="1">
      <c r="D143" s="1259"/>
      <c r="E143" s="1259"/>
      <c r="F143" s="1259"/>
    </row>
    <row r="144" spans="2:6" ht="14" customHeight="1">
      <c r="D144" s="1259"/>
      <c r="E144" s="1259"/>
      <c r="F144" s="1259"/>
    </row>
    <row r="145" spans="1:7" ht="14" customHeight="1">
      <c r="D145" s="1259"/>
      <c r="E145" s="1259"/>
      <c r="F145" s="1259"/>
    </row>
    <row r="146" spans="1:7" ht="14" customHeight="1">
      <c r="D146" s="1259"/>
      <c r="E146" s="1259"/>
      <c r="F146" s="1259"/>
    </row>
    <row r="147" spans="1:7" ht="14" customHeight="1">
      <c r="D147" s="1259"/>
      <c r="E147" s="1259"/>
      <c r="F147" s="1259"/>
    </row>
    <row r="148" spans="1:7" ht="14" customHeight="1">
      <c r="D148" s="1259"/>
      <c r="E148" s="1259"/>
      <c r="F148" s="1259"/>
    </row>
    <row r="149" spans="1:7" ht="14" customHeight="1">
      <c r="D149" s="1259"/>
      <c r="E149" s="1259"/>
      <c r="F149" s="1259"/>
    </row>
    <row r="150" spans="1:7" ht="14" customHeight="1">
      <c r="D150" s="1259"/>
      <c r="E150" s="1259"/>
      <c r="F150" s="1259"/>
    </row>
    <row r="151" spans="1:7" ht="14" customHeight="1">
      <c r="D151" s="1259"/>
      <c r="E151" s="1259"/>
      <c r="F151" s="1259"/>
    </row>
    <row r="152" spans="1:7" ht="14" customHeight="1">
      <c r="D152" s="1259"/>
      <c r="E152" s="1259"/>
      <c r="F152" s="1259"/>
    </row>
    <row r="153" spans="1:7" ht="14" customHeight="1">
      <c r="D153" s="1259"/>
      <c r="E153" s="1259"/>
      <c r="F153" s="1259"/>
    </row>
    <row r="154" spans="1:7" ht="14" customHeight="1">
      <c r="D154" s="1259"/>
      <c r="E154" s="1259"/>
      <c r="F154" s="1259"/>
    </row>
    <row r="155" spans="1:7" ht="14" customHeight="1">
      <c r="D155" s="217"/>
      <c r="E155" s="35"/>
      <c r="F155" s="35"/>
    </row>
    <row r="156" spans="1:7" ht="14" customHeight="1">
      <c r="A156" s="248"/>
      <c r="B156" s="460" t="s">
        <v>309</v>
      </c>
      <c r="C156" s="217"/>
      <c r="D156" s="1268" t="s">
        <v>1213</v>
      </c>
      <c r="E156" s="1268"/>
      <c r="F156" s="1268"/>
      <c r="G156" s="217"/>
    </row>
    <row r="157" spans="1:7" ht="14" customHeight="1">
      <c r="A157" s="248"/>
      <c r="B157" s="248"/>
      <c r="C157" s="217"/>
      <c r="D157" s="1268"/>
      <c r="E157" s="1268"/>
      <c r="F157" s="1268"/>
      <c r="G157" s="217"/>
    </row>
    <row r="158" spans="1:7" ht="14" customHeight="1">
      <c r="A158" s="248"/>
      <c r="B158" s="248"/>
      <c r="C158" s="217"/>
      <c r="D158" s="217"/>
      <c r="E158" s="217"/>
      <c r="F158" s="217"/>
      <c r="G158" s="217"/>
    </row>
    <row r="159" spans="1:7" ht="14" customHeight="1">
      <c r="A159" s="248"/>
      <c r="B159" s="460" t="s">
        <v>309</v>
      </c>
      <c r="C159" s="217"/>
      <c r="D159" s="1268" t="s">
        <v>1214</v>
      </c>
      <c r="E159" s="1268"/>
      <c r="F159" s="1268"/>
      <c r="G159" s="217"/>
    </row>
    <row r="160" spans="1:7" ht="14" customHeight="1">
      <c r="A160" s="248"/>
      <c r="B160" s="248"/>
      <c r="C160" s="217"/>
      <c r="D160" s="1268"/>
      <c r="E160" s="1268"/>
      <c r="F160" s="1268"/>
      <c r="G160" s="217"/>
    </row>
    <row r="161" spans="1:7" ht="14" customHeight="1">
      <c r="A161" s="248"/>
      <c r="B161" s="248"/>
      <c r="C161" s="217"/>
      <c r="D161" s="1268"/>
      <c r="E161" s="1268"/>
      <c r="F161" s="1268"/>
      <c r="G161" s="217"/>
    </row>
    <row r="162" spans="1:7" ht="14" customHeight="1">
      <c r="A162" s="248"/>
      <c r="B162" s="248"/>
      <c r="C162" s="217"/>
      <c r="D162" s="1268"/>
      <c r="E162" s="1268"/>
      <c r="F162" s="1268"/>
      <c r="G162" s="217"/>
    </row>
    <row r="163" spans="1:7" ht="14" customHeight="1">
      <c r="D163" s="35"/>
      <c r="E163" s="35"/>
      <c r="F163" s="35"/>
    </row>
    <row r="164" spans="1:7" ht="14" customHeight="1">
      <c r="B164" s="460" t="s">
        <v>309</v>
      </c>
      <c r="D164" s="1273" t="s">
        <v>1215</v>
      </c>
      <c r="E164" s="1273"/>
      <c r="F164" s="1273"/>
    </row>
    <row r="165" spans="1:7" ht="14" customHeight="1">
      <c r="D165" s="1273"/>
      <c r="E165" s="1273"/>
      <c r="F165" s="1273"/>
    </row>
    <row r="166" spans="1:7" ht="14" customHeight="1">
      <c r="D166" s="1273"/>
      <c r="E166" s="1273"/>
      <c r="F166" s="1273"/>
    </row>
    <row r="167" spans="1:7" ht="14" customHeight="1">
      <c r="A167" s="13"/>
      <c r="B167" s="13"/>
      <c r="E167" s="35"/>
      <c r="F167" s="35"/>
    </row>
    <row r="168" spans="1:7" ht="13">
      <c r="A168" s="1274" t="s">
        <v>1109</v>
      </c>
      <c r="B168" s="1274"/>
      <c r="C168" s="1274"/>
      <c r="D168" s="1274"/>
      <c r="E168" s="1274"/>
      <c r="F168" s="1274"/>
      <c r="G168" s="1274"/>
    </row>
    <row r="169" spans="1:7" ht="12" customHeight="1">
      <c r="D169" s="35"/>
      <c r="E169" s="35"/>
      <c r="F169" s="35"/>
    </row>
    <row r="170" spans="1:7">
      <c r="B170" s="1291" t="s">
        <v>450</v>
      </c>
      <c r="C170" s="1291"/>
      <c r="D170" s="1291"/>
      <c r="E170" s="1291"/>
      <c r="F170" s="1291"/>
    </row>
    <row r="171" spans="1:7" ht="12" customHeight="1">
      <c r="A171" s="172"/>
      <c r="B171" s="172"/>
      <c r="C171" s="172"/>
    </row>
    <row r="172" spans="1:7" ht="13">
      <c r="A172" s="1274" t="s">
        <v>1110</v>
      </c>
      <c r="B172" s="1274"/>
      <c r="C172" s="1274"/>
      <c r="D172" s="1274"/>
      <c r="E172" s="1274"/>
      <c r="F172" s="1274"/>
      <c r="G172" s="1274"/>
    </row>
    <row r="173" spans="1:7" ht="12" customHeight="1">
      <c r="A173" s="2"/>
      <c r="B173" s="2"/>
      <c r="E173" s="2"/>
    </row>
    <row r="174" spans="1:7" ht="13.25" customHeight="1">
      <c r="A174" s="2"/>
      <c r="B174" s="2"/>
      <c r="D174" s="1288" t="s">
        <v>1218</v>
      </c>
      <c r="E174" s="1288"/>
      <c r="F174" s="1288"/>
    </row>
    <row r="175" spans="1:7" ht="13">
      <c r="A175" s="2"/>
      <c r="B175" s="2"/>
      <c r="D175" s="1288"/>
      <c r="E175" s="1288"/>
      <c r="F175" s="1288"/>
    </row>
    <row r="176" spans="1:7" ht="13">
      <c r="A176" s="2"/>
      <c r="B176" s="2"/>
      <c r="D176" s="1289" t="s">
        <v>1219</v>
      </c>
      <c r="E176" s="1289"/>
      <c r="F176" s="1289"/>
    </row>
    <row r="177" spans="1:7" ht="12" customHeight="1">
      <c r="A177" s="2"/>
      <c r="B177" s="2"/>
      <c r="E177" s="2"/>
    </row>
    <row r="178" spans="1:7" ht="13">
      <c r="A178" s="176"/>
      <c r="B178" s="460" t="s">
        <v>309</v>
      </c>
      <c r="D178" s="1286" t="s">
        <v>1217</v>
      </c>
      <c r="E178" s="1286"/>
      <c r="F178" s="1286"/>
    </row>
    <row r="179" spans="1:7" ht="13">
      <c r="A179" s="176"/>
      <c r="B179" s="176"/>
      <c r="D179" s="1286"/>
      <c r="E179" s="1286"/>
      <c r="F179" s="1286"/>
    </row>
    <row r="180" spans="1:7" ht="13">
      <c r="A180" s="176"/>
      <c r="B180" s="176"/>
      <c r="D180" s="1286"/>
      <c r="E180" s="1286"/>
      <c r="F180" s="1286"/>
    </row>
    <row r="181" spans="1:7">
      <c r="D181" s="1286"/>
      <c r="E181" s="1286"/>
      <c r="F181" s="1286"/>
    </row>
    <row r="182" spans="1:7">
      <c r="D182" s="219"/>
    </row>
    <row r="183" spans="1:7">
      <c r="D183" s="1290" t="s">
        <v>1126</v>
      </c>
      <c r="E183" s="1290"/>
      <c r="F183" s="1290"/>
    </row>
    <row r="184" spans="1:7">
      <c r="D184" s="1290"/>
      <c r="E184" s="1290"/>
      <c r="F184" s="1290"/>
    </row>
    <row r="185" spans="1:7">
      <c r="D185" s="467"/>
      <c r="E185" s="467"/>
      <c r="F185" s="467"/>
    </row>
    <row r="186" spans="1:7" ht="13">
      <c r="A186" s="176"/>
      <c r="B186" s="460" t="s">
        <v>309</v>
      </c>
      <c r="C186" s="377"/>
      <c r="D186" s="1259" t="s">
        <v>1216</v>
      </c>
      <c r="E186" s="1259"/>
      <c r="F186" s="1259"/>
      <c r="G186" s="3"/>
    </row>
    <row r="187" spans="1:7" ht="14.75" customHeight="1">
      <c r="A187" s="176"/>
      <c r="B187"/>
      <c r="C187" s="377"/>
      <c r="D187" s="1259"/>
      <c r="E187" s="1259"/>
      <c r="F187" s="1259"/>
      <c r="G187" s="3"/>
    </row>
    <row r="188" spans="1:7" ht="13">
      <c r="A188" s="176"/>
      <c r="B188" s="377"/>
      <c r="C188" s="377"/>
      <c r="D188" s="1259"/>
      <c r="E188" s="1259"/>
      <c r="F188" s="1259"/>
      <c r="G188" s="3"/>
    </row>
    <row r="189" spans="1:7" ht="13">
      <c r="A189" s="176"/>
      <c r="B189" s="377"/>
      <c r="C189" s="377"/>
      <c r="D189" s="1259"/>
      <c r="E189" s="1259"/>
      <c r="F189" s="1259"/>
      <c r="G189" s="3"/>
    </row>
    <row r="190" spans="1:7">
      <c r="D190" s="467"/>
      <c r="E190" s="467"/>
      <c r="F190" s="467"/>
    </row>
    <row r="191" spans="1:7" ht="13">
      <c r="A191" s="1274" t="s">
        <v>1111</v>
      </c>
      <c r="B191" s="1274"/>
      <c r="C191" s="1274"/>
      <c r="D191" s="1274"/>
      <c r="E191" s="1274"/>
      <c r="F191" s="1274"/>
      <c r="G191" s="1274"/>
    </row>
    <row r="192" spans="1:7" ht="12" customHeight="1">
      <c r="D192" s="35"/>
      <c r="E192" s="35"/>
      <c r="F192" s="35"/>
    </row>
    <row r="193" spans="1:6" ht="13">
      <c r="C193" s="177"/>
      <c r="D193" s="1275" t="s">
        <v>210</v>
      </c>
      <c r="E193" s="1275"/>
      <c r="F193" s="1275"/>
    </row>
    <row r="194" spans="1:6" ht="13">
      <c r="A194" s="172"/>
      <c r="B194" s="172"/>
      <c r="C194" s="172"/>
      <c r="D194" s="1270" t="s">
        <v>1240</v>
      </c>
      <c r="E194" s="1278"/>
      <c r="F194" s="1278"/>
    </row>
    <row r="195" spans="1:6" ht="12" customHeight="1">
      <c r="A195" s="13"/>
      <c r="B195" s="13"/>
      <c r="C195" s="13"/>
    </row>
    <row r="196" spans="1:6" ht="13.25" customHeight="1">
      <c r="A196" s="13"/>
      <c r="C196" s="13"/>
      <c r="D196" s="1275" t="s">
        <v>556</v>
      </c>
      <c r="E196" s="1275"/>
      <c r="F196" s="1275"/>
    </row>
    <row r="197" spans="1:6" ht="13">
      <c r="A197" s="176"/>
      <c r="B197" s="460" t="s">
        <v>309</v>
      </c>
      <c r="D197" s="1259" t="s">
        <v>1234</v>
      </c>
      <c r="E197" s="1259"/>
      <c r="F197" s="1259"/>
    </row>
    <row r="198" spans="1:6" ht="13">
      <c r="A198" s="176"/>
      <c r="B198" s="176"/>
      <c r="D198" s="1259"/>
      <c r="E198" s="1259"/>
      <c r="F198" s="1259"/>
    </row>
    <row r="199" spans="1:6"/>
    <row r="200" spans="1:6" ht="13">
      <c r="A200" s="176"/>
      <c r="B200" s="460" t="s">
        <v>309</v>
      </c>
      <c r="D200" s="1259" t="s">
        <v>1235</v>
      </c>
      <c r="E200" s="1259"/>
      <c r="F200" s="1259"/>
    </row>
    <row r="201" spans="1:6" ht="13">
      <c r="A201" s="176"/>
      <c r="B201" s="176"/>
      <c r="D201" s="1259"/>
      <c r="E201" s="1259"/>
      <c r="F201" s="1259"/>
    </row>
    <row r="202" spans="1:6" ht="13">
      <c r="A202" s="176"/>
      <c r="B202" s="176"/>
      <c r="D202" s="1259"/>
      <c r="E202" s="1259"/>
      <c r="F202" s="1259"/>
    </row>
    <row r="203" spans="1:6" ht="5" customHeight="1">
      <c r="A203" s="176"/>
      <c r="B203" s="176"/>
      <c r="D203" s="35"/>
      <c r="E203" s="35"/>
      <c r="F203" s="35"/>
    </row>
    <row r="204" spans="1:6" ht="13">
      <c r="A204" s="176"/>
      <c r="B204" s="176"/>
      <c r="D204" s="1259" t="s">
        <v>1236</v>
      </c>
      <c r="E204" s="1259"/>
      <c r="F204" s="1259"/>
    </row>
    <row r="205" spans="1:6" ht="13">
      <c r="A205" s="176"/>
      <c r="B205" s="176"/>
      <c r="D205" s="1259"/>
      <c r="E205" s="1259"/>
      <c r="F205" s="1259"/>
    </row>
    <row r="206" spans="1:6" ht="13">
      <c r="A206" s="176"/>
      <c r="B206" s="176"/>
      <c r="D206" s="1259"/>
      <c r="E206" s="1259"/>
      <c r="F206" s="1259"/>
    </row>
    <row r="207" spans="1:6" ht="13">
      <c r="A207" s="176"/>
      <c r="B207" s="176"/>
      <c r="D207" s="1259"/>
      <c r="E207" s="1259"/>
      <c r="F207" s="1259"/>
    </row>
    <row r="208" spans="1:6" ht="13">
      <c r="A208" s="176"/>
      <c r="B208" s="176"/>
      <c r="D208" s="1259"/>
      <c r="E208" s="1259"/>
      <c r="F208" s="1259"/>
    </row>
    <row r="209" spans="1:7" ht="13">
      <c r="A209" s="176"/>
      <c r="B209" s="176"/>
      <c r="D209" s="35"/>
      <c r="E209" s="35"/>
      <c r="F209" s="35"/>
    </row>
    <row r="210" spans="1:7" ht="13">
      <c r="A210" s="176"/>
      <c r="B210" s="460" t="s">
        <v>309</v>
      </c>
      <c r="D210" s="1259" t="s">
        <v>1237</v>
      </c>
      <c r="E210" s="1259"/>
      <c r="F210" s="1259"/>
    </row>
    <row r="211" spans="1:7" ht="13">
      <c r="A211" s="176"/>
      <c r="B211" s="176"/>
      <c r="D211" s="1259"/>
      <c r="E211" s="1259"/>
      <c r="F211" s="1259"/>
    </row>
    <row r="212" spans="1:7" ht="13">
      <c r="A212" s="176"/>
      <c r="B212" s="176"/>
      <c r="D212" s="1291" t="s">
        <v>928</v>
      </c>
      <c r="E212" s="1291"/>
      <c r="F212" s="1291"/>
    </row>
    <row r="213" spans="1:7" ht="13">
      <c r="A213" s="176"/>
      <c r="B213" s="176"/>
      <c r="D213" s="35"/>
      <c r="E213" s="35"/>
      <c r="F213" s="35"/>
    </row>
    <row r="214" spans="1:7" ht="14.75" customHeight="1">
      <c r="A214" s="176"/>
      <c r="B214" s="460" t="s">
        <v>309</v>
      </c>
      <c r="D214" s="1259" t="s">
        <v>1239</v>
      </c>
      <c r="E214" s="1259"/>
      <c r="F214" s="1259"/>
    </row>
    <row r="215" spans="1:7" ht="13">
      <c r="A215" s="176"/>
      <c r="B215" s="176"/>
      <c r="D215" s="1259"/>
      <c r="E215" s="1259"/>
      <c r="F215" s="1259"/>
    </row>
    <row r="216" spans="1:7" ht="13">
      <c r="A216" s="176"/>
      <c r="B216" s="176"/>
      <c r="D216" s="1259"/>
      <c r="E216" s="1259"/>
      <c r="F216" s="1259"/>
    </row>
    <row r="217" spans="1:7" ht="13">
      <c r="A217" s="176"/>
      <c r="B217" s="176"/>
      <c r="D217" s="1259"/>
      <c r="E217" s="1259"/>
      <c r="F217" s="1259"/>
    </row>
    <row r="218" spans="1:7" ht="13">
      <c r="A218" s="176"/>
      <c r="B218" s="176"/>
      <c r="D218" s="1259"/>
      <c r="E218" s="1259"/>
      <c r="F218" s="1259"/>
    </row>
    <row r="219" spans="1:7">
      <c r="D219" s="35"/>
      <c r="E219" s="35"/>
      <c r="F219" s="35"/>
    </row>
    <row r="220" spans="1:7" ht="13">
      <c r="A220" s="176"/>
      <c r="B220" s="460" t="s">
        <v>309</v>
      </c>
      <c r="D220" s="1259" t="s">
        <v>1238</v>
      </c>
      <c r="E220" s="1259"/>
      <c r="F220" s="1259"/>
    </row>
    <row r="221" spans="1:7" ht="13">
      <c r="A221" s="176"/>
      <c r="B221" s="176"/>
      <c r="D221" s="1259"/>
      <c r="E221" s="1259"/>
      <c r="F221" s="1259"/>
    </row>
    <row r="222" spans="1:7">
      <c r="D222" s="19"/>
    </row>
    <row r="223" spans="1:7" ht="13">
      <c r="A223" s="1274" t="s">
        <v>1112</v>
      </c>
      <c r="B223" s="1274"/>
      <c r="C223" s="1274"/>
      <c r="D223" s="1274"/>
      <c r="E223" s="1274"/>
      <c r="F223" s="1274"/>
      <c r="G223" s="1274"/>
    </row>
    <row r="224" spans="1:7">
      <c r="D224" s="19"/>
    </row>
    <row r="225" spans="1:6" ht="13">
      <c r="C225" s="177"/>
      <c r="D225" s="1275" t="s">
        <v>1241</v>
      </c>
      <c r="E225" s="1275"/>
      <c r="F225" s="1275"/>
    </row>
    <row r="226" spans="1:6" ht="13">
      <c r="A226" s="172"/>
      <c r="B226" s="172"/>
      <c r="C226" s="172"/>
      <c r="D226" s="35"/>
      <c r="E226" s="35"/>
      <c r="F226" s="35"/>
    </row>
    <row r="227" spans="1:6" ht="13">
      <c r="A227" s="175"/>
      <c r="B227" s="175"/>
      <c r="C227" s="175"/>
      <c r="D227" s="1275" t="s">
        <v>271</v>
      </c>
      <c r="E227" s="1275"/>
      <c r="F227" s="1275"/>
    </row>
    <row r="228" spans="1:6" ht="13">
      <c r="A228" s="176"/>
      <c r="B228" s="460" t="s">
        <v>309</v>
      </c>
      <c r="D228" s="1277" t="s">
        <v>1242</v>
      </c>
      <c r="E228" s="1277"/>
      <c r="F228" s="1277"/>
    </row>
    <row r="229" spans="1:6" ht="13">
      <c r="A229" s="176"/>
      <c r="B229" s="176"/>
      <c r="D229" s="1277"/>
      <c r="E229" s="1277"/>
      <c r="F229" s="1277"/>
    </row>
    <row r="230" spans="1:6">
      <c r="D230" s="35"/>
      <c r="E230" s="35"/>
      <c r="F230" s="35"/>
    </row>
    <row r="231" spans="1:6" ht="14.75" customHeight="1">
      <c r="A231" s="176"/>
      <c r="B231" s="460" t="s">
        <v>309</v>
      </c>
      <c r="D231" s="1259" t="s">
        <v>1243</v>
      </c>
      <c r="E231" s="1259"/>
      <c r="F231" s="1259"/>
    </row>
    <row r="232" spans="1:6">
      <c r="D232" s="1259"/>
      <c r="E232" s="1259"/>
      <c r="F232" s="1259"/>
    </row>
    <row r="233" spans="1:6" ht="13">
      <c r="D233" s="1278" t="s">
        <v>919</v>
      </c>
      <c r="E233" s="1278"/>
      <c r="F233" s="1278"/>
    </row>
    <row r="234" spans="1:6">
      <c r="D234" s="35"/>
      <c r="E234" s="35"/>
      <c r="F234" s="35"/>
    </row>
    <row r="235" spans="1:6" ht="14.75" customHeight="1">
      <c r="A235" s="176"/>
      <c r="B235" s="460" t="s">
        <v>309</v>
      </c>
      <c r="D235" s="1259" t="s">
        <v>1245</v>
      </c>
      <c r="E235" s="1259"/>
      <c r="F235" s="1259"/>
    </row>
    <row r="236" spans="1:6">
      <c r="D236" s="1259"/>
      <c r="E236" s="1259"/>
      <c r="F236" s="1259"/>
    </row>
    <row r="237" spans="1:6">
      <c r="D237" s="1259"/>
      <c r="E237" s="1259"/>
      <c r="F237" s="1259"/>
    </row>
    <row r="238" spans="1:6">
      <c r="D238" s="1259"/>
      <c r="E238" s="1259"/>
      <c r="F238" s="1259"/>
    </row>
    <row r="239" spans="1:6">
      <c r="D239" s="1259"/>
      <c r="E239" s="1259"/>
      <c r="F239" s="1259"/>
    </row>
    <row r="240" spans="1:6">
      <c r="D240" s="35"/>
      <c r="E240" s="35"/>
      <c r="F240" s="35"/>
    </row>
    <row r="241" spans="1:7" ht="13">
      <c r="A241" s="176"/>
      <c r="B241" s="460" t="s">
        <v>309</v>
      </c>
      <c r="D241" s="1259" t="s">
        <v>1244</v>
      </c>
      <c r="E241" s="1259"/>
      <c r="F241" s="1259"/>
    </row>
    <row r="242" spans="1:7">
      <c r="D242" s="1259"/>
      <c r="E242" s="1259"/>
      <c r="F242" s="1259"/>
    </row>
    <row r="243" spans="1:7">
      <c r="D243" s="1259"/>
      <c r="E243" s="1259"/>
      <c r="F243" s="1259"/>
    </row>
    <row r="244" spans="1:7">
      <c r="D244" s="178"/>
      <c r="E244" s="35"/>
      <c r="F244" s="35"/>
    </row>
    <row r="245" spans="1:7" ht="13">
      <c r="A245" s="1274" t="s">
        <v>1113</v>
      </c>
      <c r="B245" s="1274"/>
      <c r="C245" s="1274"/>
      <c r="D245" s="1274"/>
      <c r="E245" s="1274"/>
      <c r="F245" s="1274"/>
      <c r="G245" s="1274"/>
    </row>
    <row r="246" spans="1:7">
      <c r="D246" s="178"/>
      <c r="E246" s="35"/>
      <c r="F246" s="35"/>
    </row>
    <row r="247" spans="1:7" ht="13">
      <c r="C247" s="172"/>
      <c r="D247" s="1292" t="s">
        <v>1246</v>
      </c>
      <c r="E247" s="1292"/>
      <c r="F247" s="1292"/>
    </row>
    <row r="248" spans="1:7" ht="13">
      <c r="C248" s="172"/>
      <c r="D248" s="1292"/>
      <c r="E248" s="1292"/>
      <c r="F248" s="1292"/>
    </row>
    <row r="249" spans="1:7" ht="13">
      <c r="A249" s="175"/>
      <c r="B249" s="175"/>
      <c r="C249" s="175"/>
      <c r="D249" s="2"/>
      <c r="E249" s="3"/>
      <c r="F249" s="3"/>
    </row>
    <row r="250" spans="1:7" ht="13">
      <c r="C250" s="175"/>
      <c r="D250" s="1275" t="s">
        <v>211</v>
      </c>
      <c r="E250" s="1275"/>
      <c r="F250" s="1275"/>
    </row>
    <row r="251" spans="1:7" ht="15.75" customHeight="1">
      <c r="A251" s="176"/>
      <c r="B251" s="176"/>
      <c r="D251" s="1281" t="s">
        <v>1247</v>
      </c>
      <c r="E251" s="1281"/>
      <c r="F251" s="1281"/>
    </row>
    <row r="252" spans="1:7">
      <c r="E252" s="35"/>
      <c r="F252" s="35"/>
    </row>
    <row r="253" spans="1:7" ht="13">
      <c r="A253" s="176"/>
      <c r="B253" s="460" t="s">
        <v>309</v>
      </c>
      <c r="D253" s="1259" t="s">
        <v>1248</v>
      </c>
      <c r="E253" s="1259"/>
      <c r="F253" s="1259"/>
    </row>
    <row r="254" spans="1:7" ht="13">
      <c r="A254" s="176"/>
      <c r="B254" s="176"/>
      <c r="D254" s="1259"/>
      <c r="E254" s="1259"/>
      <c r="F254" s="1259"/>
    </row>
    <row r="255" spans="1:7">
      <c r="D255" s="35"/>
      <c r="E255" s="35"/>
      <c r="F255" s="35"/>
    </row>
    <row r="256" spans="1:7" ht="13">
      <c r="A256" s="176"/>
      <c r="B256" s="460" t="s">
        <v>309</v>
      </c>
      <c r="D256" s="1259" t="s">
        <v>1249</v>
      </c>
      <c r="E256" s="1259"/>
      <c r="F256" s="1259"/>
    </row>
    <row r="257" spans="1:7" ht="13">
      <c r="A257" s="176"/>
      <c r="B257" s="176"/>
      <c r="D257" s="1259"/>
      <c r="E257" s="1259"/>
      <c r="F257" s="1259"/>
    </row>
    <row r="258" spans="1:7" ht="13">
      <c r="A258" s="176"/>
      <c r="B258" s="176"/>
      <c r="D258" s="1259"/>
      <c r="E258" s="1259"/>
      <c r="F258" s="1259"/>
    </row>
    <row r="259" spans="1:7">
      <c r="D259" s="35"/>
      <c r="E259" s="35"/>
      <c r="F259" s="35"/>
    </row>
    <row r="260" spans="1:7" ht="13">
      <c r="A260" s="176"/>
      <c r="B260" s="460" t="s">
        <v>309</v>
      </c>
      <c r="D260" s="1259" t="s">
        <v>1250</v>
      </c>
      <c r="E260" s="1259"/>
      <c r="F260" s="1259"/>
    </row>
    <row r="261" spans="1:7" ht="13">
      <c r="A261" s="176"/>
      <c r="B261" s="176"/>
      <c r="D261" s="1259"/>
      <c r="E261" s="1259"/>
      <c r="F261" s="1259"/>
    </row>
    <row r="262" spans="1:7" ht="13">
      <c r="A262" s="13"/>
      <c r="B262" s="13"/>
      <c r="E262" s="35"/>
      <c r="F262" s="35"/>
    </row>
    <row r="263" spans="1:7" ht="13">
      <c r="A263" s="1274" t="s">
        <v>1114</v>
      </c>
      <c r="B263" s="1274"/>
      <c r="C263" s="1274"/>
      <c r="D263" s="1274"/>
      <c r="E263" s="1274"/>
      <c r="F263" s="1274"/>
      <c r="G263" s="1274"/>
    </row>
    <row r="264" spans="1:7" ht="13">
      <c r="A264" s="13"/>
      <c r="B264" s="13"/>
      <c r="D264" s="35"/>
      <c r="E264" s="35"/>
      <c r="F264" s="35"/>
    </row>
    <row r="265" spans="1:7" ht="13">
      <c r="C265" s="13"/>
      <c r="D265" s="1275" t="s">
        <v>692</v>
      </c>
      <c r="E265" s="1275"/>
      <c r="F265" s="1275"/>
    </row>
    <row r="266" spans="1:7" ht="13">
      <c r="C266" s="13"/>
      <c r="D266" s="1270" t="s">
        <v>1251</v>
      </c>
      <c r="E266" s="1270"/>
      <c r="F266" s="1270"/>
    </row>
    <row r="267" spans="1:7" ht="13">
      <c r="C267" s="13"/>
      <c r="D267" s="173"/>
    </row>
    <row r="268" spans="1:7">
      <c r="B268" s="460" t="s">
        <v>309</v>
      </c>
      <c r="D268" s="1270" t="s">
        <v>1252</v>
      </c>
      <c r="E268" s="1270"/>
      <c r="F268" s="1270"/>
    </row>
    <row r="269" spans="1:7" ht="13">
      <c r="A269" s="176"/>
      <c r="B269" s="176"/>
      <c r="D269" s="333"/>
      <c r="E269" s="334"/>
      <c r="F269" s="334"/>
    </row>
    <row r="270" spans="1:7" ht="13.25" customHeight="1">
      <c r="B270" s="460" t="s">
        <v>309</v>
      </c>
      <c r="D270" s="1279" t="s">
        <v>1253</v>
      </c>
      <c r="E270" s="1279"/>
      <c r="F270" s="1279"/>
    </row>
    <row r="271" spans="1:7" ht="13">
      <c r="A271" s="176"/>
      <c r="B271" s="176"/>
      <c r="D271" s="1279"/>
      <c r="E271" s="1279"/>
      <c r="F271" s="1279"/>
    </row>
    <row r="272" spans="1:7" ht="13">
      <c r="A272" s="176"/>
      <c r="B272" s="176"/>
      <c r="D272" s="1279"/>
      <c r="E272" s="1279"/>
      <c r="F272" s="1279"/>
    </row>
    <row r="273" spans="1:6" ht="13">
      <c r="A273" s="176"/>
      <c r="B273" s="176"/>
      <c r="D273" s="1279"/>
      <c r="E273" s="1279"/>
      <c r="F273" s="1279"/>
    </row>
    <row r="274" spans="1:6" ht="13">
      <c r="A274" s="176"/>
      <c r="B274" s="176"/>
      <c r="D274" s="1279"/>
      <c r="E274" s="1279"/>
      <c r="F274" s="1279"/>
    </row>
    <row r="275" spans="1:6" ht="13">
      <c r="A275" s="176"/>
      <c r="B275" s="176"/>
      <c r="D275" s="333"/>
      <c r="E275" s="334"/>
      <c r="F275" s="334"/>
    </row>
    <row r="276" spans="1:6" ht="13.25" customHeight="1">
      <c r="B276" s="460" t="s">
        <v>309</v>
      </c>
      <c r="D276" s="1279" t="s">
        <v>1254</v>
      </c>
      <c r="E276" s="1279"/>
      <c r="F276" s="1279"/>
    </row>
    <row r="277" spans="1:6">
      <c r="D277" s="1279"/>
      <c r="E277" s="1279"/>
      <c r="F277" s="1279"/>
    </row>
    <row r="278" spans="1:6" ht="13">
      <c r="A278" s="176"/>
      <c r="B278" s="176"/>
      <c r="D278" s="333"/>
      <c r="E278" s="334"/>
      <c r="F278" s="334"/>
    </row>
    <row r="279" spans="1:6">
      <c r="B279" s="460" t="s">
        <v>309</v>
      </c>
      <c r="D279" s="1270" t="s">
        <v>1255</v>
      </c>
      <c r="E279" s="1270"/>
      <c r="F279" s="1270"/>
    </row>
    <row r="280" spans="1:6">
      <c r="E280" s="35"/>
      <c r="F280" s="35"/>
    </row>
    <row r="281" spans="1:6" ht="13">
      <c r="A281" s="176"/>
      <c r="B281" s="460" t="s">
        <v>309</v>
      </c>
      <c r="D281" s="1259" t="s">
        <v>1256</v>
      </c>
      <c r="E281" s="1259"/>
      <c r="F281" s="1259"/>
    </row>
    <row r="282" spans="1:6" ht="13">
      <c r="A282" s="176"/>
      <c r="B282" s="176"/>
      <c r="D282" s="1259"/>
      <c r="E282" s="1259"/>
      <c r="F282" s="1259"/>
    </row>
    <row r="283" spans="1:6" ht="13">
      <c r="A283" s="176"/>
      <c r="B283" s="176"/>
      <c r="D283" s="1259"/>
      <c r="E283" s="1259"/>
      <c r="F283" s="1259"/>
    </row>
    <row r="284" spans="1:6" ht="13">
      <c r="A284" s="176"/>
      <c r="B284" s="176"/>
      <c r="D284" s="1259"/>
      <c r="E284" s="1259"/>
      <c r="F284" s="1259"/>
    </row>
    <row r="285" spans="1:6" ht="13">
      <c r="A285" s="176"/>
      <c r="B285" s="176"/>
      <c r="D285" s="1259"/>
      <c r="E285" s="1259"/>
      <c r="F285" s="1259"/>
    </row>
    <row r="286" spans="1:6" ht="13">
      <c r="A286" s="176"/>
      <c r="B286" s="176"/>
      <c r="D286" s="1259"/>
      <c r="E286" s="1259"/>
      <c r="F286" s="1259"/>
    </row>
    <row r="287" spans="1:6" ht="13">
      <c r="A287" s="176"/>
      <c r="B287" s="176"/>
      <c r="D287" s="1259"/>
      <c r="E287" s="1259"/>
      <c r="F287" s="1259"/>
    </row>
    <row r="288" spans="1:6" ht="13">
      <c r="A288" s="176"/>
      <c r="B288" s="176"/>
      <c r="D288" s="1259"/>
      <c r="E288" s="1259"/>
      <c r="F288" s="1259"/>
    </row>
    <row r="289" spans="1:6" ht="13">
      <c r="A289" s="176"/>
      <c r="B289" s="176"/>
      <c r="D289" s="1259"/>
      <c r="E289" s="1259"/>
      <c r="F289" s="1259"/>
    </row>
    <row r="290" spans="1:6" ht="13">
      <c r="A290" s="176"/>
      <c r="B290" s="176"/>
      <c r="D290" s="1259"/>
      <c r="E290" s="1259"/>
      <c r="F290" s="1259"/>
    </row>
    <row r="291" spans="1:6" ht="13">
      <c r="A291" s="176"/>
      <c r="B291" s="176"/>
      <c r="D291" s="1259"/>
      <c r="E291" s="1259"/>
      <c r="F291" s="1259"/>
    </row>
    <row r="292" spans="1:6" ht="13">
      <c r="A292" s="176"/>
      <c r="B292" s="176"/>
      <c r="D292" s="1259"/>
      <c r="E292" s="1259"/>
      <c r="F292" s="1259"/>
    </row>
    <row r="293" spans="1:6" ht="13">
      <c r="A293" s="176"/>
      <c r="B293" s="176"/>
      <c r="D293" s="1259"/>
      <c r="E293" s="1259"/>
      <c r="F293" s="1259"/>
    </row>
    <row r="294" spans="1:6" ht="13">
      <c r="A294" s="176"/>
      <c r="B294" s="176"/>
      <c r="D294" s="1259"/>
      <c r="E294" s="1259"/>
      <c r="F294" s="1259"/>
    </row>
    <row r="295" spans="1:6" ht="13">
      <c r="A295" s="176"/>
      <c r="B295" s="176"/>
      <c r="D295" s="1259"/>
      <c r="E295" s="1259"/>
      <c r="F295" s="1259"/>
    </row>
    <row r="296" spans="1:6">
      <c r="D296" s="35"/>
      <c r="E296" s="35"/>
      <c r="F296" s="35"/>
    </row>
    <row r="297" spans="1:6" ht="13">
      <c r="A297" s="176"/>
      <c r="B297" s="460" t="s">
        <v>309</v>
      </c>
      <c r="D297" s="1259" t="s">
        <v>1257</v>
      </c>
      <c r="E297" s="1259"/>
      <c r="F297" s="1259"/>
    </row>
    <row r="298" spans="1:6">
      <c r="D298" s="1259"/>
      <c r="E298" s="1259"/>
      <c r="F298" s="1259"/>
    </row>
    <row r="299" spans="1:6">
      <c r="D299" s="1259"/>
      <c r="E299" s="1259"/>
      <c r="F299" s="1259"/>
    </row>
    <row r="300" spans="1:6">
      <c r="D300" s="1259"/>
      <c r="E300" s="1259"/>
      <c r="F300" s="1259"/>
    </row>
    <row r="301" spans="1:6">
      <c r="D301" s="1259"/>
      <c r="E301" s="1259"/>
      <c r="F301" s="1259"/>
    </row>
    <row r="302" spans="1:6">
      <c r="D302" s="1259"/>
      <c r="E302" s="1259"/>
      <c r="F302" s="1259"/>
    </row>
    <row r="303" spans="1:6">
      <c r="D303" s="1259"/>
      <c r="E303" s="1259"/>
      <c r="F303" s="1259"/>
    </row>
    <row r="304" spans="1:6">
      <c r="D304" s="1259"/>
      <c r="E304" s="1259"/>
      <c r="F304" s="1259"/>
    </row>
    <row r="305" spans="1:7">
      <c r="D305" s="1259"/>
      <c r="E305" s="1259"/>
      <c r="F305" s="1259"/>
    </row>
    <row r="306" spans="1:7">
      <c r="D306" s="35"/>
      <c r="E306" s="35"/>
      <c r="F306" s="35"/>
    </row>
    <row r="307" spans="1:7" ht="13">
      <c r="A307" s="176"/>
      <c r="B307" s="460" t="s">
        <v>309</v>
      </c>
      <c r="D307" s="1259" t="s">
        <v>1258</v>
      </c>
      <c r="E307" s="1259"/>
      <c r="F307" s="1259"/>
    </row>
    <row r="308" spans="1:7">
      <c r="D308" s="1259"/>
      <c r="E308" s="1259"/>
      <c r="F308" s="1259"/>
      <c r="G308"/>
    </row>
    <row r="309" spans="1:7">
      <c r="D309" s="1259"/>
      <c r="E309" s="1259"/>
      <c r="F309" s="1259"/>
      <c r="G309"/>
    </row>
    <row r="310" spans="1:7">
      <c r="D310" s="1259"/>
      <c r="E310" s="1259"/>
      <c r="F310" s="1259"/>
      <c r="G310"/>
    </row>
    <row r="311" spans="1:7">
      <c r="D311" s="1259"/>
      <c r="E311" s="1259"/>
      <c r="F311" s="1259"/>
      <c r="G311"/>
    </row>
    <row r="312" spans="1:7">
      <c r="D312" s="1259"/>
      <c r="E312" s="1259"/>
      <c r="F312" s="1259"/>
      <c r="G312"/>
    </row>
    <row r="313" spans="1:7">
      <c r="D313" s="466"/>
      <c r="E313" s="466"/>
      <c r="F313" s="466"/>
      <c r="G313"/>
    </row>
    <row r="314" spans="1:7" ht="13.5" thickBot="1">
      <c r="D314" s="1282" t="s">
        <v>1019</v>
      </c>
      <c r="E314" s="1282"/>
      <c r="F314" s="1282"/>
      <c r="G314"/>
    </row>
    <row r="315" spans="1:7" ht="13" thickTop="1">
      <c r="D315" s="1283" t="s">
        <v>1259</v>
      </c>
      <c r="E315" s="1283"/>
      <c r="F315" s="1283"/>
      <c r="G315"/>
    </row>
    <row r="316" spans="1:7">
      <c r="A316" s="217"/>
      <c r="B316" s="217"/>
      <c r="C316" s="217"/>
      <c r="D316" s="219"/>
      <c r="E316" s="219"/>
      <c r="F316" s="35"/>
      <c r="G316"/>
    </row>
    <row r="317" spans="1:7" ht="13">
      <c r="A317" s="176"/>
      <c r="B317" s="460" t="s">
        <v>309</v>
      </c>
      <c r="C317" s="217"/>
      <c r="D317" s="1272" t="s">
        <v>1260</v>
      </c>
      <c r="E317" s="1272"/>
      <c r="F317" s="1272"/>
      <c r="G317"/>
    </row>
    <row r="318" spans="1:7">
      <c r="A318" s="217"/>
      <c r="B318" s="217"/>
      <c r="C318" s="217"/>
      <c r="D318" s="219"/>
      <c r="E318" s="219"/>
      <c r="F318" s="35"/>
      <c r="G318"/>
    </row>
    <row r="319" spans="1:7">
      <c r="A319" s="217"/>
      <c r="B319" s="460" t="s">
        <v>309</v>
      </c>
      <c r="C319" s="217"/>
      <c r="D319" s="1268" t="s">
        <v>1261</v>
      </c>
      <c r="E319" s="1268"/>
      <c r="F319" s="1268"/>
      <c r="G319"/>
    </row>
    <row r="320" spans="1:7">
      <c r="A320" s="217"/>
      <c r="B320" s="217"/>
      <c r="C320" s="217"/>
      <c r="D320" s="1268"/>
      <c r="E320" s="1268"/>
      <c r="F320" s="1268"/>
      <c r="G320"/>
    </row>
    <row r="321" spans="1:7">
      <c r="A321" s="217"/>
      <c r="B321" s="217"/>
      <c r="C321" s="217"/>
      <c r="D321" s="1268"/>
      <c r="E321" s="1268"/>
      <c r="F321" s="1268"/>
      <c r="G321"/>
    </row>
    <row r="322" spans="1:7">
      <c r="A322" s="217"/>
      <c r="B322" s="217"/>
      <c r="C322" s="217"/>
      <c r="D322" s="1268"/>
      <c r="E322" s="1268"/>
      <c r="F322" s="1268"/>
      <c r="G322"/>
    </row>
    <row r="323" spans="1:7">
      <c r="A323" s="217"/>
      <c r="B323" s="217"/>
      <c r="C323" s="217"/>
      <c r="D323" s="1268"/>
      <c r="E323" s="1268"/>
      <c r="F323" s="1268"/>
      <c r="G323"/>
    </row>
    <row r="324" spans="1:7">
      <c r="A324" s="217"/>
      <c r="B324" s="217"/>
      <c r="C324" s="217"/>
      <c r="D324" s="1268"/>
      <c r="E324" s="1268"/>
      <c r="F324" s="1268"/>
      <c r="G324"/>
    </row>
    <row r="325" spans="1:7">
      <c r="A325" s="217"/>
      <c r="B325" s="217"/>
      <c r="C325" s="217"/>
      <c r="D325" s="1268"/>
      <c r="E325" s="1268"/>
      <c r="F325" s="1268"/>
      <c r="G325"/>
    </row>
    <row r="326" spans="1:7">
      <c r="A326" s="217"/>
      <c r="B326" s="217"/>
      <c r="C326" s="217"/>
      <c r="D326" s="1268"/>
      <c r="E326" s="1268"/>
      <c r="F326" s="1268"/>
      <c r="G326"/>
    </row>
    <row r="327" spans="1:7">
      <c r="A327" s="217"/>
      <c r="B327" s="217"/>
      <c r="C327" s="217"/>
      <c r="D327" s="1268"/>
      <c r="E327" s="1268"/>
      <c r="F327" s="1268"/>
      <c r="G327"/>
    </row>
    <row r="328" spans="1:7">
      <c r="A328" s="217"/>
      <c r="B328" s="217"/>
      <c r="C328" s="217"/>
      <c r="D328" s="1268"/>
      <c r="E328" s="1268"/>
      <c r="F328" s="1268"/>
      <c r="G328"/>
    </row>
    <row r="329" spans="1:7">
      <c r="A329" s="217"/>
      <c r="B329" s="217"/>
      <c r="C329" s="217"/>
      <c r="D329" s="1268"/>
      <c r="E329" s="1268"/>
      <c r="F329" s="1268"/>
      <c r="G329"/>
    </row>
    <row r="330" spans="1:7">
      <c r="A330" s="217"/>
      <c r="B330" s="217"/>
      <c r="C330" s="217"/>
      <c r="D330"/>
      <c r="E330" s="219"/>
      <c r="F330" s="35"/>
      <c r="G330"/>
    </row>
    <row r="331" spans="1:7" ht="13">
      <c r="A331" s="176"/>
      <c r="B331" s="460" t="s">
        <v>309</v>
      </c>
      <c r="C331" s="217"/>
      <c r="D331" s="1268" t="s">
        <v>1262</v>
      </c>
      <c r="E331" s="1268"/>
      <c r="F331" s="1268"/>
      <c r="G331"/>
    </row>
    <row r="332" spans="1:7">
      <c r="A332" s="217"/>
      <c r="B332" s="217"/>
      <c r="C332" s="217"/>
      <c r="D332" s="1268"/>
      <c r="E332" s="1268"/>
      <c r="F332" s="1268"/>
      <c r="G332"/>
    </row>
    <row r="333" spans="1:7">
      <c r="A333" s="217"/>
      <c r="B333" s="217"/>
      <c r="C333" s="217"/>
      <c r="D333" s="1268"/>
      <c r="E333" s="1268"/>
      <c r="F333" s="1268"/>
      <c r="G333"/>
    </row>
    <row r="334" spans="1:7">
      <c r="A334" s="217"/>
      <c r="B334" s="217"/>
      <c r="C334" s="217"/>
      <c r="D334" s="1268"/>
      <c r="E334" s="1268"/>
      <c r="F334" s="1268"/>
      <c r="G334"/>
    </row>
    <row r="335" spans="1:7">
      <c r="A335" s="217"/>
      <c r="B335" s="217"/>
      <c r="C335" s="217"/>
      <c r="D335" s="219"/>
      <c r="E335" s="219"/>
      <c r="F335" s="35"/>
      <c r="G335"/>
    </row>
    <row r="336" spans="1:7">
      <c r="A336" s="217"/>
      <c r="B336" s="217"/>
      <c r="C336" s="217"/>
      <c r="D336" s="1268" t="s">
        <v>1263</v>
      </c>
      <c r="E336" s="1268"/>
      <c r="F336" s="1268"/>
      <c r="G336"/>
    </row>
    <row r="337" spans="1:7">
      <c r="A337" s="217"/>
      <c r="B337" s="217"/>
      <c r="C337" s="217"/>
      <c r="D337" s="1268"/>
      <c r="E337" s="1268"/>
      <c r="F337" s="1268"/>
      <c r="G337"/>
    </row>
    <row r="338" spans="1:7">
      <c r="A338" s="217"/>
      <c r="B338" s="217"/>
      <c r="C338" s="217"/>
      <c r="D338" s="1268"/>
      <c r="E338" s="1268"/>
      <c r="F338" s="1268"/>
      <c r="G338"/>
    </row>
    <row r="339" spans="1:7">
      <c r="A339" s="217"/>
      <c r="B339" s="217"/>
      <c r="C339" s="217"/>
      <c r="D339" s="1268"/>
      <c r="E339" s="1268"/>
      <c r="F339" s="1268"/>
      <c r="G339"/>
    </row>
    <row r="340" spans="1:7" ht="18" customHeight="1">
      <c r="A340" s="217"/>
      <c r="B340" s="217"/>
      <c r="C340" s="217"/>
      <c r="D340" s="1268"/>
      <c r="E340" s="1268"/>
      <c r="F340" s="1268"/>
      <c r="G340"/>
    </row>
    <row r="341" spans="1:7">
      <c r="A341" s="217"/>
      <c r="B341" s="217"/>
      <c r="C341" s="217"/>
      <c r="D341" s="1268"/>
      <c r="E341" s="1268"/>
      <c r="F341" s="1268"/>
      <c r="G341"/>
    </row>
    <row r="342" spans="1:7">
      <c r="A342" s="217"/>
      <c r="B342" s="217"/>
      <c r="C342" s="217"/>
      <c r="D342" s="1268"/>
      <c r="E342" s="1268"/>
      <c r="F342" s="1268"/>
      <c r="G342"/>
    </row>
    <row r="343" spans="1:7">
      <c r="A343" s="217"/>
      <c r="B343" s="217"/>
      <c r="C343" s="217"/>
      <c r="D343" s="1268"/>
      <c r="E343" s="1268"/>
      <c r="F343" s="1268"/>
      <c r="G343"/>
    </row>
    <row r="344" spans="1:7" ht="8.25" customHeight="1">
      <c r="A344" s="217"/>
      <c r="B344" s="217"/>
      <c r="C344" s="217"/>
      <c r="D344" s="1268"/>
      <c r="E344" s="1268"/>
      <c r="F344" s="1268"/>
      <c r="G344"/>
    </row>
    <row r="345" spans="1:7" ht="13.25" customHeight="1">
      <c r="A345" s="217"/>
      <c r="B345" s="217"/>
      <c r="C345" s="217"/>
      <c r="D345" s="1268" t="s">
        <v>1264</v>
      </c>
      <c r="E345" s="1268"/>
      <c r="F345" s="1268"/>
      <c r="G345"/>
    </row>
    <row r="346" spans="1:7">
      <c r="A346" s="217"/>
      <c r="B346" s="217"/>
      <c r="C346" s="217"/>
      <c r="D346" s="1268"/>
      <c r="E346" s="1268"/>
      <c r="F346" s="1268"/>
      <c r="G346"/>
    </row>
    <row r="347" spans="1:7">
      <c r="A347" s="217"/>
      <c r="B347" s="217"/>
      <c r="C347" s="217"/>
      <c r="D347" s="1268"/>
      <c r="E347" s="1268"/>
      <c r="F347" s="1268"/>
      <c r="G347"/>
    </row>
    <row r="348" spans="1:7">
      <c r="A348" s="217"/>
      <c r="B348" s="217"/>
      <c r="C348" s="217"/>
      <c r="D348" s="1268"/>
      <c r="E348" s="1268"/>
      <c r="F348" s="1268"/>
      <c r="G348"/>
    </row>
    <row r="349" spans="1:7">
      <c r="A349" s="217"/>
      <c r="B349" s="217"/>
      <c r="C349" s="217"/>
      <c r="D349" s="1268"/>
      <c r="E349" s="1268"/>
      <c r="F349" s="1268"/>
      <c r="G349"/>
    </row>
    <row r="350" spans="1:7">
      <c r="A350" s="217"/>
      <c r="B350" s="217"/>
      <c r="C350" s="217"/>
      <c r="D350" s="1268"/>
      <c r="E350" s="1268"/>
      <c r="F350" s="1268"/>
      <c r="G350"/>
    </row>
    <row r="351" spans="1:7">
      <c r="A351" s="217"/>
      <c r="B351" s="217"/>
      <c r="C351" s="217"/>
      <c r="D351" s="1268"/>
      <c r="E351" s="1268"/>
      <c r="F351" s="1268"/>
      <c r="G351"/>
    </row>
    <row r="352" spans="1:7">
      <c r="A352" s="217"/>
      <c r="B352" s="217"/>
      <c r="C352" s="217"/>
      <c r="D352" s="1268"/>
      <c r="E352" s="1268"/>
      <c r="F352" s="1268"/>
      <c r="G352"/>
    </row>
    <row r="353" spans="1:7">
      <c r="A353" s="217"/>
      <c r="B353" s="217"/>
      <c r="C353" s="217"/>
      <c r="D353" s="1268"/>
      <c r="E353" s="1268"/>
      <c r="F353" s="1268"/>
      <c r="G353"/>
    </row>
    <row r="354" spans="1:7">
      <c r="A354" s="217"/>
      <c r="B354" s="217"/>
      <c r="C354" s="217"/>
      <c r="D354" s="1268"/>
      <c r="E354" s="1268"/>
      <c r="F354" s="1268"/>
      <c r="G354"/>
    </row>
    <row r="355" spans="1:7">
      <c r="A355" s="217"/>
      <c r="B355" s="217"/>
      <c r="C355" s="217"/>
      <c r="D355" s="1268"/>
      <c r="E355" s="1268"/>
      <c r="F355" s="1268"/>
      <c r="G355"/>
    </row>
    <row r="356" spans="1:7">
      <c r="A356" s="217"/>
      <c r="B356" s="217"/>
      <c r="C356" s="217"/>
      <c r="D356" s="1268"/>
      <c r="E356" s="1268"/>
      <c r="F356" s="1268"/>
      <c r="G356"/>
    </row>
    <row r="357" spans="1:7">
      <c r="A357" s="217"/>
      <c r="B357" s="217"/>
      <c r="C357" s="339"/>
      <c r="D357" s="1268"/>
      <c r="E357" s="1268"/>
      <c r="F357" s="1268"/>
      <c r="G357"/>
    </row>
    <row r="358" spans="1:7">
      <c r="A358" s="217"/>
      <c r="B358" s="217"/>
      <c r="C358" s="339"/>
      <c r="D358" s="1268"/>
      <c r="E358" s="1268"/>
      <c r="F358" s="1268"/>
      <c r="G358"/>
    </row>
    <row r="359" spans="1:7">
      <c r="A359" s="217"/>
      <c r="B359" s="217"/>
      <c r="C359" s="217"/>
      <c r="D359" s="1268"/>
      <c r="E359" s="1268"/>
      <c r="F359" s="1268"/>
      <c r="G359"/>
    </row>
    <row r="360" spans="1:7">
      <c r="A360" s="217"/>
      <c r="B360" s="217"/>
      <c r="C360" s="339"/>
      <c r="D360" s="1268"/>
      <c r="E360" s="1268"/>
      <c r="F360" s="1268"/>
      <c r="G360"/>
    </row>
    <row r="361" spans="1:7">
      <c r="A361" s="217"/>
      <c r="B361" s="217"/>
      <c r="C361" s="339"/>
      <c r="D361" s="1268"/>
      <c r="E361" s="1268"/>
      <c r="F361" s="1268"/>
      <c r="G361"/>
    </row>
    <row r="362" spans="1:7">
      <c r="A362" s="217"/>
      <c r="B362" s="217"/>
      <c r="C362" s="339"/>
      <c r="D362" s="1268"/>
      <c r="E362" s="1268"/>
      <c r="F362" s="1268"/>
      <c r="G362"/>
    </row>
    <row r="363" spans="1:7">
      <c r="A363" s="217"/>
      <c r="B363" s="217"/>
      <c r="C363" s="217"/>
      <c r="D363" s="219"/>
      <c r="E363" s="219"/>
      <c r="F363" s="35"/>
      <c r="G363"/>
    </row>
    <row r="364" spans="1:7">
      <c r="A364" s="217"/>
      <c r="B364" s="460" t="s">
        <v>309</v>
      </c>
      <c r="C364" s="217"/>
      <c r="D364" s="1268" t="s">
        <v>1265</v>
      </c>
      <c r="E364" s="1268"/>
      <c r="F364" s="1268"/>
      <c r="G364"/>
    </row>
    <row r="365" spans="1:7">
      <c r="A365" s="217"/>
      <c r="B365" s="217"/>
      <c r="C365" s="217"/>
      <c r="D365" s="1268"/>
      <c r="E365" s="1268"/>
      <c r="F365" s="1268"/>
      <c r="G365"/>
    </row>
    <row r="366" spans="1:7">
      <c r="A366" s="217"/>
      <c r="B366" s="217"/>
      <c r="C366" s="217"/>
      <c r="D366" s="219"/>
      <c r="E366" s="219"/>
      <c r="F366" s="35"/>
      <c r="G366"/>
    </row>
    <row r="367" spans="1:7" ht="13">
      <c r="A367" s="176"/>
      <c r="B367" s="460" t="s">
        <v>309</v>
      </c>
      <c r="C367" s="217"/>
      <c r="D367" s="1268" t="s">
        <v>1266</v>
      </c>
      <c r="E367" s="1268"/>
      <c r="F367" s="1268"/>
      <c r="G367"/>
    </row>
    <row r="368" spans="1:7" ht="13">
      <c r="A368" s="338"/>
      <c r="B368" s="338"/>
      <c r="C368" s="217"/>
      <c r="D368" s="1268"/>
      <c r="E368" s="1268"/>
      <c r="F368" s="1268"/>
      <c r="G368"/>
    </row>
    <row r="369" spans="1:7" ht="13">
      <c r="A369" s="338"/>
      <c r="B369" s="338"/>
      <c r="C369" s="217"/>
      <c r="D369" s="1268"/>
      <c r="E369" s="1268"/>
      <c r="F369" s="1268"/>
      <c r="G369"/>
    </row>
    <row r="370" spans="1:7" ht="13">
      <c r="A370" s="338"/>
      <c r="B370" s="338"/>
      <c r="C370" s="217"/>
      <c r="D370" s="1268"/>
      <c r="E370" s="1268"/>
      <c r="F370" s="1268"/>
      <c r="G370"/>
    </row>
    <row r="371" spans="1:7" ht="13">
      <c r="A371" s="338"/>
      <c r="B371" s="338"/>
      <c r="C371" s="217"/>
      <c r="D371" s="1268"/>
      <c r="E371" s="1268"/>
      <c r="F371" s="1268"/>
      <c r="G371"/>
    </row>
    <row r="372" spans="1:7">
      <c r="D372" s="35"/>
      <c r="E372" s="35"/>
      <c r="F372" s="35"/>
      <c r="G372"/>
    </row>
    <row r="373" spans="1:7" ht="13">
      <c r="A373" s="176"/>
      <c r="B373" s="460" t="s">
        <v>309</v>
      </c>
      <c r="C373" s="179"/>
      <c r="D373" s="1259" t="s">
        <v>1267</v>
      </c>
      <c r="E373" s="1259"/>
      <c r="F373" s="1259"/>
      <c r="G373"/>
    </row>
    <row r="374" spans="1:7" ht="13">
      <c r="A374" s="176"/>
      <c r="B374" s="176"/>
      <c r="D374" s="1259"/>
      <c r="E374" s="1259"/>
      <c r="F374" s="1259"/>
      <c r="G374"/>
    </row>
    <row r="375" spans="1:7">
      <c r="D375" s="1259"/>
      <c r="E375" s="1259"/>
      <c r="F375" s="1259"/>
      <c r="G375"/>
    </row>
    <row r="376" spans="1:7">
      <c r="D376" s="1259"/>
      <c r="E376" s="1259"/>
      <c r="F376" s="1259"/>
      <c r="G376"/>
    </row>
    <row r="377" spans="1:7">
      <c r="D377" s="1259"/>
      <c r="E377" s="1259"/>
      <c r="F377" s="1259"/>
      <c r="G377"/>
    </row>
    <row r="378" spans="1:7">
      <c r="D378" s="1259"/>
      <c r="E378" s="1259"/>
      <c r="F378" s="1259"/>
      <c r="G378"/>
    </row>
    <row r="379" spans="1:7">
      <c r="D379" s="1259"/>
      <c r="E379" s="1259"/>
      <c r="F379" s="1259"/>
      <c r="G379"/>
    </row>
    <row r="380" spans="1:7">
      <c r="D380" s="1259"/>
      <c r="E380" s="1259"/>
      <c r="F380" s="1259"/>
      <c r="G380"/>
    </row>
    <row r="381" spans="1:7">
      <c r="D381" s="1259"/>
      <c r="E381" s="1259"/>
      <c r="F381" s="1259"/>
      <c r="G381"/>
    </row>
    <row r="382" spans="1:7">
      <c r="D382" s="1259"/>
      <c r="E382" s="1259"/>
      <c r="F382" s="1259"/>
      <c r="G382"/>
    </row>
    <row r="383" spans="1:7">
      <c r="D383" s="1259"/>
      <c r="E383" s="1259"/>
      <c r="F383" s="1259"/>
      <c r="G383"/>
    </row>
    <row r="384" spans="1:7">
      <c r="D384" s="1259"/>
      <c r="E384" s="1259"/>
      <c r="F384" s="1259"/>
      <c r="G384"/>
    </row>
    <row r="385" spans="1:7">
      <c r="D385" s="1259"/>
      <c r="E385" s="1259"/>
      <c r="F385" s="1259"/>
      <c r="G385"/>
    </row>
    <row r="386" spans="1:7">
      <c r="A386"/>
      <c r="B386"/>
      <c r="C386"/>
      <c r="D386" s="1259"/>
      <c r="E386" s="1259"/>
      <c r="F386" s="1259"/>
      <c r="G386"/>
    </row>
    <row r="387" spans="1:7">
      <c r="A387"/>
      <c r="B387"/>
      <c r="C387"/>
      <c r="D387" s="1259"/>
      <c r="E387" s="1259"/>
      <c r="F387" s="1259"/>
      <c r="G387"/>
    </row>
    <row r="388" spans="1:7">
      <c r="A388"/>
      <c r="B388"/>
      <c r="C388"/>
      <c r="D388" s="1259"/>
      <c r="E388" s="1259"/>
      <c r="F388" s="1259"/>
      <c r="G388"/>
    </row>
    <row r="389" spans="1:7">
      <c r="A389"/>
      <c r="B389"/>
      <c r="C389"/>
      <c r="D389" s="1259"/>
      <c r="E389" s="1259"/>
      <c r="F389" s="1259"/>
      <c r="G389"/>
    </row>
    <row r="390" spans="1:7">
      <c r="A390"/>
      <c r="B390"/>
      <c r="C390"/>
      <c r="D390" s="1259"/>
      <c r="E390" s="1259"/>
      <c r="F390" s="1259"/>
      <c r="G390"/>
    </row>
    <row r="391" spans="1:7">
      <c r="A391"/>
      <c r="B391"/>
      <c r="C391"/>
      <c r="D391" s="1259"/>
      <c r="E391" s="1259"/>
      <c r="F391" s="1259"/>
      <c r="G391"/>
    </row>
    <row r="392" spans="1:7">
      <c r="A392"/>
      <c r="B392"/>
      <c r="C392"/>
      <c r="D392" s="1259"/>
      <c r="E392" s="1259"/>
      <c r="F392" s="1259"/>
      <c r="G392"/>
    </row>
    <row r="393" spans="1:7">
      <c r="A393"/>
      <c r="B393"/>
      <c r="C393"/>
      <c r="D393" s="1259"/>
      <c r="E393" s="1259"/>
      <c r="F393" s="1259"/>
      <c r="G393"/>
    </row>
    <row r="394" spans="1:7">
      <c r="A394"/>
      <c r="B394"/>
      <c r="C394"/>
      <c r="D394" s="1259"/>
      <c r="E394" s="1259"/>
      <c r="F394" s="1259"/>
      <c r="G394"/>
    </row>
    <row r="395" spans="1:7">
      <c r="A395"/>
      <c r="B395"/>
      <c r="C395"/>
      <c r="D395" s="1259"/>
      <c r="E395" s="1259"/>
      <c r="F395" s="1259"/>
      <c r="G395"/>
    </row>
    <row r="396" spans="1:7">
      <c r="A396"/>
      <c r="B396"/>
      <c r="C396"/>
      <c r="D396" s="1259"/>
      <c r="E396" s="1259"/>
      <c r="F396" s="1259"/>
      <c r="G396"/>
    </row>
    <row r="397" spans="1:7">
      <c r="A397"/>
      <c r="B397"/>
      <c r="C397"/>
      <c r="D397" s="1259"/>
      <c r="E397" s="1259"/>
      <c r="F397" s="1259"/>
      <c r="G397"/>
    </row>
    <row r="398" spans="1:7">
      <c r="A398"/>
      <c r="B398"/>
      <c r="C398"/>
      <c r="D398" s="1259"/>
      <c r="E398" s="1259"/>
      <c r="F398" s="1259"/>
      <c r="G398"/>
    </row>
    <row r="399" spans="1:7">
      <c r="A399"/>
      <c r="B399"/>
      <c r="C399"/>
      <c r="D399" s="1259"/>
      <c r="E399" s="1259"/>
      <c r="F399" s="1259"/>
      <c r="G399"/>
    </row>
    <row r="400" spans="1:7">
      <c r="A400"/>
      <c r="B400"/>
      <c r="C400"/>
      <c r="D400" s="1259"/>
      <c r="E400" s="1259"/>
      <c r="F400" s="1259"/>
      <c r="G400"/>
    </row>
    <row r="401" spans="1:7">
      <c r="A401"/>
      <c r="B401"/>
      <c r="C401"/>
      <c r="D401" s="1259"/>
      <c r="E401" s="1259"/>
      <c r="F401" s="1259"/>
      <c r="G401"/>
    </row>
    <row r="402" spans="1:7">
      <c r="D402" s="1259"/>
      <c r="E402" s="1259"/>
      <c r="F402" s="1259"/>
    </row>
    <row r="403" spans="1:7" ht="41" customHeight="1">
      <c r="D403" s="1259"/>
      <c r="E403" s="1259"/>
      <c r="F403" s="1259"/>
    </row>
    <row r="404" spans="1:7">
      <c r="D404" s="35"/>
      <c r="E404" s="35"/>
      <c r="F404" s="35"/>
    </row>
    <row r="405" spans="1:7" ht="13">
      <c r="A405" s="176"/>
      <c r="B405" s="460" t="s">
        <v>309</v>
      </c>
      <c r="C405" s="179"/>
      <c r="D405" s="1270" t="s">
        <v>1268</v>
      </c>
      <c r="E405" s="1270"/>
      <c r="F405" s="1270"/>
    </row>
    <row r="406" spans="1:7">
      <c r="D406" s="1280" t="s">
        <v>1039</v>
      </c>
      <c r="E406" s="1280"/>
      <c r="F406" s="1280"/>
    </row>
    <row r="407" spans="1:7">
      <c r="D407" s="1259" t="s">
        <v>1269</v>
      </c>
      <c r="E407" s="1259"/>
      <c r="F407" s="1259"/>
    </row>
    <row r="408" spans="1:7">
      <c r="D408" s="1259"/>
      <c r="E408" s="1259"/>
      <c r="F408" s="1259"/>
    </row>
    <row r="409" spans="1:7">
      <c r="D409" s="1259"/>
      <c r="E409" s="1259"/>
      <c r="F409" s="1259"/>
    </row>
    <row r="410" spans="1:7">
      <c r="D410" s="1259"/>
      <c r="E410" s="1259"/>
      <c r="F410" s="1259"/>
    </row>
    <row r="411" spans="1:7">
      <c r="D411" s="35"/>
      <c r="E411" s="35"/>
      <c r="F411" s="35"/>
      <c r="G411"/>
    </row>
    <row r="412" spans="1:7" ht="13">
      <c r="A412" s="176"/>
      <c r="B412" s="460" t="s">
        <v>309</v>
      </c>
      <c r="C412" s="179"/>
      <c r="D412" s="1259" t="s">
        <v>1270</v>
      </c>
      <c r="E412" s="1259"/>
      <c r="F412" s="1259"/>
      <c r="G412"/>
    </row>
    <row r="413" spans="1:7">
      <c r="D413" s="1259"/>
      <c r="E413" s="1259"/>
      <c r="F413" s="1259"/>
      <c r="G413"/>
    </row>
    <row r="414" spans="1:7">
      <c r="D414" s="1259"/>
      <c r="E414" s="1259"/>
      <c r="F414" s="1259"/>
      <c r="G414"/>
    </row>
    <row r="415" spans="1:7">
      <c r="D415" s="466"/>
      <c r="E415" s="466"/>
      <c r="F415" s="466"/>
      <c r="G415"/>
    </row>
    <row r="416" spans="1:7" ht="13">
      <c r="B416" s="460" t="s">
        <v>309</v>
      </c>
      <c r="C416" s="176"/>
      <c r="D416" s="1259" t="s">
        <v>1271</v>
      </c>
      <c r="E416" s="1259"/>
      <c r="F416" s="1259"/>
      <c r="G416"/>
    </row>
    <row r="417" spans="1:7">
      <c r="D417" s="1259"/>
      <c r="E417" s="1259"/>
      <c r="F417" s="1259"/>
      <c r="G417"/>
    </row>
    <row r="418" spans="1:7">
      <c r="D418" s="35"/>
      <c r="E418" s="35"/>
      <c r="F418" s="35"/>
      <c r="G418"/>
    </row>
    <row r="419" spans="1:7" ht="13">
      <c r="B419" s="460" t="s">
        <v>309</v>
      </c>
      <c r="C419" s="176"/>
      <c r="D419" s="1259" t="s">
        <v>1272</v>
      </c>
      <c r="E419" s="1259"/>
      <c r="F419" s="1259"/>
      <c r="G419"/>
    </row>
    <row r="420" spans="1:7">
      <c r="D420" s="1259"/>
      <c r="E420" s="1259"/>
      <c r="F420" s="1259"/>
      <c r="G420"/>
    </row>
    <row r="421" spans="1:7">
      <c r="D421" s="1259"/>
      <c r="E421" s="1259"/>
      <c r="F421" s="1259"/>
      <c r="G421"/>
    </row>
    <row r="422" spans="1:7">
      <c r="D422" s="1259"/>
      <c r="E422" s="1259"/>
      <c r="F422" s="1259"/>
      <c r="G422"/>
    </row>
    <row r="423" spans="1:7">
      <c r="B423" s="460" t="s">
        <v>309</v>
      </c>
      <c r="D423" s="1259"/>
      <c r="E423" s="1259"/>
      <c r="F423" s="1259"/>
      <c r="G423"/>
    </row>
    <row r="424" spans="1:7">
      <c r="A424"/>
      <c r="B424"/>
      <c r="C424"/>
      <c r="D424" s="1259"/>
      <c r="E424" s="1259"/>
      <c r="F424" s="1259"/>
      <c r="G424"/>
    </row>
    <row r="425" spans="1:7">
      <c r="A425"/>
      <c r="C425"/>
      <c r="D425" s="1259"/>
      <c r="E425" s="1259"/>
      <c r="F425" s="1259"/>
      <c r="G425"/>
    </row>
    <row r="426" spans="1:7">
      <c r="A426"/>
      <c r="B426" s="460" t="s">
        <v>309</v>
      </c>
      <c r="C426"/>
      <c r="D426" s="1259"/>
      <c r="E426" s="1259"/>
      <c r="F426" s="1259"/>
      <c r="G426"/>
    </row>
    <row r="427" spans="1:7">
      <c r="A427"/>
      <c r="B427"/>
      <c r="C427"/>
      <c r="D427" s="1259"/>
      <c r="E427" s="1259"/>
      <c r="F427" s="1259"/>
      <c r="G427"/>
    </row>
    <row r="428" spans="1:7">
      <c r="A428"/>
      <c r="C428"/>
      <c r="D428" s="1259"/>
      <c r="E428" s="1259"/>
      <c r="F428" s="1259"/>
      <c r="G428"/>
    </row>
    <row r="429" spans="1:7">
      <c r="A429"/>
      <c r="C429"/>
      <c r="D429" s="1259"/>
      <c r="E429" s="1259"/>
      <c r="F429" s="1259"/>
      <c r="G429"/>
    </row>
    <row r="430" spans="1:7">
      <c r="A430"/>
      <c r="B430" s="460" t="s">
        <v>309</v>
      </c>
      <c r="C430"/>
      <c r="D430" s="1259"/>
      <c r="E430" s="1259"/>
      <c r="F430" s="1259"/>
      <c r="G430"/>
    </row>
    <row r="431" spans="1:7">
      <c r="A431"/>
      <c r="B431"/>
      <c r="C431"/>
      <c r="D431" s="1259"/>
      <c r="E431" s="1259"/>
      <c r="F431" s="1259"/>
      <c r="G431"/>
    </row>
    <row r="432" spans="1:7">
      <c r="A432"/>
      <c r="B432" s="460" t="s">
        <v>309</v>
      </c>
      <c r="C432"/>
      <c r="D432" s="1259"/>
      <c r="E432" s="1259"/>
      <c r="F432" s="1259"/>
      <c r="G432"/>
    </row>
    <row r="433" spans="1:7">
      <c r="A433"/>
      <c r="B433"/>
      <c r="C433"/>
      <c r="D433" s="466"/>
      <c r="E433" s="466"/>
      <c r="F433" s="466"/>
      <c r="G433"/>
    </row>
    <row r="434" spans="1:7">
      <c r="A434"/>
      <c r="B434" s="460" t="s">
        <v>309</v>
      </c>
      <c r="C434"/>
      <c r="D434" s="1259" t="s">
        <v>1273</v>
      </c>
      <c r="E434" s="1259"/>
      <c r="F434" s="1259"/>
      <c r="G434"/>
    </row>
    <row r="435" spans="1:7">
      <c r="A435"/>
      <c r="B435"/>
      <c r="C435"/>
      <c r="D435" s="1259"/>
      <c r="E435" s="1259"/>
      <c r="F435" s="1259"/>
      <c r="G435"/>
    </row>
    <row r="436" spans="1:7">
      <c r="A436"/>
      <c r="B436"/>
      <c r="C436"/>
      <c r="D436" s="1259"/>
      <c r="E436" s="1259"/>
      <c r="F436" s="1259"/>
      <c r="G436"/>
    </row>
    <row r="437" spans="1:7">
      <c r="A437"/>
      <c r="B437"/>
      <c r="C437"/>
      <c r="D437" s="1259"/>
      <c r="E437" s="1259"/>
      <c r="F437" s="1259"/>
      <c r="G437"/>
    </row>
    <row r="438" spans="1:7">
      <c r="D438" s="1259"/>
      <c r="E438" s="1259"/>
      <c r="F438" s="1259"/>
    </row>
    <row r="439" spans="1:7">
      <c r="D439" s="35"/>
      <c r="E439" s="35"/>
      <c r="F439" s="35"/>
    </row>
    <row r="440" spans="1:7">
      <c r="B440" s="460" t="s">
        <v>309</v>
      </c>
      <c r="D440" s="1270" t="s">
        <v>1274</v>
      </c>
      <c r="E440" s="1270"/>
      <c r="F440" s="1270"/>
    </row>
    <row r="441" spans="1:7">
      <c r="A441" s="35"/>
      <c r="B441" s="35"/>
    </row>
    <row r="442" spans="1:7" ht="13">
      <c r="A442" s="1274" t="s">
        <v>1115</v>
      </c>
      <c r="B442" s="1274"/>
      <c r="C442" s="1274"/>
      <c r="D442" s="1274"/>
      <c r="E442" s="1274"/>
      <c r="F442" s="1274"/>
      <c r="G442" s="1274"/>
    </row>
    <row r="443" spans="1:7">
      <c r="A443" s="35"/>
      <c r="B443" s="35"/>
    </row>
    <row r="444" spans="1:7" ht="13">
      <c r="D444" s="1271" t="s">
        <v>913</v>
      </c>
      <c r="E444" s="1271"/>
      <c r="F444" s="1271"/>
    </row>
    <row r="445" spans="1:7" ht="13">
      <c r="A445" s="176"/>
      <c r="B445" s="176"/>
      <c r="D445" s="1272" t="s">
        <v>1275</v>
      </c>
      <c r="E445" s="1272"/>
      <c r="F445" s="1272"/>
    </row>
    <row r="446" spans="1:7" ht="13">
      <c r="A446" s="176"/>
      <c r="B446" s="176"/>
      <c r="D446" s="473"/>
      <c r="E446" s="3"/>
      <c r="F446" s="3"/>
    </row>
    <row r="447" spans="1:7" ht="13">
      <c r="A447" s="176"/>
      <c r="B447" s="460" t="s">
        <v>309</v>
      </c>
      <c r="D447" s="1268" t="s">
        <v>1276</v>
      </c>
      <c r="E447" s="1268"/>
      <c r="F447" s="1268"/>
    </row>
    <row r="448" spans="1:7" ht="13">
      <c r="A448" s="176"/>
      <c r="B448" s="176"/>
      <c r="D448" s="1268"/>
      <c r="E448" s="1268"/>
      <c r="F448" s="1268"/>
    </row>
    <row r="449" spans="1:7" ht="13">
      <c r="A449" s="176"/>
      <c r="B449" s="176"/>
      <c r="D449" s="118"/>
      <c r="E449" s="3"/>
      <c r="F449" s="3"/>
    </row>
    <row r="450" spans="1:7">
      <c r="B450" s="460" t="s">
        <v>309</v>
      </c>
      <c r="D450" s="1273" t="s">
        <v>1277</v>
      </c>
      <c r="E450" s="1273"/>
      <c r="F450" s="1273"/>
    </row>
    <row r="451" spans="1:7" ht="13">
      <c r="A451" s="176"/>
      <c r="D451" s="1273"/>
      <c r="E451" s="1273"/>
      <c r="F451" s="1273"/>
    </row>
    <row r="452" spans="1:7" ht="13">
      <c r="A452" s="176"/>
      <c r="B452" s="176"/>
      <c r="D452" s="1273"/>
      <c r="E452" s="1273"/>
      <c r="F452" s="1273"/>
    </row>
    <row r="453" spans="1:7" ht="13">
      <c r="A453" s="176"/>
      <c r="B453" s="176"/>
      <c r="D453" s="1273"/>
      <c r="E453" s="1273"/>
      <c r="F453" s="1273"/>
    </row>
    <row r="454" spans="1:7">
      <c r="D454" s="3"/>
      <c r="E454" s="3"/>
      <c r="F454" s="3"/>
      <c r="G454"/>
    </row>
    <row r="455" spans="1:7" ht="13">
      <c r="A455" s="176"/>
      <c r="B455" s="460" t="s">
        <v>309</v>
      </c>
      <c r="D455" s="1259" t="s">
        <v>1278</v>
      </c>
      <c r="E455" s="1259"/>
      <c r="F455" s="1259"/>
      <c r="G455"/>
    </row>
    <row r="456" spans="1:7" ht="13">
      <c r="A456" s="176"/>
      <c r="B456" s="176"/>
      <c r="D456" s="1259"/>
      <c r="E456" s="1259"/>
      <c r="F456" s="1259"/>
      <c r="G456"/>
    </row>
    <row r="457" spans="1:7" ht="13">
      <c r="A457" s="176"/>
      <c r="D457" s="1259"/>
      <c r="E457" s="1259"/>
      <c r="F457" s="1259"/>
      <c r="G457"/>
    </row>
    <row r="458" spans="1:7" ht="13">
      <c r="A458" s="176"/>
      <c r="B458" s="176"/>
      <c r="D458" s="3"/>
      <c r="E458" s="3"/>
      <c r="F458" s="3"/>
      <c r="G458"/>
    </row>
    <row r="459" spans="1:7" ht="13">
      <c r="A459" s="176"/>
      <c r="B459" s="460" t="s">
        <v>309</v>
      </c>
      <c r="D459" s="1270" t="s">
        <v>1279</v>
      </c>
      <c r="E459" s="1270"/>
      <c r="F459" s="1270"/>
      <c r="G459"/>
    </row>
    <row r="460" spans="1:7" ht="13">
      <c r="A460" s="176"/>
      <c r="B460" s="176"/>
      <c r="D460" s="118"/>
      <c r="E460" s="3"/>
      <c r="F460" s="3"/>
      <c r="G460"/>
    </row>
    <row r="461" spans="1:7" ht="13">
      <c r="A461" s="176"/>
      <c r="B461" s="460" t="s">
        <v>309</v>
      </c>
      <c r="D461" s="1259" t="s">
        <v>1280</v>
      </c>
      <c r="E461" s="1259"/>
      <c r="F461" s="1259"/>
      <c r="G461"/>
    </row>
    <row r="462" spans="1:7" ht="13">
      <c r="A462" s="176"/>
      <c r="D462" s="1259"/>
      <c r="E462" s="1259"/>
      <c r="F462" s="1259"/>
      <c r="G462"/>
    </row>
    <row r="463" spans="1:7" ht="13">
      <c r="A463" s="13"/>
      <c r="B463" s="13"/>
      <c r="D463" s="473"/>
      <c r="E463" s="3"/>
      <c r="F463" s="3"/>
      <c r="G463"/>
    </row>
    <row r="464" spans="1:7" ht="13">
      <c r="A464" s="13"/>
      <c r="B464" s="460" t="s">
        <v>309</v>
      </c>
      <c r="D464" s="1270" t="s">
        <v>1281</v>
      </c>
      <c r="E464" s="1270"/>
      <c r="F464" s="1270"/>
      <c r="G464"/>
    </row>
    <row r="465" spans="1:7" ht="13">
      <c r="A465" s="176"/>
      <c r="B465" s="176"/>
      <c r="D465" s="35"/>
    </row>
    <row r="466" spans="1:7" ht="13">
      <c r="A466" s="1274" t="s">
        <v>1116</v>
      </c>
      <c r="B466" s="1274"/>
      <c r="C466" s="1274"/>
      <c r="D466" s="1274"/>
      <c r="E466" s="1274"/>
      <c r="F466" s="1274"/>
      <c r="G466" s="1274"/>
    </row>
    <row r="467" spans="1:7" ht="12" customHeight="1">
      <c r="A467" s="176"/>
      <c r="B467" s="176"/>
      <c r="D467" s="35"/>
    </row>
    <row r="468" spans="1:7" ht="13">
      <c r="C468" s="172"/>
      <c r="D468" s="1275" t="s">
        <v>818</v>
      </c>
      <c r="E468" s="1275"/>
      <c r="F468" s="1275"/>
    </row>
    <row r="469" spans="1:7" ht="13.25" customHeight="1">
      <c r="A469" s="175"/>
      <c r="B469" s="175"/>
      <c r="C469" s="175"/>
      <c r="D469" s="1276" t="s">
        <v>1159</v>
      </c>
      <c r="E469" s="1276"/>
      <c r="F469" s="1276"/>
    </row>
    <row r="470" spans="1:7" ht="13">
      <c r="A470" s="175"/>
      <c r="B470" s="175"/>
      <c r="C470" s="175"/>
      <c r="D470" s="1276"/>
      <c r="E470" s="1276"/>
      <c r="F470" s="1276"/>
    </row>
    <row r="471" spans="1:7" ht="13">
      <c r="A471" s="175"/>
      <c r="B471" s="175"/>
      <c r="C471" s="175"/>
      <c r="D471" s="1276"/>
      <c r="E471" s="1276"/>
      <c r="F471" s="1276"/>
    </row>
    <row r="472" spans="1:7" ht="13">
      <c r="A472" s="175"/>
      <c r="B472" s="175"/>
      <c r="C472" s="175"/>
      <c r="D472" s="1276"/>
      <c r="E472" s="1276"/>
      <c r="F472" s="1276"/>
    </row>
    <row r="473" spans="1:7" ht="13">
      <c r="A473" s="175"/>
      <c r="B473" s="175"/>
      <c r="C473" s="175"/>
      <c r="D473" s="1276"/>
      <c r="E473" s="1276"/>
      <c r="F473" s="1276"/>
    </row>
    <row r="474" spans="1:7" ht="13">
      <c r="A474" s="175"/>
      <c r="B474" s="175"/>
      <c r="C474" s="175"/>
      <c r="D474" s="317"/>
      <c r="F474" s="35"/>
    </row>
    <row r="475" spans="1:7" ht="14.75" customHeight="1">
      <c r="A475" s="176"/>
      <c r="B475" s="460" t="s">
        <v>309</v>
      </c>
      <c r="C475" s="175"/>
      <c r="D475" s="1290" t="s">
        <v>1150</v>
      </c>
      <c r="E475" s="1290"/>
      <c r="F475" s="1290"/>
    </row>
    <row r="476" spans="1:7" ht="13">
      <c r="A476" s="175"/>
      <c r="B476" s="175"/>
      <c r="C476" s="175"/>
      <c r="D476" s="1290"/>
      <c r="E476" s="1290"/>
      <c r="F476" s="1290"/>
    </row>
    <row r="477" spans="1:7" ht="13">
      <c r="A477" s="175"/>
      <c r="B477" s="175"/>
      <c r="C477" s="175"/>
      <c r="D477" s="1290"/>
      <c r="E477" s="1290"/>
      <c r="F477" s="1290"/>
    </row>
    <row r="478" spans="1:7" ht="13">
      <c r="A478" s="175"/>
      <c r="B478" s="175"/>
      <c r="C478" s="175"/>
      <c r="D478" s="1290"/>
      <c r="E478" s="1290"/>
      <c r="F478" s="1290"/>
    </row>
    <row r="479" spans="1:7" ht="13">
      <c r="A479" s="175"/>
      <c r="B479" s="175"/>
      <c r="C479" s="175"/>
      <c r="D479" s="1290"/>
      <c r="E479" s="1290"/>
      <c r="F479" s="1290"/>
    </row>
    <row r="480" spans="1:7" ht="13">
      <c r="A480" s="175"/>
      <c r="B480" s="175"/>
      <c r="C480" s="175"/>
      <c r="D480" s="219"/>
      <c r="F480" s="35"/>
    </row>
    <row r="481" spans="1:6" ht="14.75" customHeight="1">
      <c r="A481" s="176"/>
      <c r="B481" s="460" t="s">
        <v>309</v>
      </c>
      <c r="C481" s="175"/>
      <c r="D481" s="1290" t="s">
        <v>1153</v>
      </c>
      <c r="E481" s="1290"/>
      <c r="F481" s="1290"/>
    </row>
    <row r="482" spans="1:6" ht="13">
      <c r="A482" s="175"/>
      <c r="B482" s="175"/>
      <c r="C482" s="175"/>
      <c r="D482" s="1290"/>
      <c r="E482" s="1290"/>
      <c r="F482" s="1290"/>
    </row>
    <row r="483" spans="1:6" ht="13">
      <c r="A483" s="175"/>
      <c r="B483" s="175"/>
      <c r="C483" s="175"/>
      <c r="D483" s="1290"/>
      <c r="E483" s="1290"/>
      <c r="F483" s="1290"/>
    </row>
    <row r="484" spans="1:6" ht="13">
      <c r="A484" s="175"/>
      <c r="B484" s="175"/>
      <c r="C484" s="175"/>
      <c r="D484" s="1290"/>
      <c r="E484" s="1290"/>
      <c r="F484" s="1290"/>
    </row>
    <row r="485" spans="1:6" ht="10.25" customHeight="1">
      <c r="A485" s="175"/>
      <c r="B485" s="175"/>
      <c r="C485" s="175"/>
      <c r="D485" s="219"/>
      <c r="F485" s="35"/>
    </row>
    <row r="486" spans="1:6" ht="14.75" customHeight="1">
      <c r="A486" s="176"/>
      <c r="B486" s="460" t="s">
        <v>309</v>
      </c>
      <c r="C486" s="175"/>
      <c r="D486" s="1290" t="s">
        <v>1151</v>
      </c>
      <c r="E486" s="1290"/>
      <c r="F486" s="1290"/>
    </row>
    <row r="487" spans="1:6" ht="13">
      <c r="A487" s="175"/>
      <c r="B487" s="175"/>
      <c r="C487" s="175"/>
      <c r="D487" s="1290"/>
      <c r="E487" s="1290"/>
      <c r="F487" s="1290"/>
    </row>
    <row r="488" spans="1:6" ht="13">
      <c r="A488" s="175"/>
      <c r="B488" s="175"/>
      <c r="C488" s="175"/>
      <c r="D488" s="1290"/>
      <c r="E488" s="1290"/>
      <c r="F488" s="1290"/>
    </row>
    <row r="489" spans="1:6" ht="13">
      <c r="A489" s="175"/>
      <c r="B489" s="175"/>
      <c r="C489" s="175"/>
      <c r="D489" s="467"/>
      <c r="E489" s="467"/>
      <c r="F489" s="467"/>
    </row>
    <row r="490" spans="1:6" ht="14.75" customHeight="1">
      <c r="A490" s="176"/>
      <c r="B490" s="460" t="s">
        <v>309</v>
      </c>
      <c r="C490" s="175"/>
      <c r="D490" s="1290" t="s">
        <v>1152</v>
      </c>
      <c r="E490" s="1290"/>
      <c r="F490" s="1290"/>
    </row>
    <row r="491" spans="1:6" ht="13">
      <c r="A491" s="175"/>
      <c r="B491" s="175"/>
      <c r="C491" s="175"/>
      <c r="D491" s="1290"/>
      <c r="E491" s="1290"/>
      <c r="F491" s="1290"/>
    </row>
    <row r="492" spans="1:6" ht="13">
      <c r="A492" s="175"/>
      <c r="B492" s="175"/>
      <c r="C492" s="175"/>
      <c r="D492" s="1290"/>
      <c r="E492" s="1290"/>
      <c r="F492" s="1290"/>
    </row>
    <row r="493" spans="1:6" ht="13">
      <c r="A493" s="175"/>
      <c r="B493" s="175"/>
      <c r="C493" s="175"/>
      <c r="D493" s="1290"/>
      <c r="E493" s="1290"/>
      <c r="F493" s="1290"/>
    </row>
    <row r="494" spans="1:6" ht="13">
      <c r="A494" s="175"/>
      <c r="B494" s="175"/>
      <c r="C494" s="175"/>
      <c r="D494" s="1290"/>
      <c r="E494" s="1290"/>
      <c r="F494" s="1290"/>
    </row>
    <row r="495" spans="1:6" ht="13">
      <c r="A495" s="175"/>
      <c r="B495" s="175"/>
      <c r="C495" s="175"/>
      <c r="D495" s="1290"/>
      <c r="E495" s="1290"/>
      <c r="F495" s="1290"/>
    </row>
    <row r="496" spans="1:6" ht="13">
      <c r="A496" s="175"/>
      <c r="B496" s="175"/>
      <c r="C496" s="175"/>
      <c r="D496" s="1290"/>
      <c r="E496" s="1290"/>
      <c r="F496" s="1290"/>
    </row>
    <row r="497" spans="1:7" ht="13">
      <c r="A497" s="175"/>
      <c r="B497" s="175"/>
      <c r="C497" s="175"/>
      <c r="D497" s="1290"/>
      <c r="E497" s="1290"/>
      <c r="F497" s="1290"/>
    </row>
    <row r="498" spans="1:7" ht="13">
      <c r="A498" s="175"/>
      <c r="B498" s="175"/>
      <c r="C498" s="175"/>
      <c r="D498" s="1290"/>
      <c r="E498" s="1290"/>
      <c r="F498" s="1290"/>
    </row>
    <row r="499" spans="1:7" ht="13">
      <c r="A499" s="175"/>
      <c r="B499" s="175"/>
      <c r="C499" s="175"/>
      <c r="D499" s="219"/>
      <c r="F499" s="35"/>
    </row>
    <row r="500" spans="1:7" ht="13.25" customHeight="1">
      <c r="A500" s="175"/>
      <c r="B500" s="460" t="s">
        <v>309</v>
      </c>
      <c r="C500" s="175"/>
      <c r="D500" s="1268" t="s">
        <v>1296</v>
      </c>
      <c r="E500" s="1268"/>
      <c r="F500" s="1268"/>
    </row>
    <row r="501" spans="1:7" ht="13">
      <c r="A501" s="175"/>
      <c r="B501" s="175"/>
      <c r="C501" s="175"/>
      <c r="D501" s="1268"/>
      <c r="E501" s="1268"/>
      <c r="F501" s="1268"/>
    </row>
    <row r="502" spans="1:7" ht="13">
      <c r="A502" s="175"/>
      <c r="B502" s="175"/>
      <c r="C502" s="175"/>
      <c r="D502" s="1268"/>
      <c r="E502" s="1268"/>
      <c r="F502" s="1268"/>
    </row>
    <row r="503" spans="1:7" ht="13">
      <c r="A503" s="175"/>
      <c r="B503" s="175"/>
      <c r="C503" s="175"/>
      <c r="D503" s="1268"/>
      <c r="E503" s="1268"/>
      <c r="F503" s="1268"/>
    </row>
    <row r="504" spans="1:7" ht="13">
      <c r="A504" s="175"/>
      <c r="B504" s="175"/>
      <c r="C504" s="175"/>
      <c r="D504" s="1268"/>
      <c r="E504" s="1268"/>
      <c r="F504" s="1268"/>
    </row>
    <row r="505" spans="1:7" ht="13">
      <c r="A505" s="175"/>
      <c r="B505" s="175"/>
      <c r="C505" s="175"/>
      <c r="D505" s="477"/>
      <c r="E505" s="477"/>
      <c r="F505" s="477"/>
    </row>
    <row r="506" spans="1:7" ht="14.75" customHeight="1">
      <c r="A506" s="176"/>
      <c r="B506" s="460" t="s">
        <v>309</v>
      </c>
      <c r="D506" s="1290" t="s">
        <v>1154</v>
      </c>
      <c r="E506" s="1290"/>
      <c r="F506" s="1290"/>
    </row>
    <row r="507" spans="1:7">
      <c r="D507" s="1290"/>
      <c r="E507" s="1290"/>
      <c r="F507" s="1290"/>
    </row>
    <row r="508" spans="1:7">
      <c r="D508" s="1290"/>
      <c r="E508" s="1290"/>
      <c r="F508" s="1290"/>
    </row>
    <row r="509" spans="1:7" ht="12" customHeight="1">
      <c r="A509" s="35"/>
      <c r="B509" s="35"/>
      <c r="C509" s="179"/>
      <c r="D509" s="35"/>
      <c r="F509" s="57"/>
    </row>
    <row r="510" spans="1:7" ht="13">
      <c r="A510" s="1274" t="s">
        <v>1117</v>
      </c>
      <c r="B510" s="1274"/>
      <c r="C510" s="1274"/>
      <c r="D510" s="1274"/>
      <c r="E510" s="1274"/>
      <c r="F510" s="1274"/>
      <c r="G510" s="1274"/>
    </row>
    <row r="511" spans="1:7" ht="13">
      <c r="A511" s="35"/>
      <c r="B511" s="35"/>
      <c r="C511" s="179"/>
      <c r="F511" s="57"/>
    </row>
    <row r="512" spans="1:7">
      <c r="B512" s="1291" t="s">
        <v>450</v>
      </c>
      <c r="C512" s="1291"/>
      <c r="D512" s="1291"/>
      <c r="E512" s="1291"/>
      <c r="F512" s="1291"/>
    </row>
    <row r="513" spans="1:7">
      <c r="A513" s="35"/>
      <c r="B513" s="35"/>
      <c r="C513" s="179"/>
      <c r="D513" s="35"/>
      <c r="F513" s="35"/>
    </row>
    <row r="514" spans="1:7" ht="13">
      <c r="A514" s="1305" t="s">
        <v>1118</v>
      </c>
      <c r="B514" s="1305"/>
      <c r="C514" s="1305"/>
      <c r="D514" s="1305"/>
      <c r="E514" s="1305"/>
      <c r="F514" s="1305"/>
      <c r="G514" s="1305"/>
    </row>
    <row r="515" spans="1:7">
      <c r="A515" s="35"/>
      <c r="B515" s="35"/>
      <c r="C515" s="179"/>
      <c r="D515" s="35"/>
      <c r="F515" s="35"/>
    </row>
    <row r="516" spans="1:7" ht="13">
      <c r="C516" s="179"/>
      <c r="D516" s="1275" t="s">
        <v>693</v>
      </c>
      <c r="E516" s="1275"/>
      <c r="F516" s="1275"/>
    </row>
    <row r="517" spans="1:7">
      <c r="C517" s="179"/>
      <c r="D517" s="1270" t="s">
        <v>1175</v>
      </c>
      <c r="E517" s="1270"/>
      <c r="F517" s="1270"/>
    </row>
    <row r="518" spans="1:7">
      <c r="C518" s="179"/>
      <c r="D518" s="118"/>
      <c r="E518" s="118"/>
      <c r="F518" s="118"/>
    </row>
    <row r="519" spans="1:7" ht="13.25" customHeight="1">
      <c r="A519" s="176"/>
      <c r="B519" s="460" t="s">
        <v>309</v>
      </c>
      <c r="C519" s="179"/>
      <c r="D519" s="1270" t="s">
        <v>914</v>
      </c>
      <c r="E519" s="1270"/>
      <c r="F519" s="1270"/>
      <c r="G519"/>
    </row>
    <row r="520" spans="1:7" ht="13.25" customHeight="1">
      <c r="A520" s="179"/>
      <c r="B520" s="179"/>
      <c r="C520" s="179"/>
      <c r="D520" s="118"/>
      <c r="E520"/>
      <c r="F520"/>
      <c r="G520"/>
    </row>
    <row r="521" spans="1:7" ht="13">
      <c r="A521" s="176"/>
      <c r="B521" s="460" t="s">
        <v>309</v>
      </c>
      <c r="C521" s="179"/>
      <c r="D521" s="1259" t="s">
        <v>1176</v>
      </c>
      <c r="E521" s="1259"/>
      <c r="F521" s="1259"/>
      <c r="G521"/>
    </row>
    <row r="522" spans="1:7">
      <c r="A522" s="179"/>
      <c r="B522" s="179"/>
      <c r="C522" s="179"/>
      <c r="D522" s="1259"/>
      <c r="E522" s="1259"/>
      <c r="F522" s="1259"/>
      <c r="G522"/>
    </row>
    <row r="523" spans="1:7">
      <c r="A523" s="179"/>
      <c r="B523" s="179"/>
      <c r="C523" s="179"/>
      <c r="D523" s="35"/>
      <c r="E523" s="35"/>
      <c r="F523" s="35"/>
      <c r="G523"/>
    </row>
    <row r="524" spans="1:7" ht="13">
      <c r="A524" s="176"/>
      <c r="B524" s="460" t="s">
        <v>309</v>
      </c>
      <c r="C524" s="179"/>
      <c r="D524" s="1259" t="s">
        <v>1177</v>
      </c>
      <c r="E524" s="1259"/>
      <c r="F524" s="1259"/>
      <c r="G524"/>
    </row>
    <row r="525" spans="1:7">
      <c r="A525" s="179"/>
      <c r="B525" s="179"/>
      <c r="C525" s="179"/>
      <c r="D525" s="1259"/>
      <c r="E525" s="1259"/>
      <c r="F525" s="1259"/>
      <c r="G525"/>
    </row>
    <row r="526" spans="1:7">
      <c r="A526" s="179"/>
      <c r="B526" s="179"/>
      <c r="C526" s="179"/>
      <c r="D526" s="35"/>
      <c r="E526" s="35"/>
      <c r="F526" s="35"/>
      <c r="G526"/>
    </row>
    <row r="527" spans="1:7" ht="13">
      <c r="A527" s="176"/>
      <c r="B527" s="460" t="s">
        <v>309</v>
      </c>
      <c r="C527" s="179"/>
      <c r="D527" s="1259" t="s">
        <v>1178</v>
      </c>
      <c r="E527" s="1259"/>
      <c r="F527" s="1259"/>
      <c r="G527"/>
    </row>
    <row r="528" spans="1:7">
      <c r="A528" s="179"/>
      <c r="B528" s="179"/>
      <c r="C528" s="179"/>
      <c r="D528" s="1259"/>
      <c r="E528" s="1259"/>
      <c r="F528" s="1259"/>
      <c r="G528"/>
    </row>
    <row r="529" spans="1:7">
      <c r="A529" s="179"/>
      <c r="B529" s="179"/>
      <c r="C529" s="179"/>
      <c r="D529" s="35"/>
      <c r="E529" s="35"/>
      <c r="F529" s="35"/>
      <c r="G529"/>
    </row>
    <row r="530" spans="1:7" ht="13">
      <c r="A530" s="176"/>
      <c r="B530" s="460" t="s">
        <v>309</v>
      </c>
      <c r="C530" s="179"/>
      <c r="D530" s="1259" t="s">
        <v>1179</v>
      </c>
      <c r="E530" s="1259"/>
      <c r="F530" s="1259"/>
      <c r="G530"/>
    </row>
    <row r="531" spans="1:7">
      <c r="A531" s="179"/>
      <c r="B531" s="179"/>
      <c r="C531" s="179"/>
      <c r="D531" s="1259"/>
      <c r="E531" s="1259"/>
      <c r="F531" s="1259"/>
      <c r="G531"/>
    </row>
    <row r="532" spans="1:7">
      <c r="A532" s="179"/>
      <c r="B532" s="179"/>
      <c r="C532" s="179"/>
      <c r="D532" s="1259"/>
      <c r="E532" s="1259"/>
      <c r="F532" s="1259"/>
      <c r="G532"/>
    </row>
    <row r="533" spans="1:7">
      <c r="A533" s="179"/>
      <c r="B533" s="179"/>
      <c r="C533" s="179"/>
      <c r="D533" s="35"/>
      <c r="E533" s="35"/>
      <c r="F533" s="35"/>
    </row>
    <row r="534" spans="1:7" ht="13">
      <c r="A534" s="176"/>
      <c r="B534" s="460" t="s">
        <v>309</v>
      </c>
      <c r="C534" s="179"/>
      <c r="D534" s="1259" t="s">
        <v>1297</v>
      </c>
      <c r="E534" s="1259"/>
      <c r="F534" s="1259"/>
    </row>
    <row r="535" spans="1:7">
      <c r="A535" s="179"/>
      <c r="B535" s="179"/>
      <c r="C535" s="179"/>
      <c r="D535" s="1259"/>
      <c r="E535" s="1259"/>
      <c r="F535" s="1259"/>
    </row>
    <row r="536" spans="1:7">
      <c r="A536" s="179"/>
      <c r="B536" s="179"/>
      <c r="C536" s="179"/>
      <c r="D536" s="35"/>
      <c r="E536" s="35"/>
      <c r="F536" s="35"/>
    </row>
    <row r="537" spans="1:7" ht="13">
      <c r="A537" s="176"/>
      <c r="B537" s="460" t="s">
        <v>309</v>
      </c>
      <c r="C537" s="179"/>
      <c r="D537" s="1259" t="s">
        <v>1180</v>
      </c>
      <c r="E537" s="1259"/>
      <c r="F537" s="1259"/>
    </row>
    <row r="538" spans="1:7">
      <c r="A538" s="179"/>
      <c r="B538" s="179"/>
      <c r="C538" s="179"/>
      <c r="D538" s="1259"/>
      <c r="E538" s="1259"/>
      <c r="F538" s="1259"/>
    </row>
    <row r="539" spans="1:7">
      <c r="A539" s="179"/>
      <c r="B539" s="179"/>
      <c r="C539" s="179"/>
      <c r="D539" s="35"/>
      <c r="E539" s="35"/>
      <c r="F539" s="35"/>
    </row>
    <row r="540" spans="1:7" ht="13">
      <c r="A540" s="176"/>
      <c r="B540" s="460" t="s">
        <v>309</v>
      </c>
      <c r="C540" s="179"/>
      <c r="D540" s="1259" t="s">
        <v>1181</v>
      </c>
      <c r="E540" s="1259"/>
      <c r="F540" s="1259"/>
    </row>
    <row r="541" spans="1:7">
      <c r="A541" s="179"/>
      <c r="B541" s="179"/>
      <c r="C541" s="179"/>
      <c r="D541" s="1259"/>
      <c r="E541" s="1259"/>
      <c r="F541" s="1259"/>
    </row>
    <row r="542" spans="1:7">
      <c r="A542" s="179"/>
      <c r="B542" s="179"/>
      <c r="C542" s="179"/>
      <c r="D542" s="35"/>
      <c r="E542" s="35"/>
      <c r="F542" s="35"/>
    </row>
    <row r="543" spans="1:7" ht="13">
      <c r="A543" s="176"/>
      <c r="B543" s="460" t="s">
        <v>309</v>
      </c>
      <c r="C543" s="179"/>
      <c r="D543" s="1270" t="s">
        <v>1182</v>
      </c>
      <c r="E543" s="1270"/>
      <c r="F543" s="1270"/>
    </row>
    <row r="544" spans="1:7" ht="13">
      <c r="A544" s="13"/>
      <c r="B544" s="13"/>
      <c r="C544" s="179"/>
      <c r="D544" s="1270" t="s">
        <v>847</v>
      </c>
      <c r="E544" s="1270"/>
      <c r="F544" s="1270"/>
    </row>
    <row r="545" spans="1:7" ht="13">
      <c r="A545" s="13"/>
      <c r="B545" s="13"/>
      <c r="C545" s="179"/>
      <c r="D545" s="3"/>
      <c r="E545" s="1281" t="s">
        <v>1183</v>
      </c>
      <c r="F545" s="1281"/>
    </row>
    <row r="546" spans="1:7" ht="13">
      <c r="A546" s="176"/>
      <c r="B546" s="176"/>
      <c r="C546" s="179"/>
      <c r="E546" s="35"/>
      <c r="F546" s="35"/>
    </row>
    <row r="547" spans="1:7" ht="13">
      <c r="A547" s="176"/>
      <c r="B547" s="460" t="s">
        <v>309</v>
      </c>
      <c r="C547" s="179"/>
      <c r="D547" s="1270" t="s">
        <v>1184</v>
      </c>
      <c r="E547" s="1270"/>
      <c r="F547" s="1270"/>
    </row>
    <row r="548" spans="1:7">
      <c r="C548" s="179"/>
      <c r="D548" s="1259" t="s">
        <v>1185</v>
      </c>
      <c r="E548" s="1259"/>
      <c r="F548" s="1259"/>
    </row>
    <row r="549" spans="1:7">
      <c r="A549" s="179"/>
      <c r="B549" s="179"/>
      <c r="C549" s="179"/>
      <c r="D549" s="1259"/>
      <c r="E549" s="1259"/>
      <c r="F549" s="1259"/>
    </row>
    <row r="550" spans="1:7">
      <c r="A550" s="179"/>
      <c r="B550" s="179"/>
      <c r="C550" s="179"/>
      <c r="D550" s="1259"/>
      <c r="E550" s="1259"/>
      <c r="F550" s="1259"/>
    </row>
    <row r="551" spans="1:7">
      <c r="A551" s="179"/>
      <c r="B551" s="179"/>
      <c r="C551" s="179"/>
      <c r="D551" s="35"/>
      <c r="E551" s="35"/>
      <c r="F551" s="35"/>
    </row>
    <row r="552" spans="1:7" ht="13">
      <c r="A552" s="176"/>
      <c r="B552" s="460" t="s">
        <v>309</v>
      </c>
      <c r="C552" s="179"/>
      <c r="D552" s="1259" t="s">
        <v>1186</v>
      </c>
      <c r="E552" s="1259"/>
      <c r="F552" s="1259"/>
    </row>
    <row r="553" spans="1:7" ht="13">
      <c r="A553" s="176"/>
      <c r="B553" s="176"/>
      <c r="C553" s="179"/>
      <c r="D553" s="1259"/>
      <c r="E553" s="1259"/>
      <c r="F553" s="1259"/>
    </row>
    <row r="554" spans="1:7" ht="13">
      <c r="A554" s="176"/>
      <c r="B554" s="176"/>
      <c r="C554" s="179"/>
      <c r="D554" s="1259"/>
      <c r="E554" s="1259"/>
      <c r="F554" s="1259"/>
    </row>
    <row r="555" spans="1:7" ht="13">
      <c r="A555" s="176"/>
      <c r="B555" s="176"/>
      <c r="C555" s="179"/>
      <c r="D555" s="1259"/>
      <c r="E555" s="1259"/>
      <c r="F555" s="1259"/>
    </row>
    <row r="556" spans="1:7" ht="13">
      <c r="A556" s="176"/>
      <c r="B556" s="176"/>
      <c r="C556" s="179"/>
      <c r="D556" s="35"/>
      <c r="E556" s="35"/>
      <c r="F556" s="35"/>
    </row>
    <row r="557" spans="1:7" ht="13">
      <c r="A557" s="1274" t="s">
        <v>1119</v>
      </c>
      <c r="B557" s="1274"/>
      <c r="C557" s="1274"/>
      <c r="D557" s="1274"/>
      <c r="E557" s="1274"/>
      <c r="F557" s="1274"/>
      <c r="G557" s="1274"/>
    </row>
    <row r="558" spans="1:7">
      <c r="A558" s="179"/>
      <c r="B558" s="179"/>
      <c r="C558" s="179"/>
      <c r="E558" s="35"/>
      <c r="F558" s="35"/>
    </row>
    <row r="559" spans="1:7" ht="12.75" customHeight="1">
      <c r="C559" s="172"/>
      <c r="D559" s="1292" t="s">
        <v>212</v>
      </c>
      <c r="E559" s="1292"/>
      <c r="F559" s="1292"/>
    </row>
    <row r="560" spans="1:7" ht="13">
      <c r="A560" s="175"/>
      <c r="B560" s="175"/>
      <c r="C560" s="175"/>
      <c r="D560" s="1273" t="s">
        <v>1135</v>
      </c>
      <c r="E560" s="1273"/>
      <c r="F560" s="1273"/>
    </row>
    <row r="561" spans="1:6" ht="13">
      <c r="A561"/>
      <c r="B561"/>
      <c r="C561" s="175"/>
      <c r="D561" s="247"/>
    </row>
    <row r="562" spans="1:6" ht="13">
      <c r="A562" s="175"/>
      <c r="B562" s="460" t="s">
        <v>309</v>
      </c>
      <c r="D562" s="1273" t="s">
        <v>920</v>
      </c>
      <c r="E562" s="1273"/>
      <c r="F562" s="1273"/>
    </row>
    <row r="563" spans="1:6" ht="13">
      <c r="A563" s="13"/>
      <c r="B563" s="13"/>
      <c r="D563" s="217"/>
    </row>
    <row r="564" spans="1:6" ht="13">
      <c r="A564" s="13"/>
      <c r="B564" s="460" t="s">
        <v>309</v>
      </c>
      <c r="D564" s="1273" t="s">
        <v>1136</v>
      </c>
      <c r="E564" s="1273"/>
      <c r="F564" s="1273"/>
    </row>
    <row r="565" spans="1:6" ht="13">
      <c r="A565" s="13"/>
      <c r="B565" s="13"/>
      <c r="D565" s="1273"/>
      <c r="E565" s="1273"/>
      <c r="F565" s="1273"/>
    </row>
    <row r="566" spans="1:6" ht="13">
      <c r="A566" s="13"/>
      <c r="B566" s="13"/>
      <c r="D566" s="1273"/>
      <c r="E566" s="1273"/>
      <c r="F566" s="1273"/>
    </row>
    <row r="567" spans="1:6" ht="13">
      <c r="A567" s="13"/>
      <c r="B567" s="13"/>
      <c r="D567" s="247"/>
    </row>
    <row r="568" spans="1:6" ht="13">
      <c r="A568" s="13"/>
      <c r="B568" s="460" t="s">
        <v>309</v>
      </c>
      <c r="D568" s="1273" t="s">
        <v>1137</v>
      </c>
      <c r="E568" s="1273"/>
      <c r="F568" s="1273"/>
    </row>
    <row r="569" spans="1:6" ht="13">
      <c r="A569" s="13"/>
      <c r="B569" s="13"/>
      <c r="D569" s="1273"/>
      <c r="E569" s="1273"/>
      <c r="F569" s="1273"/>
    </row>
    <row r="570" spans="1:6" ht="13">
      <c r="A570" s="13"/>
      <c r="B570" s="13"/>
      <c r="D570" s="1273"/>
      <c r="E570" s="1273"/>
      <c r="F570" s="1273"/>
    </row>
    <row r="571" spans="1:6" ht="13">
      <c r="A571" s="13"/>
      <c r="B571" s="13"/>
      <c r="D571" s="1273"/>
      <c r="E571" s="1273"/>
      <c r="F571" s="1273"/>
    </row>
    <row r="572" spans="1:6" ht="13">
      <c r="A572" s="13"/>
      <c r="B572" s="13"/>
      <c r="D572" s="465"/>
      <c r="E572" s="465"/>
      <c r="F572" s="465"/>
    </row>
    <row r="573" spans="1:6" ht="13">
      <c r="A573" s="13"/>
      <c r="B573" s="460" t="s">
        <v>309</v>
      </c>
      <c r="D573" s="1273" t="s">
        <v>1138</v>
      </c>
      <c r="E573" s="1273"/>
      <c r="F573" s="1273"/>
    </row>
    <row r="574" spans="1:6" ht="13">
      <c r="A574" s="13"/>
      <c r="B574" s="13"/>
      <c r="D574" s="1273"/>
      <c r="E574" s="1273"/>
      <c r="F574" s="1273"/>
    </row>
    <row r="575" spans="1:6" ht="13">
      <c r="A575" s="13"/>
      <c r="B575" s="13"/>
      <c r="D575" s="247"/>
    </row>
    <row r="576" spans="1:6" ht="13">
      <c r="A576" s="13"/>
      <c r="B576" s="460" t="s">
        <v>309</v>
      </c>
      <c r="D576" s="1273" t="s">
        <v>1139</v>
      </c>
      <c r="E576" s="1273"/>
      <c r="F576" s="1273"/>
    </row>
    <row r="577" spans="1:7" ht="13">
      <c r="A577" s="13"/>
      <c r="B577" s="13"/>
      <c r="D577" s="1273"/>
      <c r="E577" s="1273"/>
      <c r="F577" s="1273"/>
    </row>
    <row r="578" spans="1:7" ht="13">
      <c r="A578" s="13"/>
      <c r="B578" s="13"/>
      <c r="D578" s="247"/>
    </row>
    <row r="579" spans="1:7" ht="13">
      <c r="A579" s="176"/>
      <c r="B579" s="460" t="s">
        <v>309</v>
      </c>
      <c r="D579" s="1273" t="s">
        <v>915</v>
      </c>
      <c r="E579" s="1273"/>
      <c r="F579" s="1273"/>
    </row>
    <row r="580" spans="1:7" ht="13">
      <c r="A580" s="176"/>
      <c r="B580" s="176"/>
      <c r="D580" s="247"/>
    </row>
    <row r="581" spans="1:7" ht="13">
      <c r="A581" s="176"/>
      <c r="B581" s="460" t="s">
        <v>309</v>
      </c>
      <c r="D581" s="1273" t="s">
        <v>1140</v>
      </c>
      <c r="E581" s="1273"/>
      <c r="F581" s="1273"/>
    </row>
    <row r="582" spans="1:7" ht="13">
      <c r="A582" s="176"/>
      <c r="B582" s="176"/>
      <c r="D582" s="1273"/>
      <c r="E582" s="1273"/>
      <c r="F582" s="1273"/>
    </row>
    <row r="583" spans="1:7">
      <c r="D583" s="1273"/>
      <c r="E583" s="1273"/>
      <c r="F583" s="1273"/>
    </row>
    <row r="584" spans="1:7">
      <c r="D584" s="1273"/>
      <c r="E584" s="1273"/>
      <c r="F584" s="1273"/>
    </row>
    <row r="585" spans="1:7">
      <c r="D585" s="1273"/>
      <c r="E585" s="1273"/>
      <c r="F585" s="1273"/>
    </row>
    <row r="586" spans="1:7">
      <c r="D586" s="1273"/>
      <c r="E586" s="1273"/>
      <c r="F586" s="1273"/>
    </row>
    <row r="587" spans="1:7"/>
    <row r="588" spans="1:7" ht="13">
      <c r="A588" s="1274" t="s">
        <v>1120</v>
      </c>
      <c r="B588" s="1274"/>
      <c r="C588" s="1274"/>
      <c r="D588" s="1274"/>
      <c r="E588" s="1274"/>
      <c r="F588" s="1274"/>
      <c r="G588" s="1274"/>
    </row>
    <row r="589" spans="1:7"/>
    <row r="590" spans="1:7" ht="13">
      <c r="D590" s="1285" t="s">
        <v>1220</v>
      </c>
      <c r="E590" s="1285"/>
      <c r="F590" s="1285"/>
    </row>
    <row r="591" spans="1:7">
      <c r="D591" s="1308" t="s">
        <v>1221</v>
      </c>
      <c r="E591" s="1308"/>
      <c r="F591" s="1308"/>
    </row>
    <row r="592" spans="1:7">
      <c r="D592" s="470"/>
      <c r="E592" s="425"/>
      <c r="F592" s="425"/>
    </row>
    <row r="593" spans="1:7" ht="13">
      <c r="A593" s="176"/>
      <c r="B593" s="460" t="s">
        <v>309</v>
      </c>
      <c r="D593" s="1286" t="s">
        <v>1222</v>
      </c>
      <c r="E593" s="1286"/>
      <c r="F593" s="1286"/>
    </row>
    <row r="594" spans="1:7">
      <c r="D594" s="1286"/>
      <c r="E594" s="1286"/>
      <c r="F594" s="1286"/>
    </row>
    <row r="595" spans="1:7">
      <c r="D595" s="1286"/>
      <c r="E595" s="1286"/>
      <c r="F595" s="1286"/>
    </row>
    <row r="596" spans="1:7"/>
    <row r="597" spans="1:7" ht="13">
      <c r="A597" s="1274" t="s">
        <v>1121</v>
      </c>
      <c r="B597" s="1274"/>
      <c r="C597" s="1274"/>
      <c r="D597" s="1274"/>
      <c r="E597" s="1274"/>
      <c r="F597" s="1274"/>
      <c r="G597" s="1274"/>
    </row>
    <row r="598" spans="1:7">
      <c r="A598" s="35"/>
      <c r="B598" s="35"/>
    </row>
    <row r="599" spans="1:7" ht="13">
      <c r="A599" s="172"/>
      <c r="B599" s="172"/>
      <c r="C599" s="172"/>
      <c r="D599" s="1309" t="s">
        <v>1223</v>
      </c>
      <c r="E599" s="1309"/>
      <c r="F599" s="1309"/>
    </row>
    <row r="600" spans="1:7" ht="13">
      <c r="A600" s="172"/>
      <c r="B600" s="172"/>
      <c r="C600" s="172"/>
      <c r="D600" s="1309"/>
      <c r="E600" s="1309"/>
      <c r="F600" s="1309"/>
    </row>
    <row r="601" spans="1:7" ht="13">
      <c r="C601" s="175"/>
      <c r="D601" s="1308" t="s">
        <v>1224</v>
      </c>
      <c r="E601" s="1308"/>
      <c r="F601" s="1308"/>
    </row>
    <row r="602" spans="1:7" ht="13">
      <c r="C602" s="175"/>
      <c r="D602" s="470"/>
      <c r="E602" s="470"/>
      <c r="F602" s="470"/>
    </row>
    <row r="603" spans="1:7" ht="13">
      <c r="A603" s="13"/>
      <c r="B603" s="460" t="s">
        <v>309</v>
      </c>
      <c r="D603" s="1308" t="s">
        <v>434</v>
      </c>
      <c r="E603" s="1308"/>
      <c r="F603" s="1308"/>
    </row>
    <row r="604" spans="1:7" ht="13">
      <c r="C604" s="180"/>
      <c r="E604"/>
    </row>
    <row r="605" spans="1:7" ht="13">
      <c r="A605" s="13"/>
      <c r="B605" s="460" t="s">
        <v>309</v>
      </c>
      <c r="D605" s="1284" t="s">
        <v>1225</v>
      </c>
      <c r="E605" s="1284"/>
      <c r="F605" s="1284"/>
    </row>
    <row r="606" spans="1:7">
      <c r="D606" s="1284"/>
      <c r="E606" s="1284"/>
      <c r="F606" s="1284"/>
    </row>
    <row r="607" spans="1:7">
      <c r="D607"/>
    </row>
    <row r="608" spans="1:7">
      <c r="B608" s="460" t="s">
        <v>309</v>
      </c>
      <c r="D608" s="1284" t="s">
        <v>1226</v>
      </c>
      <c r="E608" s="1284"/>
      <c r="F608" s="1284"/>
    </row>
    <row r="609" spans="1:7" ht="13">
      <c r="C609" s="180"/>
      <c r="D609" s="1284"/>
      <c r="E609" s="1284"/>
      <c r="F609" s="1284"/>
    </row>
    <row r="610" spans="1:7" ht="13">
      <c r="C610" s="180"/>
    </row>
    <row r="611" spans="1:7" ht="13">
      <c r="B611" s="460" t="s">
        <v>309</v>
      </c>
      <c r="C611" s="180"/>
      <c r="D611" s="1284" t="s">
        <v>1227</v>
      </c>
      <c r="E611" s="1284"/>
      <c r="F611" s="1284"/>
    </row>
    <row r="612" spans="1:7" ht="13">
      <c r="C612" s="180"/>
      <c r="D612" s="1284"/>
      <c r="E612" s="1284"/>
      <c r="F612" s="1284"/>
    </row>
    <row r="613" spans="1:7" ht="13">
      <c r="C613" s="180"/>
    </row>
    <row r="614" spans="1:7" ht="13">
      <c r="A614" s="1274" t="s">
        <v>1122</v>
      </c>
      <c r="B614" s="1274"/>
      <c r="C614" s="1274"/>
      <c r="D614" s="1274"/>
      <c r="E614" s="1274"/>
      <c r="F614" s="1274"/>
      <c r="G614" s="1274"/>
    </row>
    <row r="615" spans="1:7" ht="13">
      <c r="A615" s="172"/>
      <c r="B615" s="172"/>
      <c r="C615" s="172"/>
    </row>
    <row r="616" spans="1:7" ht="13">
      <c r="C616" s="13"/>
      <c r="D616" s="1285" t="s">
        <v>1228</v>
      </c>
      <c r="E616" s="1285"/>
      <c r="F616" s="1285"/>
    </row>
    <row r="617" spans="1:7" ht="13">
      <c r="A617" s="13"/>
      <c r="B617" s="13"/>
      <c r="D617" s="2"/>
    </row>
    <row r="618" spans="1:7" ht="13">
      <c r="A618" s="176"/>
      <c r="B618" s="460" t="s">
        <v>309</v>
      </c>
      <c r="D618" s="1286" t="s">
        <v>1229</v>
      </c>
      <c r="E618" s="1286"/>
      <c r="F618" s="1286"/>
    </row>
    <row r="619" spans="1:7">
      <c r="D619" s="1286"/>
      <c r="E619" s="1286"/>
      <c r="F619" s="1286"/>
    </row>
    <row r="620" spans="1:7">
      <c r="D620" s="1286"/>
      <c r="E620" s="1286"/>
      <c r="F620" s="1286"/>
    </row>
    <row r="621" spans="1:7">
      <c r="D621" s="1286"/>
      <c r="E621" s="1286"/>
      <c r="F621" s="1286"/>
    </row>
    <row r="622" spans="1:7">
      <c r="D622" s="1286"/>
      <c r="E622" s="1286"/>
      <c r="F622" s="1286"/>
    </row>
    <row r="623" spans="1:7">
      <c r="D623" s="1286"/>
      <c r="E623" s="1286"/>
      <c r="F623" s="1286"/>
    </row>
    <row r="624" spans="1:7">
      <c r="D624" s="471"/>
      <c r="E624" s="471"/>
      <c r="F624" s="471"/>
    </row>
    <row r="625" spans="1:7" ht="13">
      <c r="A625" s="176"/>
      <c r="B625" s="460" t="s">
        <v>309</v>
      </c>
      <c r="D625" s="1286" t="s">
        <v>1230</v>
      </c>
      <c r="E625" s="1286"/>
      <c r="F625" s="1286"/>
    </row>
    <row r="626" spans="1:7">
      <c r="A626" s="179"/>
      <c r="B626" s="179"/>
      <c r="C626" s="179"/>
      <c r="D626" s="1286"/>
      <c r="E626" s="1286"/>
      <c r="F626" s="1286"/>
    </row>
    <row r="627" spans="1:7">
      <c r="A627" s="179"/>
      <c r="B627" s="179"/>
      <c r="C627" s="179"/>
      <c r="D627" s="35"/>
      <c r="E627" s="35"/>
      <c r="F627" s="35"/>
    </row>
    <row r="628" spans="1:7" ht="13">
      <c r="A628" s="176"/>
      <c r="B628" s="460" t="s">
        <v>309</v>
      </c>
      <c r="C628" s="179"/>
      <c r="D628" s="1286" t="s">
        <v>1231</v>
      </c>
      <c r="E628" s="1286"/>
      <c r="F628" s="1286"/>
    </row>
    <row r="629" spans="1:7" ht="13">
      <c r="A629" s="176"/>
      <c r="B629" s="176"/>
      <c r="C629" s="179"/>
      <c r="D629" s="1286"/>
      <c r="E629" s="1286"/>
      <c r="F629" s="1286"/>
    </row>
    <row r="630" spans="1:7" ht="13">
      <c r="A630" s="176"/>
      <c r="B630" s="176"/>
      <c r="C630" s="179"/>
      <c r="D630" s="1286"/>
      <c r="E630" s="1286"/>
      <c r="F630" s="1286"/>
    </row>
    <row r="631" spans="1:7">
      <c r="A631" s="179"/>
      <c r="B631" s="179"/>
      <c r="C631" s="179"/>
      <c r="D631" s="1286"/>
      <c r="E631" s="1286"/>
      <c r="F631" s="1286"/>
    </row>
    <row r="632" spans="1:7">
      <c r="A632" s="179"/>
      <c r="B632" s="179"/>
      <c r="C632" s="179"/>
      <c r="D632" s="471"/>
      <c r="E632" s="471"/>
      <c r="F632" s="471"/>
    </row>
    <row r="633" spans="1:7">
      <c r="A633" s="179"/>
      <c r="B633" s="460" t="s">
        <v>309</v>
      </c>
      <c r="C633" s="179"/>
      <c r="D633" s="1287" t="s">
        <v>1232</v>
      </c>
      <c r="E633" s="1287"/>
      <c r="F633" s="1287"/>
    </row>
    <row r="634" spans="1:7">
      <c r="A634" s="179"/>
      <c r="B634" s="179"/>
      <c r="C634" s="179"/>
      <c r="D634" s="472"/>
      <c r="E634" s="472"/>
      <c r="F634" s="472"/>
    </row>
    <row r="635" spans="1:7" ht="13">
      <c r="A635" s="1274" t="s">
        <v>1123</v>
      </c>
      <c r="B635" s="1274"/>
      <c r="C635" s="1274"/>
      <c r="D635" s="1274"/>
      <c r="E635" s="1274"/>
      <c r="F635" s="1274"/>
      <c r="G635" s="1274"/>
    </row>
    <row r="636" spans="1:7">
      <c r="A636" s="35"/>
      <c r="B636" s="35"/>
      <c r="C636" s="179"/>
      <c r="D636" s="35"/>
      <c r="E636" s="35"/>
      <c r="F636" s="35"/>
    </row>
    <row r="637" spans="1:7" ht="13">
      <c r="C637" s="172"/>
      <c r="D637" s="1275" t="s">
        <v>1282</v>
      </c>
      <c r="E637" s="1275"/>
      <c r="F637" s="1275"/>
    </row>
    <row r="638" spans="1:7" ht="13">
      <c r="A638" s="175"/>
      <c r="B638" s="175"/>
      <c r="C638" s="175"/>
      <c r="D638" s="1270" t="s">
        <v>1283</v>
      </c>
      <c r="E638" s="1270"/>
      <c r="F638" s="1270"/>
    </row>
    <row r="639" spans="1:7" ht="13">
      <c r="A639" s="175"/>
      <c r="B639" s="175"/>
      <c r="C639" s="175"/>
      <c r="D639" s="118"/>
      <c r="E639" s="118"/>
      <c r="F639" s="118"/>
    </row>
    <row r="640" spans="1:7" ht="14.75" customHeight="1">
      <c r="A640" s="176"/>
      <c r="B640" s="460" t="s">
        <v>309</v>
      </c>
      <c r="C640" s="179"/>
      <c r="D640" s="1259" t="s">
        <v>1284</v>
      </c>
      <c r="E640" s="1259"/>
      <c r="F640" s="1259"/>
    </row>
    <row r="641" spans="1:11" ht="13">
      <c r="A641" s="176"/>
      <c r="B641" s="176"/>
      <c r="C641" s="179"/>
      <c r="D641" s="1259"/>
      <c r="E641" s="1259"/>
      <c r="F641" s="1259"/>
    </row>
    <row r="642" spans="1:11" ht="13">
      <c r="A642" s="176"/>
      <c r="B642" s="176"/>
      <c r="C642" s="179"/>
      <c r="D642" s="1259"/>
      <c r="E642" s="1259"/>
      <c r="F642" s="1259"/>
    </row>
    <row r="643" spans="1:11" ht="13">
      <c r="A643" s="176"/>
      <c r="B643" s="176"/>
      <c r="C643" s="179"/>
      <c r="D643" s="1259"/>
      <c r="E643" s="1259"/>
      <c r="F643" s="1259"/>
    </row>
    <row r="644" spans="1:11" ht="13">
      <c r="A644" s="176"/>
      <c r="B644" s="176"/>
      <c r="C644" s="179"/>
      <c r="D644" s="1259"/>
      <c r="E644" s="1259"/>
      <c r="F644" s="1259"/>
    </row>
    <row r="645" spans="1:11" ht="13">
      <c r="A645" s="176"/>
      <c r="B645" s="176"/>
      <c r="C645" s="179"/>
      <c r="D645" s="466"/>
      <c r="E645" s="466"/>
      <c r="F645" s="466"/>
    </row>
    <row r="646" spans="1:11" ht="13">
      <c r="A646" s="176"/>
      <c r="B646" s="460" t="s">
        <v>309</v>
      </c>
      <c r="C646" s="179"/>
      <c r="D646" s="1298" t="s">
        <v>1134</v>
      </c>
      <c r="E646" s="1298"/>
      <c r="F646" s="1298"/>
    </row>
    <row r="647" spans="1:11" ht="13">
      <c r="A647" s="176"/>
      <c r="B647" s="176"/>
      <c r="C647" s="179"/>
      <c r="D647" s="1299" t="s">
        <v>1285</v>
      </c>
      <c r="E647" s="1299"/>
      <c r="F647" s="1299"/>
    </row>
    <row r="648" spans="1:11" ht="13">
      <c r="A648" s="176"/>
      <c r="B648" s="176"/>
      <c r="C648" s="179"/>
      <c r="D648" s="1299"/>
      <c r="E648" s="1299"/>
      <c r="F648" s="1299"/>
    </row>
    <row r="649" spans="1:11" ht="13">
      <c r="A649" s="176"/>
      <c r="B649" s="176"/>
      <c r="C649" s="179"/>
      <c r="D649" s="1299"/>
      <c r="E649" s="1299"/>
      <c r="F649" s="1299"/>
    </row>
    <row r="650" spans="1:11" ht="13">
      <c r="A650" s="176"/>
      <c r="B650" s="176"/>
      <c r="C650" s="179"/>
      <c r="D650" s="1299"/>
      <c r="E650" s="1299"/>
      <c r="F650" s="1299"/>
    </row>
    <row r="651" spans="1:11" ht="13">
      <c r="A651" s="176"/>
      <c r="B651" s="176"/>
      <c r="C651" s="179"/>
      <c r="D651" s="1299"/>
      <c r="E651" s="1299"/>
      <c r="F651" s="1299"/>
    </row>
    <row r="652" spans="1:11" ht="13">
      <c r="A652" s="176"/>
      <c r="B652" s="176"/>
      <c r="C652" s="179"/>
      <c r="D652" s="1300" t="s">
        <v>1286</v>
      </c>
      <c r="E652" s="1300"/>
      <c r="F652" s="1300"/>
    </row>
    <row r="653" spans="1:11">
      <c r="A653" s="179"/>
      <c r="B653" s="179"/>
      <c r="C653" s="179"/>
      <c r="D653" s="35"/>
      <c r="E653" s="35"/>
      <c r="F653" s="35"/>
    </row>
    <row r="654" spans="1:11" ht="13">
      <c r="A654" s="1274" t="s">
        <v>1124</v>
      </c>
      <c r="B654" s="1274"/>
      <c r="C654" s="1274"/>
      <c r="D654" s="1274"/>
      <c r="E654" s="1274"/>
      <c r="F654" s="1274"/>
      <c r="G654" s="1274"/>
      <c r="H654" s="181"/>
      <c r="I654" s="181"/>
      <c r="J654" s="181"/>
      <c r="K654" s="181"/>
    </row>
    <row r="655" spans="1:11" ht="13">
      <c r="A655" s="474"/>
      <c r="B655" s="474"/>
      <c r="C655" s="474"/>
      <c r="D655" s="474"/>
      <c r="E655" s="474"/>
      <c r="F655" s="474"/>
      <c r="G655" s="474"/>
      <c r="H655" s="181"/>
      <c r="I655" s="181"/>
      <c r="J655" s="181"/>
      <c r="K655" s="181"/>
    </row>
    <row r="656" spans="1:11" ht="13">
      <c r="C656" s="172"/>
      <c r="D656" s="1275" t="s">
        <v>100</v>
      </c>
      <c r="E656" s="1275"/>
      <c r="F656" s="1275"/>
      <c r="H656" s="181"/>
      <c r="I656" s="181"/>
      <c r="J656" s="181"/>
      <c r="K656" s="181"/>
    </row>
    <row r="657" spans="1:11" ht="13">
      <c r="A657" s="172"/>
      <c r="B657" s="172"/>
      <c r="C657" s="172"/>
      <c r="D657" s="1275" t="s">
        <v>124</v>
      </c>
      <c r="E657" s="1275"/>
      <c r="F657" s="1275"/>
      <c r="H657" s="181"/>
      <c r="I657" s="181"/>
      <c r="J657" s="181"/>
      <c r="K657" s="181"/>
    </row>
    <row r="658" spans="1:11" ht="13">
      <c r="A658" s="175"/>
      <c r="B658" s="175"/>
      <c r="C658" s="175"/>
      <c r="D658" s="1270" t="s">
        <v>1160</v>
      </c>
      <c r="E658" s="1270"/>
      <c r="F658" s="1270"/>
      <c r="H658" s="181"/>
      <c r="I658" s="181"/>
      <c r="J658" s="181"/>
      <c r="K658" s="181"/>
    </row>
    <row r="659" spans="1:11" ht="13">
      <c r="A659" s="175"/>
      <c r="B659" s="175"/>
      <c r="C659" s="175"/>
      <c r="H659" s="181"/>
      <c r="I659" s="181"/>
      <c r="J659" s="181"/>
      <c r="K659" s="181"/>
    </row>
    <row r="660" spans="1:11" ht="13">
      <c r="A660" s="176"/>
      <c r="B660" s="460" t="s">
        <v>309</v>
      </c>
      <c r="C660" s="175"/>
      <c r="D660" s="1270" t="s">
        <v>916</v>
      </c>
      <c r="E660" s="1270"/>
      <c r="F660" s="1270"/>
      <c r="H660" s="181"/>
      <c r="I660" s="181"/>
      <c r="J660" s="181"/>
      <c r="K660" s="181"/>
    </row>
    <row r="661" spans="1:11" ht="13">
      <c r="A661" s="175"/>
      <c r="B661" s="175"/>
      <c r="C661" s="175"/>
      <c r="D661" s="1270" t="s">
        <v>927</v>
      </c>
      <c r="E661" s="1270"/>
      <c r="F661" s="1270"/>
      <c r="H661" s="181"/>
      <c r="I661" s="181"/>
      <c r="J661" s="181"/>
      <c r="K661" s="181"/>
    </row>
    <row r="662" spans="1:11" ht="13">
      <c r="A662" s="175"/>
      <c r="B662" s="175"/>
      <c r="C662" s="175"/>
      <c r="D662" s="3"/>
      <c r="E662" s="1269" t="s">
        <v>1161</v>
      </c>
      <c r="F662" s="1269"/>
      <c r="H662" s="181"/>
      <c r="I662" s="181"/>
      <c r="J662" s="181"/>
      <c r="K662" s="181"/>
    </row>
    <row r="663" spans="1:11" ht="13">
      <c r="A663" s="175"/>
      <c r="B663" s="175"/>
      <c r="C663" s="175"/>
      <c r="D663" s="3"/>
      <c r="E663" s="1269"/>
      <c r="F663" s="1269"/>
      <c r="H663" s="181"/>
      <c r="I663" s="181"/>
      <c r="J663" s="181"/>
      <c r="K663" s="181"/>
    </row>
    <row r="664" spans="1:11" ht="13">
      <c r="A664" s="175"/>
      <c r="B664" s="175"/>
      <c r="C664" s="175"/>
      <c r="D664" s="182"/>
      <c r="E664" s="35"/>
      <c r="H664" s="181"/>
      <c r="I664" s="181"/>
      <c r="J664" s="181"/>
      <c r="K664" s="181"/>
    </row>
    <row r="665" spans="1:11" ht="13">
      <c r="A665" s="176"/>
      <c r="B665" s="460" t="s">
        <v>309</v>
      </c>
      <c r="C665" s="175"/>
      <c r="D665" s="1259" t="s">
        <v>1162</v>
      </c>
      <c r="E665" s="1259"/>
      <c r="F665" s="1259"/>
      <c r="H665" s="181"/>
      <c r="I665" s="181"/>
      <c r="J665" s="181"/>
      <c r="K665" s="181"/>
    </row>
    <row r="666" spans="1:11" ht="13">
      <c r="A666" s="13"/>
      <c r="B666" s="13"/>
      <c r="C666" s="175"/>
      <c r="D666" s="1259"/>
      <c r="E666" s="1259"/>
      <c r="F666" s="1259"/>
      <c r="H666" s="181"/>
      <c r="I666" s="181"/>
      <c r="J666" s="181"/>
      <c r="K666" s="181"/>
    </row>
    <row r="667" spans="1:11" ht="13">
      <c r="A667" s="175"/>
      <c r="B667" s="175"/>
      <c r="C667" s="175"/>
      <c r="D667" s="1259"/>
      <c r="E667" s="1259"/>
      <c r="F667" s="1259"/>
      <c r="H667" s="181"/>
      <c r="I667" s="181"/>
      <c r="J667" s="181"/>
      <c r="K667" s="181"/>
    </row>
    <row r="668" spans="1:11" ht="13">
      <c r="A668" s="175"/>
      <c r="B668" s="175"/>
      <c r="C668" s="175"/>
      <c r="H668" s="181"/>
      <c r="I668" s="181"/>
      <c r="J668" s="181"/>
      <c r="K668" s="181"/>
    </row>
    <row r="669" spans="1:11" ht="13">
      <c r="A669" s="176"/>
      <c r="B669" s="460" t="s">
        <v>309</v>
      </c>
      <c r="C669" s="175"/>
      <c r="D669" s="1270" t="s">
        <v>955</v>
      </c>
      <c r="E669" s="1270"/>
      <c r="F669" s="1270"/>
      <c r="H669" s="181"/>
      <c r="I669" s="181"/>
      <c r="J669" s="181"/>
      <c r="K669" s="181"/>
    </row>
    <row r="670" spans="1:11" ht="13">
      <c r="A670" s="176"/>
      <c r="B670" s="176"/>
      <c r="C670" s="175"/>
      <c r="D670" s="1270" t="s">
        <v>927</v>
      </c>
      <c r="E670" s="1270"/>
      <c r="F670" s="1270"/>
      <c r="H670" s="181"/>
      <c r="I670" s="181"/>
      <c r="J670" s="181"/>
      <c r="K670" s="181"/>
    </row>
    <row r="671" spans="1:11" ht="13">
      <c r="A671" s="175"/>
      <c r="B671" s="175"/>
      <c r="C671" s="175"/>
      <c r="D671" s="3"/>
      <c r="E671" s="1281" t="s">
        <v>1163</v>
      </c>
      <c r="F671" s="1281"/>
      <c r="H671" s="181"/>
      <c r="I671" s="181"/>
      <c r="J671" s="181"/>
      <c r="K671" s="181"/>
    </row>
    <row r="672" spans="1:11" ht="13">
      <c r="A672" s="175"/>
      <c r="B672" s="175"/>
      <c r="C672" s="175"/>
      <c r="D672" s="2"/>
      <c r="H672" s="181"/>
      <c r="I672" s="181"/>
      <c r="J672" s="181"/>
      <c r="K672" s="181"/>
    </row>
    <row r="673" spans="1:11" ht="13">
      <c r="A673" s="176"/>
      <c r="B673" s="460" t="s">
        <v>309</v>
      </c>
      <c r="C673" s="175"/>
      <c r="D673" s="1259" t="s">
        <v>1173</v>
      </c>
      <c r="E673" s="1259"/>
      <c r="F673" s="1259"/>
      <c r="H673" s="181"/>
      <c r="I673" s="181"/>
      <c r="J673" s="181"/>
      <c r="K673" s="181"/>
    </row>
    <row r="674" spans="1:11" ht="13">
      <c r="A674" s="175"/>
      <c r="B674" s="175"/>
      <c r="C674" s="175"/>
      <c r="D674" s="1259"/>
      <c r="E674" s="1259"/>
      <c r="F674" s="1259"/>
      <c r="H674" s="181"/>
      <c r="I674" s="181"/>
      <c r="J674" s="181"/>
      <c r="K674" s="181"/>
    </row>
    <row r="675" spans="1:11" ht="13">
      <c r="A675" s="175"/>
      <c r="B675" s="175"/>
      <c r="C675" s="175"/>
      <c r="D675" s="1259"/>
      <c r="E675" s="1259"/>
      <c r="F675" s="1259"/>
      <c r="H675" s="181"/>
      <c r="I675" s="181"/>
      <c r="J675" s="181"/>
      <c r="K675" s="181"/>
    </row>
    <row r="676" spans="1:11" ht="13">
      <c r="A676" s="175"/>
      <c r="B676" s="175"/>
      <c r="C676" s="175"/>
      <c r="D676" s="1259"/>
      <c r="E676" s="1259"/>
      <c r="F676" s="1259"/>
      <c r="H676" s="181"/>
      <c r="I676" s="181"/>
      <c r="J676" s="181"/>
      <c r="K676" s="181"/>
    </row>
    <row r="677" spans="1:11" ht="13">
      <c r="A677" s="175"/>
      <c r="B677" s="175"/>
      <c r="C677" s="175"/>
      <c r="D677" s="1259"/>
      <c r="E677" s="1259"/>
      <c r="F677" s="1259"/>
      <c r="H677" s="181"/>
      <c r="I677" s="181"/>
      <c r="J677" s="181"/>
      <c r="K677" s="181"/>
    </row>
    <row r="678" spans="1:11" ht="13">
      <c r="A678" s="175"/>
      <c r="B678" s="175"/>
      <c r="C678" s="175"/>
      <c r="D678" s="1259"/>
      <c r="E678" s="1259"/>
      <c r="F678" s="1259"/>
      <c r="H678" s="181"/>
      <c r="I678" s="181"/>
      <c r="J678" s="181"/>
      <c r="K678" s="181"/>
    </row>
    <row r="679" spans="1:11" ht="13">
      <c r="A679" s="175"/>
      <c r="B679" s="175"/>
      <c r="C679" s="175"/>
      <c r="D679" s="466"/>
      <c r="E679" s="466"/>
      <c r="F679" s="466"/>
      <c r="H679" s="181"/>
      <c r="I679" s="181"/>
      <c r="J679" s="181"/>
      <c r="K679" s="181"/>
    </row>
    <row r="680" spans="1:11" ht="13">
      <c r="A680" s="176"/>
      <c r="B680" s="460" t="s">
        <v>309</v>
      </c>
      <c r="C680" s="175"/>
      <c r="D680" s="1259" t="s">
        <v>1164</v>
      </c>
      <c r="E680" s="1259"/>
      <c r="F680" s="1259"/>
      <c r="H680" s="181"/>
      <c r="I680" s="181"/>
      <c r="J680" s="181"/>
      <c r="K680" s="181"/>
    </row>
    <row r="681" spans="1:11" ht="13">
      <c r="A681" s="175"/>
      <c r="B681" s="175"/>
      <c r="C681" s="175"/>
      <c r="D681" s="1259"/>
      <c r="E681" s="1259"/>
      <c r="F681" s="1259"/>
      <c r="H681" s="181"/>
      <c r="I681" s="181"/>
      <c r="J681" s="181"/>
      <c r="K681" s="181"/>
    </row>
    <row r="682" spans="1:11" ht="13">
      <c r="A682" s="175"/>
      <c r="B682" s="175"/>
      <c r="C682" s="175"/>
      <c r="D682" s="1259"/>
      <c r="E682" s="1259"/>
      <c r="F682" s="1259"/>
      <c r="H682" s="181"/>
      <c r="I682" s="181"/>
      <c r="J682" s="181"/>
      <c r="K682" s="181"/>
    </row>
    <row r="683" spans="1:11" ht="15" customHeight="1">
      <c r="A683" s="175"/>
      <c r="B683" s="175"/>
      <c r="C683" s="175"/>
      <c r="D683" s="1259"/>
      <c r="E683" s="1259"/>
      <c r="F683" s="1259"/>
      <c r="H683" s="181"/>
      <c r="I683" s="181"/>
      <c r="J683" s="181"/>
      <c r="K683" s="181"/>
    </row>
    <row r="684" spans="1:11" ht="15" customHeight="1">
      <c r="A684" s="175"/>
      <c r="B684" s="175"/>
      <c r="C684" s="175"/>
      <c r="D684" s="1259"/>
      <c r="E684" s="1259"/>
      <c r="F684" s="1259"/>
      <c r="H684" s="181"/>
      <c r="I684" s="181"/>
      <c r="J684" s="181"/>
      <c r="K684" s="181"/>
    </row>
    <row r="685" spans="1:11" ht="13">
      <c r="A685" s="175"/>
      <c r="B685" s="175"/>
      <c r="C685" s="175"/>
      <c r="D685" s="1259"/>
      <c r="E685" s="1259"/>
      <c r="F685" s="1259"/>
      <c r="H685" s="181"/>
      <c r="I685" s="181"/>
      <c r="J685" s="181"/>
      <c r="K685" s="181"/>
    </row>
    <row r="686" spans="1:11" ht="13">
      <c r="A686" s="175"/>
      <c r="B686" s="175"/>
      <c r="C686" s="175"/>
      <c r="D686" s="1259"/>
      <c r="E686" s="1259"/>
      <c r="F686" s="1259"/>
      <c r="H686" s="181"/>
      <c r="I686" s="181"/>
      <c r="J686" s="181"/>
      <c r="K686" s="181"/>
    </row>
    <row r="687" spans="1:11" ht="13">
      <c r="A687" s="175"/>
      <c r="B687" s="175"/>
      <c r="C687" s="175"/>
      <c r="D687" s="1259"/>
      <c r="E687" s="1259"/>
      <c r="F687" s="1259"/>
      <c r="H687" s="181"/>
      <c r="I687" s="181"/>
      <c r="J687" s="181"/>
      <c r="K687" s="181"/>
    </row>
    <row r="688" spans="1:11" ht="15" customHeight="1">
      <c r="A688" s="175"/>
      <c r="B688" s="175"/>
      <c r="C688" s="175"/>
      <c r="D688" s="1259"/>
      <c r="E688" s="1259"/>
      <c r="F688" s="1259"/>
      <c r="H688" s="181"/>
      <c r="I688" s="181"/>
      <c r="J688" s="181"/>
      <c r="K688" s="181"/>
    </row>
    <row r="689" spans="1:11" ht="13">
      <c r="A689" s="175"/>
      <c r="B689" s="175"/>
      <c r="C689" s="175"/>
      <c r="D689" s="1259"/>
      <c r="E689" s="1259"/>
      <c r="F689" s="1259"/>
      <c r="H689" s="181"/>
      <c r="I689" s="181"/>
      <c r="J689" s="181"/>
      <c r="K689" s="181"/>
    </row>
    <row r="690" spans="1:11" ht="13">
      <c r="A690" s="175"/>
      <c r="B690" s="175"/>
      <c r="C690" s="175"/>
      <c r="D690" s="1259"/>
      <c r="E690" s="1259"/>
      <c r="F690" s="1259"/>
      <c r="H690" s="181"/>
      <c r="I690" s="181"/>
      <c r="J690" s="181"/>
      <c r="K690" s="181"/>
    </row>
    <row r="691" spans="1:11" ht="13">
      <c r="A691" s="175"/>
      <c r="B691" s="175"/>
      <c r="C691" s="175"/>
      <c r="D691" s="1259"/>
      <c r="E691" s="1259"/>
      <c r="F691" s="1259"/>
      <c r="H691" s="181"/>
      <c r="I691" s="181"/>
      <c r="J691" s="181"/>
      <c r="K691" s="181"/>
    </row>
    <row r="692" spans="1:11" ht="13">
      <c r="A692" s="175"/>
      <c r="B692" s="175"/>
      <c r="C692" s="175"/>
      <c r="D692" s="466"/>
      <c r="E692" s="466"/>
      <c r="F692" s="466"/>
      <c r="H692" s="181"/>
      <c r="I692" s="181"/>
      <c r="J692" s="181"/>
      <c r="K692" s="181"/>
    </row>
    <row r="693" spans="1:11" ht="13">
      <c r="A693" s="176"/>
      <c r="B693" s="460" t="s">
        <v>309</v>
      </c>
      <c r="C693" s="175"/>
      <c r="D693" s="1259" t="s">
        <v>1174</v>
      </c>
      <c r="E693" s="1259"/>
      <c r="F693" s="1259"/>
      <c r="H693" s="181"/>
      <c r="I693" s="181"/>
      <c r="J693" s="181"/>
      <c r="K693" s="181"/>
    </row>
    <row r="694" spans="1:11" ht="13">
      <c r="A694" s="175"/>
      <c r="B694" s="175"/>
      <c r="C694" s="175"/>
      <c r="D694" s="1259"/>
      <c r="E694" s="1259"/>
      <c r="F694" s="1259"/>
      <c r="H694" s="181"/>
      <c r="I694" s="181"/>
      <c r="J694" s="181"/>
      <c r="K694" s="181"/>
    </row>
    <row r="695" spans="1:11" ht="13">
      <c r="A695" s="175"/>
      <c r="B695" s="175"/>
      <c r="C695" s="175"/>
      <c r="D695" s="1259"/>
      <c r="E695" s="1259"/>
      <c r="F695" s="1259"/>
      <c r="H695" s="181"/>
      <c r="I695" s="181"/>
      <c r="J695" s="181"/>
      <c r="K695" s="181"/>
    </row>
    <row r="696" spans="1:11" ht="13">
      <c r="A696" s="175"/>
      <c r="B696" s="175"/>
      <c r="C696" s="175"/>
      <c r="D696" s="466"/>
      <c r="E696" s="466"/>
      <c r="F696" s="466"/>
      <c r="H696" s="181"/>
      <c r="I696" s="181"/>
      <c r="J696" s="181"/>
      <c r="K696" s="181"/>
    </row>
    <row r="697" spans="1:11" ht="13">
      <c r="A697" s="175"/>
      <c r="B697" s="460" t="s">
        <v>309</v>
      </c>
      <c r="C697" s="175"/>
      <c r="D697" s="1259" t="s">
        <v>1171</v>
      </c>
      <c r="E697" s="1259"/>
      <c r="F697" s="1259"/>
      <c r="H697" s="181"/>
      <c r="I697" s="181"/>
      <c r="J697" s="181"/>
      <c r="K697" s="181"/>
    </row>
    <row r="698" spans="1:11" ht="13">
      <c r="A698" s="175"/>
      <c r="B698" s="175"/>
      <c r="C698" s="175"/>
      <c r="D698" s="1259"/>
      <c r="E698" s="1259"/>
      <c r="F698" s="1259"/>
      <c r="H698" s="181"/>
      <c r="I698" s="181"/>
      <c r="J698" s="181"/>
      <c r="K698" s="181"/>
    </row>
    <row r="699" spans="1:11" ht="13">
      <c r="A699" s="175"/>
      <c r="B699" s="175"/>
      <c r="C699" s="175"/>
      <c r="D699" s="466"/>
      <c r="E699" s="466"/>
      <c r="F699" s="466"/>
      <c r="H699" s="181"/>
      <c r="I699" s="181"/>
      <c r="J699" s="181"/>
      <c r="K699" s="181"/>
    </row>
    <row r="700" spans="1:11" ht="13">
      <c r="A700" s="175"/>
      <c r="B700" s="460" t="s">
        <v>309</v>
      </c>
      <c r="C700" s="175"/>
      <c r="D700" s="1259" t="s">
        <v>1172</v>
      </c>
      <c r="E700" s="1259"/>
      <c r="F700" s="1259"/>
      <c r="H700" s="181"/>
      <c r="I700" s="181"/>
      <c r="J700" s="181"/>
      <c r="K700" s="181"/>
    </row>
    <row r="701" spans="1:11" ht="13">
      <c r="A701" s="175"/>
      <c r="B701" s="175"/>
      <c r="C701" s="175"/>
      <c r="D701" s="1259"/>
      <c r="E701" s="1259"/>
      <c r="F701" s="1259"/>
      <c r="H701" s="181"/>
      <c r="I701" s="181"/>
      <c r="J701" s="181"/>
      <c r="K701" s="181"/>
    </row>
    <row r="702" spans="1:11" ht="13">
      <c r="A702" s="175"/>
      <c r="B702" s="175"/>
      <c r="C702" s="175"/>
      <c r="D702" s="1259"/>
      <c r="E702" s="1259"/>
      <c r="F702" s="1259"/>
      <c r="H702" s="181"/>
      <c r="I702" s="181"/>
      <c r="J702" s="181"/>
      <c r="K702" s="181"/>
    </row>
    <row r="703" spans="1:11" ht="13">
      <c r="A703" s="175"/>
      <c r="B703" s="175"/>
      <c r="C703" s="175"/>
      <c r="D703" s="466"/>
      <c r="E703" s="466"/>
      <c r="F703" s="466"/>
      <c r="H703" s="181"/>
      <c r="I703" s="181"/>
      <c r="J703" s="181"/>
      <c r="K703" s="181"/>
    </row>
    <row r="704" spans="1:11" ht="13">
      <c r="A704" s="175"/>
      <c r="B704" s="460" t="s">
        <v>309</v>
      </c>
      <c r="C704" s="175"/>
      <c r="D704" s="1259" t="s">
        <v>1165</v>
      </c>
      <c r="E704" s="1259"/>
      <c r="F704" s="1259"/>
      <c r="H704" s="181"/>
      <c r="I704" s="181"/>
      <c r="J704" s="181"/>
      <c r="K704" s="181"/>
    </row>
    <row r="705" spans="1:11" ht="13">
      <c r="A705" s="175"/>
      <c r="B705" s="175"/>
      <c r="C705" s="175"/>
      <c r="D705" s="1259"/>
      <c r="E705" s="1259"/>
      <c r="F705" s="1259"/>
      <c r="H705" s="181"/>
      <c r="I705" s="181"/>
      <c r="J705" s="181"/>
      <c r="K705" s="181"/>
    </row>
    <row r="706" spans="1:11" ht="13">
      <c r="A706" s="175"/>
      <c r="B706" s="175"/>
      <c r="C706" s="175"/>
      <c r="D706" s="1259"/>
      <c r="E706" s="1259"/>
      <c r="F706" s="1259"/>
      <c r="H706" s="181"/>
      <c r="I706" s="181"/>
      <c r="J706" s="181"/>
      <c r="K706" s="181"/>
    </row>
    <row r="707" spans="1:11" ht="13">
      <c r="A707" s="175"/>
      <c r="B707" s="175"/>
      <c r="C707" s="175"/>
      <c r="H707" s="181"/>
      <c r="I707" s="181"/>
      <c r="J707" s="181"/>
      <c r="K707" s="181"/>
    </row>
    <row r="708" spans="1:11" ht="13">
      <c r="A708" s="175"/>
      <c r="B708" s="460" t="s">
        <v>309</v>
      </c>
      <c r="C708" s="175"/>
      <c r="D708" s="1259" t="s">
        <v>1166</v>
      </c>
      <c r="E708" s="1259"/>
      <c r="F708" s="1259"/>
      <c r="H708" s="181"/>
      <c r="I708" s="181"/>
      <c r="J708" s="181"/>
      <c r="K708" s="181"/>
    </row>
    <row r="709" spans="1:11" ht="13">
      <c r="A709" s="175"/>
      <c r="B709" s="175"/>
      <c r="C709" s="175"/>
      <c r="D709" s="1259"/>
      <c r="E709" s="1259"/>
      <c r="F709" s="1259"/>
      <c r="H709" s="181"/>
      <c r="I709" s="181"/>
      <c r="J709" s="181"/>
      <c r="K709" s="181"/>
    </row>
    <row r="710" spans="1:11" ht="13">
      <c r="A710" s="175"/>
      <c r="B710" s="175"/>
      <c r="C710" s="175"/>
      <c r="D710" s="1259"/>
      <c r="E710" s="1259"/>
      <c r="F710" s="1259"/>
      <c r="H710" s="181"/>
      <c r="I710" s="181"/>
      <c r="J710" s="181"/>
      <c r="K710" s="181"/>
    </row>
    <row r="711" spans="1:11" ht="13">
      <c r="A711" s="175"/>
      <c r="B711" s="175"/>
      <c r="C711" s="175"/>
      <c r="D711"/>
      <c r="H711" s="181"/>
      <c r="I711" s="181"/>
      <c r="J711" s="181"/>
      <c r="K711" s="181"/>
    </row>
    <row r="712" spans="1:11" ht="13">
      <c r="A712" s="176"/>
      <c r="B712" s="460" t="s">
        <v>309</v>
      </c>
      <c r="C712" s="175"/>
      <c r="D712" s="1259" t="s">
        <v>1167</v>
      </c>
      <c r="E712" s="1259"/>
      <c r="F712" s="1259"/>
      <c r="H712" s="181"/>
      <c r="I712" s="181"/>
      <c r="J712" s="181"/>
      <c r="K712" s="181"/>
    </row>
    <row r="713" spans="1:11" ht="13">
      <c r="A713" s="175"/>
      <c r="B713" s="175"/>
      <c r="C713" s="175"/>
      <c r="D713" s="1259"/>
      <c r="E713" s="1259"/>
      <c r="F713" s="1259"/>
      <c r="H713" s="181"/>
      <c r="I713" s="181"/>
      <c r="J713" s="181"/>
      <c r="K713" s="181"/>
    </row>
    <row r="714" spans="1:11" ht="13">
      <c r="A714" s="175"/>
      <c r="B714" s="175"/>
      <c r="C714" s="175"/>
      <c r="D714" s="1259"/>
      <c r="E714" s="1259"/>
      <c r="F714" s="1259"/>
      <c r="H714" s="181"/>
      <c r="I714" s="181"/>
      <c r="J714" s="181"/>
      <c r="K714" s="181"/>
    </row>
    <row r="715" spans="1:11" ht="13">
      <c r="A715" s="175"/>
      <c r="B715" s="175"/>
      <c r="C715" s="175"/>
      <c r="D715" s="1259"/>
      <c r="E715" s="1259"/>
      <c r="F715" s="1259"/>
      <c r="H715" s="181"/>
      <c r="I715" s="181"/>
      <c r="J715" s="181"/>
      <c r="K715" s="181"/>
    </row>
    <row r="716" spans="1:11" ht="13">
      <c r="A716" s="175"/>
      <c r="B716" s="175"/>
      <c r="C716" s="175"/>
      <c r="D716" s="178"/>
      <c r="H716" s="181"/>
      <c r="I716" s="181"/>
      <c r="J716" s="181"/>
      <c r="K716" s="181"/>
    </row>
    <row r="717" spans="1:11" ht="13">
      <c r="A717" s="176"/>
      <c r="B717" s="460" t="s">
        <v>309</v>
      </c>
      <c r="C717" s="175"/>
      <c r="D717" s="1259" t="s">
        <v>1300</v>
      </c>
      <c r="E717" s="1259"/>
      <c r="F717" s="1259"/>
      <c r="H717" s="181"/>
      <c r="I717" s="181"/>
      <c r="J717" s="181"/>
      <c r="K717" s="181"/>
    </row>
    <row r="718" spans="1:11" ht="13">
      <c r="A718" s="175"/>
      <c r="B718" s="175"/>
      <c r="C718" s="175"/>
      <c r="D718" s="1259"/>
      <c r="E718" s="1259"/>
      <c r="F718" s="1259"/>
      <c r="H718" s="181"/>
      <c r="I718" s="181"/>
      <c r="J718" s="181"/>
      <c r="K718" s="181"/>
    </row>
    <row r="719" spans="1:11" ht="13">
      <c r="A719" s="175"/>
      <c r="B719" s="175"/>
      <c r="C719" s="175"/>
      <c r="D719" s="1259"/>
      <c r="E719" s="1259"/>
      <c r="F719" s="1259"/>
      <c r="H719" s="181"/>
      <c r="I719" s="181"/>
      <c r="J719" s="181"/>
      <c r="K719" s="181"/>
    </row>
    <row r="720" spans="1:11" ht="13">
      <c r="A720" s="175"/>
      <c r="B720" s="175"/>
      <c r="C720" s="175"/>
      <c r="D720" s="1259"/>
      <c r="E720" s="1259"/>
      <c r="F720" s="1259"/>
      <c r="H720" s="181"/>
      <c r="I720" s="181"/>
      <c r="J720" s="181"/>
      <c r="K720" s="181"/>
    </row>
    <row r="721" spans="1:11" ht="13">
      <c r="A721" s="175"/>
      <c r="B721" s="175"/>
      <c r="C721" s="175"/>
      <c r="D721" s="1259"/>
      <c r="E721" s="1259"/>
      <c r="F721" s="1259"/>
      <c r="H721" s="181"/>
      <c r="I721" s="181"/>
      <c r="J721" s="181"/>
      <c r="K721" s="181"/>
    </row>
    <row r="722" spans="1:11" ht="13">
      <c r="A722" s="175"/>
      <c r="B722" s="175"/>
      <c r="C722" s="175"/>
      <c r="D722" s="1259"/>
      <c r="E722" s="1259"/>
      <c r="F722" s="1259"/>
      <c r="H722" s="181"/>
      <c r="I722" s="181"/>
      <c r="J722" s="181"/>
      <c r="K722" s="181"/>
    </row>
    <row r="723" spans="1:11" ht="13">
      <c r="A723" s="175"/>
      <c r="B723" s="175"/>
      <c r="C723" s="175"/>
      <c r="D723" s="1259"/>
      <c r="E723" s="1259"/>
      <c r="F723" s="1259"/>
      <c r="H723" s="181"/>
      <c r="I723" s="181"/>
      <c r="J723" s="181"/>
      <c r="K723" s="181"/>
    </row>
    <row r="724" spans="1:11" ht="13">
      <c r="A724" s="175"/>
      <c r="B724" s="175"/>
      <c r="C724" s="175"/>
      <c r="D724" s="1303" t="s">
        <v>1168</v>
      </c>
      <c r="E724" s="1303"/>
      <c r="F724" s="1303"/>
      <c r="H724" s="181"/>
      <c r="I724" s="181"/>
      <c r="J724" s="181"/>
      <c r="K724" s="181"/>
    </row>
    <row r="725" spans="1:11" ht="13">
      <c r="A725" s="175"/>
      <c r="B725" s="175"/>
      <c r="C725" s="175"/>
      <c r="D725" s="361"/>
      <c r="H725" s="181"/>
      <c r="I725" s="181"/>
      <c r="J725" s="181"/>
      <c r="K725" s="181"/>
    </row>
    <row r="726" spans="1:11" ht="13">
      <c r="A726" s="1305" t="s">
        <v>1125</v>
      </c>
      <c r="B726" s="1305"/>
      <c r="C726" s="1305"/>
      <c r="D726" s="1305"/>
      <c r="E726" s="1305"/>
      <c r="F726" s="1305"/>
      <c r="G726" s="1305"/>
      <c r="H726" s="181"/>
      <c r="I726" s="181"/>
      <c r="J726" s="181"/>
      <c r="K726" s="181"/>
    </row>
    <row r="727" spans="1:11" ht="13">
      <c r="A727" s="175"/>
      <c r="B727" s="175"/>
      <c r="C727" s="175"/>
      <c r="D727" s="178"/>
      <c r="G727" s="183"/>
      <c r="H727" s="181"/>
      <c r="I727" s="181"/>
      <c r="J727" s="181"/>
      <c r="K727" s="181"/>
    </row>
    <row r="728" spans="1:11" ht="13.25" customHeight="1">
      <c r="C728" s="175"/>
      <c r="D728" s="1292" t="s">
        <v>1141</v>
      </c>
      <c r="E728" s="1292"/>
      <c r="F728" s="1292"/>
      <c r="G728" s="183"/>
      <c r="H728" s="181"/>
      <c r="I728" s="181"/>
      <c r="J728" s="181"/>
      <c r="K728" s="181"/>
    </row>
    <row r="729" spans="1:11" ht="13">
      <c r="A729" s="175"/>
      <c r="B729" s="175"/>
      <c r="C729" s="175"/>
      <c r="D729" s="1302" t="s">
        <v>1142</v>
      </c>
      <c r="E729" s="1302"/>
      <c r="F729" s="1302"/>
      <c r="G729" s="183"/>
      <c r="H729" s="181"/>
      <c r="I729" s="181"/>
      <c r="J729" s="181"/>
      <c r="K729" s="181"/>
    </row>
    <row r="730" spans="1:11" ht="13">
      <c r="A730" s="175"/>
      <c r="B730" s="175"/>
      <c r="C730" s="175"/>
      <c r="G730" s="183"/>
      <c r="H730" s="181"/>
      <c r="I730" s="181"/>
      <c r="J730" s="181"/>
      <c r="K730" s="181"/>
    </row>
    <row r="731" spans="1:11" ht="13">
      <c r="A731" s="176"/>
      <c r="B731" s="460" t="s">
        <v>309</v>
      </c>
      <c r="D731" s="1259" t="s">
        <v>1143</v>
      </c>
      <c r="E731" s="1259"/>
      <c r="F731" s="1259"/>
      <c r="G731" s="183"/>
      <c r="H731" s="181"/>
      <c r="I731" s="181"/>
      <c r="J731" s="181"/>
      <c r="K731" s="181"/>
    </row>
    <row r="732" spans="1:11" ht="10.5" customHeight="1">
      <c r="D732" s="1259"/>
      <c r="E732" s="1259"/>
      <c r="F732" s="1259"/>
      <c r="G732" s="183"/>
      <c r="H732" s="181"/>
      <c r="I732" s="181"/>
      <c r="J732" s="181"/>
      <c r="K732" s="181"/>
    </row>
    <row r="733" spans="1:11">
      <c r="D733" s="1259"/>
      <c r="E733" s="1259"/>
      <c r="F733" s="1259"/>
      <c r="G733" s="183"/>
      <c r="H733" s="181"/>
      <c r="I733" s="181"/>
      <c r="J733" s="181"/>
      <c r="K733" s="181"/>
    </row>
    <row r="734" spans="1:11">
      <c r="D734" s="1259"/>
      <c r="E734" s="1259"/>
      <c r="F734" s="1259"/>
      <c r="G734" s="183"/>
      <c r="H734" s="181"/>
      <c r="I734" s="181"/>
      <c r="J734" s="181"/>
      <c r="K734" s="181"/>
    </row>
    <row r="735" spans="1:11">
      <c r="D735" s="1259"/>
      <c r="E735" s="1259"/>
      <c r="F735" s="1259"/>
      <c r="G735" s="183"/>
      <c r="H735" s="181"/>
      <c r="I735" s="181"/>
      <c r="J735" s="181"/>
      <c r="K735" s="181"/>
    </row>
    <row r="736" spans="1:11" ht="15.5" customHeight="1">
      <c r="D736" s="1259"/>
      <c r="E736" s="1259"/>
      <c r="F736" s="1259"/>
      <c r="G736" s="183"/>
      <c r="H736" s="181"/>
      <c r="I736" s="181"/>
      <c r="J736" s="181"/>
      <c r="K736" s="181"/>
    </row>
    <row r="737" spans="1:11">
      <c r="D737" s="247"/>
      <c r="E737" s="35"/>
      <c r="F737" s="35"/>
      <c r="G737" s="183"/>
      <c r="H737" s="181"/>
      <c r="I737" s="181"/>
      <c r="J737" s="181"/>
      <c r="K737" s="181"/>
    </row>
    <row r="738" spans="1:11" s="265" customFormat="1" ht="13">
      <c r="A738" s="263"/>
      <c r="B738" s="460" t="s">
        <v>309</v>
      </c>
      <c r="C738" s="264"/>
      <c r="D738" s="1259" t="s">
        <v>1144</v>
      </c>
      <c r="E738" s="1259"/>
      <c r="F738" s="1259"/>
      <c r="G738" s="210"/>
    </row>
    <row r="739" spans="1:11" s="265" customFormat="1">
      <c r="A739" s="264"/>
      <c r="B739" s="264"/>
      <c r="C739" s="264"/>
      <c r="D739" s="1259"/>
      <c r="E739" s="1259"/>
      <c r="F739" s="1259"/>
      <c r="G739" s="210"/>
    </row>
    <row r="740" spans="1:11" s="265" customFormat="1">
      <c r="A740" s="264"/>
      <c r="B740" s="264"/>
      <c r="C740" s="264"/>
      <c r="D740" s="1259"/>
      <c r="E740" s="1259"/>
      <c r="F740" s="1259"/>
      <c r="G740" s="210"/>
    </row>
    <row r="741" spans="1:11" s="265" customFormat="1">
      <c r="A741" s="264"/>
      <c r="B741" s="264"/>
      <c r="C741" s="264"/>
      <c r="D741" s="1259"/>
      <c r="E741" s="1259"/>
      <c r="F741" s="1259"/>
      <c r="G741" s="210"/>
    </row>
    <row r="742" spans="1:11" s="265" customFormat="1">
      <c r="A742" s="264"/>
      <c r="B742" s="264"/>
      <c r="C742" s="264"/>
      <c r="D742" s="247"/>
      <c r="E742" s="210"/>
      <c r="F742" s="210"/>
      <c r="G742" s="210"/>
    </row>
    <row r="743" spans="1:11" s="265" customFormat="1" ht="13">
      <c r="A743" s="176"/>
      <c r="B743" s="460" t="s">
        <v>309</v>
      </c>
      <c r="C743" s="264"/>
      <c r="D743" s="1299" t="s">
        <v>1145</v>
      </c>
      <c r="E743" s="1299"/>
      <c r="F743" s="1299"/>
      <c r="G743" s="210"/>
    </row>
    <row r="744" spans="1:11" s="265" customFormat="1">
      <c r="A744" s="264"/>
      <c r="B744" s="264"/>
      <c r="C744" s="264"/>
      <c r="D744" s="1299"/>
      <c r="E744" s="1299"/>
      <c r="F744" s="1299"/>
      <c r="G744" s="210"/>
    </row>
    <row r="745" spans="1:11" s="265" customFormat="1">
      <c r="A745" s="264"/>
      <c r="B745" s="264"/>
      <c r="C745" s="264"/>
      <c r="D745" s="1299"/>
      <c r="E745" s="1299"/>
      <c r="F745" s="1299"/>
      <c r="G745" s="210"/>
    </row>
    <row r="746" spans="1:11">
      <c r="D746" s="247"/>
      <c r="E746" s="35"/>
      <c r="F746" s="35"/>
      <c r="G746" s="183"/>
      <c r="H746" s="181"/>
      <c r="I746" s="181"/>
      <c r="J746" s="181"/>
      <c r="K746" s="181"/>
    </row>
    <row r="747" spans="1:11" ht="13">
      <c r="A747" s="176"/>
      <c r="B747" s="460" t="s">
        <v>309</v>
      </c>
      <c r="D747" s="1259" t="s">
        <v>1146</v>
      </c>
      <c r="E747" s="1259"/>
      <c r="F747" s="1259"/>
      <c r="G747" s="183"/>
      <c r="H747" s="181"/>
      <c r="I747" s="181"/>
      <c r="J747" s="181"/>
      <c r="K747" s="181"/>
    </row>
    <row r="748" spans="1:11">
      <c r="D748" s="1259"/>
      <c r="E748" s="1259"/>
      <c r="F748" s="1259"/>
      <c r="G748" s="183"/>
      <c r="H748" s="181"/>
      <c r="I748" s="181"/>
      <c r="J748" s="181"/>
      <c r="K748" s="181"/>
    </row>
    <row r="749" spans="1:11">
      <c r="D749" s="466"/>
      <c r="E749" s="466"/>
      <c r="F749" s="466"/>
      <c r="G749" s="183"/>
      <c r="H749" s="181"/>
      <c r="I749" s="181"/>
      <c r="J749" s="181"/>
      <c r="K749" s="181"/>
    </row>
    <row r="750" spans="1:11">
      <c r="B750" s="460" t="s">
        <v>309</v>
      </c>
      <c r="D750" s="1259" t="s">
        <v>1147</v>
      </c>
      <c r="E750" s="1259"/>
      <c r="F750" s="1259"/>
      <c r="G750" s="183"/>
      <c r="H750" s="181"/>
      <c r="I750" s="181"/>
      <c r="J750" s="181"/>
      <c r="K750" s="181"/>
    </row>
    <row r="751" spans="1:11">
      <c r="D751" s="1259"/>
      <c r="E751" s="1259"/>
      <c r="F751" s="1259"/>
      <c r="G751" s="183"/>
      <c r="H751" s="181"/>
      <c r="I751" s="181"/>
      <c r="J751" s="181"/>
      <c r="K751" s="181"/>
    </row>
    <row r="752" spans="1:11">
      <c r="D752" s="1259"/>
      <c r="E752" s="1259"/>
      <c r="F752" s="1259"/>
      <c r="G752" s="183"/>
      <c r="H752" s="181"/>
      <c r="I752" s="181"/>
      <c r="J752" s="181"/>
      <c r="K752" s="181"/>
    </row>
    <row r="753" spans="1:11">
      <c r="D753" s="466"/>
      <c r="E753" s="466"/>
      <c r="F753" s="466"/>
      <c r="G753" s="183"/>
      <c r="H753" s="181"/>
      <c r="I753" s="181"/>
      <c r="J753" s="181"/>
      <c r="K753" s="181"/>
    </row>
    <row r="754" spans="1:11" ht="13">
      <c r="A754" s="1274" t="s">
        <v>1148</v>
      </c>
      <c r="B754" s="1274"/>
      <c r="C754" s="1274"/>
      <c r="D754" s="1274"/>
      <c r="E754" s="1274"/>
      <c r="F754" s="1274"/>
      <c r="G754" s="1274"/>
    </row>
    <row r="755" spans="1:11" ht="13">
      <c r="A755" s="175"/>
      <c r="B755" s="175"/>
      <c r="C755" s="175"/>
      <c r="D755" s="184"/>
      <c r="F755" s="35"/>
      <c r="G755" s="183"/>
    </row>
    <row r="756" spans="1:11" ht="13">
      <c r="D756" s="1306" t="s">
        <v>1132</v>
      </c>
      <c r="E756" s="1306"/>
      <c r="F756" s="1306"/>
      <c r="G756" s="183"/>
    </row>
    <row r="757" spans="1:11">
      <c r="A757" s="337"/>
      <c r="B757" s="337"/>
      <c r="C757" s="337"/>
      <c r="D757" s="1289" t="s">
        <v>1149</v>
      </c>
      <c r="E757" s="1289"/>
      <c r="F757" s="1289"/>
      <c r="G757" s="183"/>
    </row>
    <row r="758" spans="1:11">
      <c r="D758" s="425"/>
      <c r="E758" s="425"/>
      <c r="F758" s="425"/>
      <c r="G758" s="183"/>
    </row>
    <row r="759" spans="1:11" ht="13">
      <c r="A759" s="176"/>
      <c r="B759" s="460" t="s">
        <v>309</v>
      </c>
      <c r="D759" s="1289" t="s">
        <v>1026</v>
      </c>
      <c r="E759" s="1289"/>
      <c r="F759" s="1289"/>
      <c r="G759" s="183"/>
    </row>
    <row r="760" spans="1:11" ht="13">
      <c r="D760" s="425"/>
      <c r="E760" s="1301" t="s">
        <v>1133</v>
      </c>
      <c r="F760" s="1301"/>
      <c r="G760" s="183"/>
    </row>
    <row r="761" spans="1:11" ht="13">
      <c r="A761" s="172"/>
      <c r="B761" s="172"/>
      <c r="C761" s="172"/>
      <c r="D761" s="35"/>
      <c r="G761" s="183"/>
    </row>
    <row r="762" spans="1:11" ht="13">
      <c r="A762" s="1304" t="s">
        <v>451</v>
      </c>
      <c r="B762" s="1304"/>
      <c r="C762" s="1304"/>
      <c r="D762" s="1304"/>
      <c r="E762" s="1304"/>
      <c r="F762" s="1304"/>
      <c r="G762" s="1304"/>
    </row>
    <row r="763" spans="1:11" ht="13">
      <c r="A763" s="172"/>
      <c r="B763" s="172"/>
      <c r="C763" s="179"/>
      <c r="D763" s="183"/>
      <c r="E763" s="183"/>
      <c r="F763" s="183"/>
      <c r="G763" s="183"/>
    </row>
    <row r="764" spans="1:11">
      <c r="A764" s="35"/>
      <c r="B764" s="1302" t="s">
        <v>1025</v>
      </c>
      <c r="C764" s="1302"/>
      <c r="D764" s="1302"/>
      <c r="E764" s="1302"/>
      <c r="F764" s="1302"/>
      <c r="G764" s="183"/>
    </row>
    <row r="765" spans="1:11" ht="13">
      <c r="A765" s="13"/>
      <c r="B765" s="13"/>
      <c r="G765" s="183"/>
    </row>
    <row r="766" spans="1:11" ht="13">
      <c r="A766" s="1304" t="s">
        <v>452</v>
      </c>
      <c r="B766" s="1304"/>
      <c r="C766" s="1304"/>
      <c r="D766" s="1304"/>
      <c r="E766" s="1304"/>
      <c r="F766" s="1304"/>
      <c r="G766" s="1304"/>
    </row>
    <row r="767" spans="1:11" ht="13">
      <c r="A767" s="172"/>
      <c r="B767" s="172"/>
      <c r="C767" s="172"/>
      <c r="D767" s="178"/>
      <c r="G767" s="183"/>
    </row>
    <row r="768" spans="1:11">
      <c r="A768" s="35"/>
      <c r="B768" s="1270" t="s">
        <v>450</v>
      </c>
      <c r="C768" s="1270"/>
      <c r="D768" s="1270"/>
      <c r="E768" s="1270"/>
      <c r="F768" s="1270"/>
      <c r="G768" s="183"/>
    </row>
    <row r="769" spans="1:7" ht="13">
      <c r="A769" s="176"/>
      <c r="B769" s="176"/>
      <c r="D769" s="35"/>
      <c r="E769" s="35"/>
      <c r="F769" s="183"/>
      <c r="G769" s="183"/>
    </row>
    <row r="770" spans="1:7" ht="13">
      <c r="A770" s="1304" t="s">
        <v>453</v>
      </c>
      <c r="B770" s="1304"/>
      <c r="C770" s="1304"/>
      <c r="D770" s="1304"/>
      <c r="E770" s="1304"/>
      <c r="F770" s="1304"/>
      <c r="G770" s="1304"/>
    </row>
    <row r="771" spans="1:7" ht="13">
      <c r="C771" s="175"/>
      <c r="D771" s="173"/>
      <c r="E771" s="35"/>
      <c r="F771" s="183"/>
      <c r="G771" s="183"/>
    </row>
    <row r="772" spans="1:7">
      <c r="A772" s="35"/>
      <c r="B772" s="1270" t="s">
        <v>450</v>
      </c>
      <c r="C772" s="1270"/>
      <c r="D772" s="1270"/>
      <c r="E772" s="1270"/>
      <c r="F772" s="1270"/>
      <c r="G772" s="183"/>
    </row>
    <row r="773" spans="1:7">
      <c r="A773" s="35"/>
      <c r="B773" s="35"/>
      <c r="C773" s="179"/>
      <c r="D773" s="183"/>
      <c r="E773" s="183"/>
      <c r="F773" s="183"/>
      <c r="G773" s="183"/>
    </row>
    <row r="774" spans="1:7" ht="13">
      <c r="A774" s="1304" t="s">
        <v>454</v>
      </c>
      <c r="B774" s="1304"/>
      <c r="C774" s="1304"/>
      <c r="D774" s="1304"/>
      <c r="E774" s="1304"/>
      <c r="F774" s="1304"/>
      <c r="G774" s="1304"/>
    </row>
    <row r="775" spans="1:7">
      <c r="A775" s="35"/>
      <c r="B775" s="35"/>
    </row>
    <row r="776" spans="1:7">
      <c r="A776" s="35"/>
      <c r="B776" s="1270" t="s">
        <v>450</v>
      </c>
      <c r="C776" s="1270"/>
      <c r="D776" s="1270"/>
      <c r="E776" s="1270"/>
      <c r="F776" s="1270"/>
    </row>
    <row r="777" spans="1:7" ht="13">
      <c r="A777" s="179"/>
      <c r="B777" s="179"/>
      <c r="C777" s="179"/>
      <c r="D777" s="174"/>
      <c r="F777" s="183"/>
    </row>
    <row r="778" spans="1:7" ht="13">
      <c r="A778" s="1304" t="s">
        <v>455</v>
      </c>
      <c r="B778" s="1304"/>
      <c r="C778" s="1304"/>
      <c r="D778" s="1304"/>
      <c r="E778" s="1304"/>
      <c r="F778" s="1304"/>
      <c r="G778" s="1304"/>
    </row>
    <row r="779" spans="1:7">
      <c r="A779" s="35"/>
      <c r="B779" s="35"/>
    </row>
    <row r="780" spans="1:7">
      <c r="A780" s="35"/>
      <c r="B780" s="1270" t="s">
        <v>450</v>
      </c>
      <c r="C780" s="1270"/>
      <c r="D780" s="1270"/>
      <c r="E780" s="1270"/>
      <c r="F780" s="1270"/>
    </row>
    <row r="781" spans="1:7" ht="13">
      <c r="A781" s="179"/>
      <c r="B781" s="179"/>
      <c r="C781" s="179"/>
      <c r="D781" s="174"/>
      <c r="F781" s="183"/>
    </row>
    <row r="782" spans="1:7" ht="13">
      <c r="A782" s="1304" t="s">
        <v>456</v>
      </c>
      <c r="B782" s="1304"/>
      <c r="C782" s="1304"/>
      <c r="D782" s="1304"/>
      <c r="E782" s="1304"/>
      <c r="F782" s="1304"/>
      <c r="G782" s="1304"/>
    </row>
    <row r="783" spans="1:7">
      <c r="A783" s="35"/>
      <c r="B783" s="35"/>
    </row>
    <row r="784" spans="1:7">
      <c r="A784" s="35"/>
      <c r="B784" s="1270" t="s">
        <v>450</v>
      </c>
      <c r="C784" s="1270"/>
      <c r="D784" s="1270"/>
      <c r="E784" s="1270"/>
      <c r="F784" s="1270"/>
    </row>
    <row r="785" spans="1:7" ht="13">
      <c r="D785" s="174"/>
    </row>
    <row r="786" spans="1:7" ht="13">
      <c r="A786" s="1304" t="s">
        <v>188</v>
      </c>
      <c r="B786" s="1304"/>
      <c r="C786" s="1304"/>
      <c r="D786" s="1304"/>
      <c r="E786" s="1304"/>
      <c r="F786" s="1304"/>
      <c r="G786" s="1304"/>
    </row>
    <row r="787" spans="1:7">
      <c r="A787" s="35"/>
      <c r="B787" s="35"/>
    </row>
    <row r="788" spans="1:7">
      <c r="A788" s="35"/>
      <c r="B788" s="1270" t="s">
        <v>450</v>
      </c>
      <c r="C788" s="1270"/>
      <c r="D788" s="1270"/>
      <c r="E788" s="1270"/>
      <c r="F788" s="1270"/>
    </row>
    <row r="789" spans="1:7" ht="13">
      <c r="A789" s="35"/>
      <c r="B789" s="35"/>
      <c r="D789" s="174"/>
    </row>
    <row r="790" spans="1:7" ht="13">
      <c r="A790" s="1304" t="s">
        <v>903</v>
      </c>
      <c r="B790" s="1304"/>
      <c r="C790" s="1304"/>
      <c r="D790" s="1304"/>
      <c r="E790" s="1304"/>
      <c r="F790" s="1304"/>
      <c r="G790" s="1304"/>
    </row>
    <row r="791" spans="1:7">
      <c r="A791" s="35"/>
      <c r="B791" s="35"/>
    </row>
    <row r="792" spans="1:7">
      <c r="A792" s="35"/>
      <c r="B792" s="1270" t="s">
        <v>450</v>
      </c>
      <c r="C792" s="1270"/>
      <c r="D792" s="1270"/>
      <c r="E792" s="1270"/>
      <c r="F792" s="1270"/>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6328125" style="425" customWidth="1"/>
    <col min="11" max="16384" width="8.6328125" style="425" hidden="1"/>
  </cols>
  <sheetData>
    <row r="1" spans="1:10" ht="14.25" customHeight="1"/>
    <row r="2" spans="1:10" ht="15.5">
      <c r="A2" s="1310" t="s">
        <v>2135</v>
      </c>
      <c r="B2" s="1311"/>
      <c r="C2" s="1311"/>
      <c r="D2" s="1311"/>
      <c r="E2" s="1311"/>
      <c r="F2" s="1311"/>
      <c r="G2" s="1311"/>
      <c r="H2" s="1311"/>
      <c r="I2" s="1311"/>
      <c r="J2" s="1311"/>
    </row>
    <row r="3" spans="1:10" ht="15.5">
      <c r="A3" s="1314" t="s">
        <v>1427</v>
      </c>
      <c r="B3" s="1315"/>
      <c r="C3" s="1315"/>
      <c r="D3" s="1315"/>
      <c r="E3" s="1315"/>
      <c r="F3" s="1315"/>
      <c r="G3" s="1315"/>
      <c r="H3" s="1315"/>
      <c r="I3" s="1315"/>
      <c r="J3" s="1315"/>
    </row>
    <row r="4" spans="1:10"/>
    <row r="5" spans="1:10" ht="12.75" customHeight="1">
      <c r="A5" s="1312" t="s">
        <v>2447</v>
      </c>
      <c r="B5" s="1312"/>
      <c r="C5" s="1312"/>
      <c r="D5" s="1312"/>
      <c r="E5" s="1312"/>
      <c r="F5" s="1312"/>
      <c r="G5" s="1312"/>
      <c r="H5" s="1312"/>
      <c r="I5" s="1312"/>
      <c r="J5" s="1312"/>
    </row>
    <row r="6" spans="1:10">
      <c r="A6" s="1312"/>
      <c r="B6" s="1312"/>
      <c r="C6" s="1312"/>
      <c r="D6" s="1312"/>
      <c r="E6" s="1312"/>
      <c r="F6" s="1312"/>
      <c r="G6" s="1312"/>
      <c r="H6" s="1312"/>
      <c r="I6" s="1312"/>
      <c r="J6" s="1312"/>
    </row>
    <row r="7" spans="1:10" ht="30" customHeight="1">
      <c r="A7" s="1312"/>
      <c r="B7" s="1312"/>
      <c r="C7" s="1312"/>
      <c r="D7" s="1312"/>
      <c r="E7" s="1312"/>
      <c r="F7" s="1312"/>
      <c r="G7" s="1312"/>
      <c r="H7" s="1312"/>
      <c r="I7" s="1312"/>
      <c r="J7" s="1312"/>
    </row>
    <row r="8" spans="1:10">
      <c r="A8" s="439"/>
      <c r="B8" s="439"/>
      <c r="C8" s="439"/>
      <c r="D8" s="439"/>
      <c r="E8" s="439"/>
      <c r="F8" s="439"/>
      <c r="G8" s="439"/>
      <c r="H8" s="439"/>
      <c r="I8" s="439"/>
      <c r="J8" s="439"/>
    </row>
    <row r="9" spans="1:10" ht="12.75" customHeight="1">
      <c r="A9" s="425" t="s">
        <v>2138</v>
      </c>
      <c r="B9" s="439"/>
      <c r="C9" s="439"/>
      <c r="D9" s="439"/>
      <c r="E9" s="439"/>
      <c r="F9" s="439"/>
      <c r="G9" s="439"/>
      <c r="H9" s="439"/>
      <c r="I9" s="439"/>
      <c r="J9" s="439"/>
    </row>
    <row r="10" spans="1:10"/>
    <row r="11" spans="1:10" ht="12.75" customHeight="1">
      <c r="A11" s="1316" t="s">
        <v>2140</v>
      </c>
      <c r="B11" s="1316"/>
      <c r="C11" s="1316"/>
      <c r="D11" s="1316"/>
      <c r="E11" s="1316"/>
      <c r="F11" s="1316"/>
      <c r="G11" s="1316"/>
      <c r="H11" s="1316"/>
      <c r="I11" s="1316"/>
      <c r="J11" s="1316"/>
    </row>
    <row r="12" spans="1:10">
      <c r="A12" s="1316"/>
      <c r="B12" s="1316"/>
      <c r="C12" s="1316"/>
      <c r="D12" s="1316"/>
      <c r="E12" s="1316"/>
      <c r="F12" s="1316"/>
      <c r="G12" s="1316"/>
      <c r="H12" s="1316"/>
      <c r="I12" s="1316"/>
      <c r="J12" s="1316"/>
    </row>
    <row r="13" spans="1:10">
      <c r="A13" s="1316"/>
      <c r="B13" s="1316"/>
      <c r="C13" s="1316"/>
      <c r="D13" s="1316"/>
      <c r="E13" s="1316"/>
      <c r="F13" s="1316"/>
      <c r="G13" s="1316"/>
      <c r="H13" s="1316"/>
      <c r="I13" s="1316"/>
      <c r="J13" s="1316"/>
    </row>
    <row r="14" spans="1:10">
      <c r="A14" s="1316"/>
      <c r="B14" s="1316"/>
      <c r="C14" s="1316"/>
      <c r="D14" s="1316"/>
      <c r="E14" s="1316"/>
      <c r="F14" s="1316"/>
      <c r="G14" s="1316"/>
      <c r="H14" s="1316"/>
      <c r="I14" s="1316"/>
      <c r="J14" s="1316"/>
    </row>
    <row r="15" spans="1:10">
      <c r="A15" s="1316"/>
      <c r="B15" s="1316"/>
      <c r="C15" s="1316"/>
      <c r="D15" s="1316"/>
      <c r="E15" s="1316"/>
      <c r="F15" s="1316"/>
      <c r="G15" s="1316"/>
      <c r="H15" s="1316"/>
      <c r="I15" s="1316"/>
      <c r="J15" s="1316"/>
    </row>
    <row r="16" spans="1:10">
      <c r="A16" s="1316"/>
      <c r="B16" s="1316"/>
      <c r="C16" s="1316"/>
      <c r="D16" s="1316"/>
      <c r="E16" s="1316"/>
      <c r="F16" s="1316"/>
      <c r="G16" s="1316"/>
      <c r="H16" s="1316"/>
      <c r="I16" s="1316"/>
      <c r="J16" s="1316"/>
    </row>
    <row r="17" spans="1:10">
      <c r="A17" s="550"/>
      <c r="B17" s="550"/>
      <c r="C17" s="550"/>
      <c r="D17" s="550"/>
      <c r="E17" s="550"/>
      <c r="F17" s="550"/>
      <c r="G17" s="550"/>
      <c r="H17" s="550"/>
      <c r="I17" s="550"/>
      <c r="J17" s="550"/>
    </row>
    <row r="18" spans="1:10">
      <c r="A18" s="502" t="s">
        <v>2139</v>
      </c>
      <c r="B18" s="439"/>
      <c r="C18" s="439"/>
      <c r="D18" s="439"/>
      <c r="E18" s="439"/>
      <c r="F18" s="439"/>
      <c r="G18" s="439"/>
      <c r="H18" s="439"/>
      <c r="I18" s="439"/>
      <c r="J18" s="439"/>
    </row>
    <row r="19" spans="1:10">
      <c r="A19" s="439" t="s">
        <v>252</v>
      </c>
      <c r="B19" s="439"/>
      <c r="C19" s="439"/>
      <c r="D19" s="439"/>
      <c r="E19" s="439"/>
      <c r="F19" s="439"/>
      <c r="G19" s="439"/>
      <c r="H19" s="439"/>
      <c r="I19" s="439"/>
      <c r="J19" s="439"/>
    </row>
    <row r="20" spans="1:10">
      <c r="A20" s="1315" t="s">
        <v>1332</v>
      </c>
      <c r="B20" s="1315"/>
      <c r="C20" s="1315"/>
      <c r="D20" s="1315"/>
      <c r="E20" s="131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2" t="s">
        <v>1333</v>
      </c>
      <c r="B57" s="1312"/>
      <c r="C57" s="1312"/>
      <c r="D57" s="1312"/>
      <c r="E57" s="1312"/>
      <c r="F57" s="1312"/>
      <c r="G57" s="1312"/>
      <c r="H57" s="1312"/>
      <c r="I57" s="1312"/>
      <c r="J57" s="1312"/>
    </row>
    <row r="58" spans="1:10">
      <c r="A58" s="1312"/>
      <c r="B58" s="1312"/>
      <c r="C58" s="1312"/>
      <c r="D58" s="1312"/>
      <c r="E58" s="1312"/>
      <c r="F58" s="1312"/>
      <c r="G58" s="1312"/>
      <c r="H58" s="1312"/>
      <c r="I58" s="1312"/>
      <c r="J58" s="1312"/>
    </row>
    <row r="59" spans="1:10">
      <c r="A59" s="1312"/>
      <c r="B59" s="1312"/>
      <c r="C59" s="1312"/>
      <c r="D59" s="1312"/>
      <c r="E59" s="1312"/>
      <c r="F59" s="1312"/>
      <c r="G59" s="1312"/>
      <c r="H59" s="1312"/>
      <c r="I59" s="1312"/>
      <c r="J59" s="1312"/>
    </row>
    <row r="60" spans="1:10"/>
    <row r="61" spans="1:10">
      <c r="A61" s="425" t="s">
        <v>1332</v>
      </c>
    </row>
    <row r="62" spans="1:10"/>
    <row r="63" spans="1:10"/>
    <row r="64" spans="1:10"/>
    <row r="65" spans="1:9"/>
    <row r="66" spans="1:9"/>
    <row r="67" spans="1:9"/>
    <row r="68" spans="1:9"/>
    <row r="69" spans="1:9"/>
    <row r="70" spans="1:9"/>
    <row r="71" spans="1:9"/>
    <row r="72" spans="1:9" ht="13">
      <c r="A72" s="1313" t="s">
        <v>2136</v>
      </c>
      <c r="B72" s="1313"/>
      <c r="C72" s="1313"/>
      <c r="D72" s="1313"/>
      <c r="E72" s="1313"/>
      <c r="F72" s="1313"/>
      <c r="G72" s="1313"/>
      <c r="H72" s="1313"/>
      <c r="I72" s="1313"/>
    </row>
    <row r="73" spans="1:9">
      <c r="A73" s="1265" t="s">
        <v>2445</v>
      </c>
      <c r="B73" s="1265"/>
      <c r="C73" s="1265"/>
      <c r="D73" s="1265"/>
      <c r="E73" s="1265"/>
    </row>
    <row r="74" spans="1:9">
      <c r="A74" s="1265" t="s">
        <v>2446</v>
      </c>
      <c r="B74" s="1265"/>
      <c r="C74" s="1265"/>
      <c r="D74" s="1265"/>
      <c r="E74" s="1265"/>
    </row>
    <row r="75" spans="1:9">
      <c r="A75" s="1265" t="s">
        <v>2137</v>
      </c>
      <c r="B75" s="1265"/>
      <c r="C75" s="1265"/>
      <c r="D75" s="1265"/>
      <c r="E75" s="1265"/>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25400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D1105" sqref="D1105:F1108"/>
    </sheetView>
  </sheetViews>
  <sheetFormatPr defaultColWidth="0" defaultRowHeight="13" zeroHeight="1"/>
  <cols>
    <col min="1" max="1" width="3.453125" style="506" customWidth="1"/>
    <col min="2" max="2" width="13.453125" style="506" customWidth="1"/>
    <col min="3" max="3" width="2.453125" style="506" customWidth="1"/>
    <col min="4" max="5" width="3.453125" style="425" customWidth="1"/>
    <col min="6" max="6" width="65.453125" style="425" customWidth="1"/>
    <col min="7" max="7" width="1.453125" style="425" customWidth="1"/>
    <col min="8" max="8" width="3.453125" style="425" customWidth="1"/>
    <col min="9" max="9" width="24.453125" style="427" customWidth="1"/>
    <col min="10" max="10" width="8.6328125" style="425" customWidth="1"/>
    <col min="11" max="16384" width="8.6328125" style="425" hidden="1"/>
  </cols>
  <sheetData>
    <row r="1" spans="1:13"/>
    <row r="2" spans="1:13">
      <c r="A2" s="1334" t="s">
        <v>2615</v>
      </c>
      <c r="B2" s="1334"/>
      <c r="C2" s="1334"/>
      <c r="D2" s="1334"/>
      <c r="E2" s="1334"/>
      <c r="F2" s="1334"/>
      <c r="G2" s="1334"/>
      <c r="H2" s="1334"/>
      <c r="I2" s="1334"/>
    </row>
    <row r="3" spans="1:13">
      <c r="A3" s="1330" t="s">
        <v>2003</v>
      </c>
      <c r="B3" s="1330"/>
      <c r="C3" s="1330"/>
      <c r="D3" s="1330"/>
      <c r="E3" s="1330"/>
      <c r="F3" s="1330"/>
      <c r="G3" s="1330"/>
      <c r="H3" s="1330"/>
      <c r="I3" s="1330"/>
    </row>
    <row r="4" spans="1:13">
      <c r="A4" s="1330"/>
      <c r="B4" s="1330"/>
      <c r="C4" s="1315"/>
      <c r="D4" s="1315"/>
      <c r="E4" s="1315"/>
      <c r="F4" s="1315"/>
      <c r="G4" s="1315"/>
    </row>
    <row r="5" spans="1:13">
      <c r="A5" s="1330"/>
      <c r="B5" s="1330"/>
      <c r="C5" s="1315"/>
      <c r="D5" s="1315"/>
      <c r="E5" s="1315"/>
      <c r="F5" s="1315"/>
      <c r="G5" s="1315"/>
    </row>
    <row r="6" spans="1:13">
      <c r="A6" s="1334" t="s">
        <v>1202</v>
      </c>
      <c r="B6" s="1334"/>
      <c r="C6" s="1335"/>
      <c r="D6" s="1335"/>
      <c r="E6" s="1335"/>
      <c r="F6" s="1335"/>
      <c r="G6" s="1335"/>
      <c r="I6" s="516" t="s">
        <v>2146</v>
      </c>
    </row>
    <row r="7" spans="1:13">
      <c r="A7" s="1334" t="s">
        <v>1203</v>
      </c>
      <c r="B7" s="1334"/>
      <c r="C7" s="1335"/>
      <c r="D7" s="1335"/>
      <c r="E7" s="1335"/>
      <c r="F7" s="1335"/>
      <c r="G7" s="1335"/>
      <c r="I7" s="516" t="s">
        <v>2147</v>
      </c>
    </row>
    <row r="8" spans="1:13">
      <c r="A8" s="507"/>
      <c r="B8" s="507"/>
      <c r="C8" s="508"/>
      <c r="D8" s="508"/>
      <c r="E8" s="508"/>
      <c r="F8" s="508"/>
    </row>
    <row r="9" spans="1:13">
      <c r="A9" s="1274" t="s">
        <v>1205</v>
      </c>
      <c r="B9" s="1274"/>
      <c r="C9" s="1274"/>
      <c r="D9" s="1274"/>
      <c r="E9" s="1274"/>
      <c r="F9" s="1274"/>
      <c r="G9" s="1274"/>
      <c r="H9" s="1053"/>
      <c r="I9" s="1054"/>
    </row>
    <row r="10" spans="1:13">
      <c r="A10" s="508"/>
      <c r="B10" s="508"/>
      <c r="E10" s="427"/>
    </row>
    <row r="11" spans="1:13" ht="14" customHeight="1">
      <c r="C11" s="508"/>
      <c r="D11" s="1336" t="s">
        <v>1204</v>
      </c>
      <c r="E11" s="1336"/>
      <c r="F11" s="1336"/>
    </row>
    <row r="12" spans="1:13">
      <c r="C12" s="508"/>
      <c r="D12" s="1336"/>
      <c r="E12" s="1336"/>
      <c r="F12" s="1336"/>
    </row>
    <row r="13" spans="1:13">
      <c r="A13" s="509"/>
      <c r="B13" s="509"/>
      <c r="C13" s="509"/>
      <c r="D13" s="1287" t="s">
        <v>1187</v>
      </c>
      <c r="E13" s="1287"/>
      <c r="F13" s="1287"/>
      <c r="M13" s="96"/>
    </row>
    <row r="14" spans="1:13">
      <c r="A14" s="509"/>
      <c r="B14" s="509"/>
      <c r="C14" s="509"/>
      <c r="D14" s="502"/>
      <c r="L14" s="327"/>
    </row>
    <row r="15" spans="1:13">
      <c r="A15" s="510"/>
      <c r="B15" s="511" t="s">
        <v>2626</v>
      </c>
      <c r="C15" s="509"/>
      <c r="D15" s="1286" t="s">
        <v>2304</v>
      </c>
      <c r="E15" s="1286"/>
      <c r="F15" s="1286"/>
      <c r="I15" s="427" t="s">
        <v>2148</v>
      </c>
    </row>
    <row r="16" spans="1:13">
      <c r="A16" s="509"/>
      <c r="B16" s="509"/>
      <c r="C16" s="509"/>
      <c r="D16" s="1286"/>
      <c r="E16" s="1286"/>
      <c r="F16" s="1286"/>
    </row>
    <row r="17" spans="1:9">
      <c r="A17" s="509"/>
      <c r="B17" s="509"/>
      <c r="C17" s="509"/>
      <c r="D17" s="1286"/>
      <c r="E17" s="1286"/>
      <c r="F17" s="1286"/>
    </row>
    <row r="18" spans="1:9">
      <c r="A18" s="509"/>
      <c r="B18" s="509"/>
      <c r="C18" s="509"/>
      <c r="D18" s="471"/>
      <c r="E18" s="327" t="s">
        <v>2302</v>
      </c>
      <c r="F18" s="471"/>
    </row>
    <row r="19" spans="1:9">
      <c r="A19" s="509"/>
      <c r="B19" s="509"/>
      <c r="C19" s="509"/>
    </row>
    <row r="20" spans="1:9">
      <c r="A20" s="510"/>
      <c r="B20" s="511" t="s">
        <v>2626</v>
      </c>
      <c r="D20" s="1286" t="s">
        <v>2305</v>
      </c>
      <c r="E20" s="1286"/>
      <c r="F20" s="1286"/>
      <c r="I20" s="427" t="s">
        <v>2149</v>
      </c>
    </row>
    <row r="21" spans="1:9">
      <c r="A21" s="510"/>
      <c r="D21" s="1286"/>
      <c r="E21" s="1286"/>
      <c r="F21" s="1286"/>
    </row>
    <row r="22" spans="1:9">
      <c r="A22" s="510"/>
      <c r="D22" s="415"/>
      <c r="E22" s="96" t="s">
        <v>2301</v>
      </c>
      <c r="F22" s="415"/>
    </row>
    <row r="23" spans="1:9">
      <c r="A23" s="510"/>
      <c r="B23" s="510"/>
      <c r="D23" s="472"/>
    </row>
    <row r="24" spans="1:9">
      <c r="A24" s="510"/>
      <c r="B24" s="511" t="s">
        <v>2627</v>
      </c>
      <c r="D24" s="1286" t="s">
        <v>1190</v>
      </c>
      <c r="E24" s="1286"/>
      <c r="F24" s="1286"/>
      <c r="I24" s="427" t="s">
        <v>2149</v>
      </c>
    </row>
    <row r="25" spans="1:9">
      <c r="A25" s="510"/>
      <c r="B25" s="510"/>
      <c r="D25" s="1286"/>
      <c r="E25" s="1286"/>
      <c r="F25" s="1286"/>
    </row>
    <row r="26" spans="1:9"/>
    <row r="27" spans="1:9">
      <c r="A27" s="510"/>
      <c r="B27" s="511" t="s">
        <v>2627</v>
      </c>
      <c r="D27" s="1286" t="s">
        <v>2448</v>
      </c>
      <c r="E27" s="1286"/>
      <c r="F27" s="1286"/>
      <c r="I27" s="427" t="s">
        <v>2152</v>
      </c>
    </row>
    <row r="28" spans="1:9">
      <c r="D28" s="1286"/>
      <c r="E28" s="1286"/>
      <c r="F28" s="1286"/>
    </row>
    <row r="29" spans="1:9">
      <c r="D29" s="1286"/>
      <c r="E29" s="1286"/>
      <c r="F29" s="1286"/>
    </row>
    <row r="30" spans="1:9">
      <c r="D30" s="1286"/>
      <c r="E30" s="1286"/>
      <c r="F30" s="1286"/>
    </row>
    <row r="31" spans="1:9">
      <c r="D31" s="1286"/>
      <c r="E31" s="1286"/>
      <c r="F31" s="1286"/>
    </row>
    <row r="32" spans="1:9">
      <c r="D32" s="473"/>
    </row>
    <row r="33" spans="1:9">
      <c r="B33" s="511" t="s">
        <v>2627</v>
      </c>
      <c r="D33" s="1286" t="s">
        <v>2449</v>
      </c>
      <c r="E33" s="1286"/>
      <c r="F33" s="1286"/>
      <c r="I33" s="427" t="s">
        <v>2148</v>
      </c>
    </row>
    <row r="34" spans="1:9">
      <c r="D34" s="1286"/>
      <c r="E34" s="1286"/>
      <c r="F34" s="1286"/>
    </row>
    <row r="35" spans="1:9">
      <c r="A35" s="510"/>
      <c r="B35" s="510"/>
      <c r="D35" s="473"/>
    </row>
    <row r="36" spans="1:9" ht="14.75" customHeight="1">
      <c r="A36" s="510"/>
      <c r="B36" s="511" t="s">
        <v>2627</v>
      </c>
      <c r="D36" s="1286" t="s">
        <v>1357</v>
      </c>
      <c r="E36" s="1286"/>
      <c r="F36" s="1286"/>
      <c r="I36" s="427" t="s">
        <v>2219</v>
      </c>
    </row>
    <row r="37" spans="1:9">
      <c r="A37" s="510"/>
      <c r="B37" s="510"/>
      <c r="D37" s="1286"/>
      <c r="E37" s="1286"/>
      <c r="F37" s="1286"/>
    </row>
    <row r="38" spans="1:9">
      <c r="A38" s="510"/>
      <c r="B38" s="510"/>
      <c r="D38" s="1286"/>
      <c r="E38" s="1286"/>
      <c r="F38" s="1286"/>
    </row>
    <row r="39" spans="1:9">
      <c r="A39" s="510"/>
      <c r="B39" s="510"/>
      <c r="D39" s="1286"/>
      <c r="E39" s="1286"/>
      <c r="F39" s="1286"/>
    </row>
    <row r="40" spans="1:9">
      <c r="A40" s="510"/>
      <c r="B40" s="510"/>
    </row>
    <row r="41" spans="1:9">
      <c r="A41" s="510"/>
      <c r="B41" s="511" t="s">
        <v>2627</v>
      </c>
      <c r="D41" s="1286" t="s">
        <v>1194</v>
      </c>
      <c r="E41" s="1286"/>
      <c r="F41" s="1286"/>
    </row>
    <row r="42" spans="1:9">
      <c r="A42" s="510"/>
      <c r="B42" s="510"/>
      <c r="D42" s="1286"/>
      <c r="E42" s="1286"/>
      <c r="F42" s="1286"/>
    </row>
    <row r="43" spans="1:9">
      <c r="A43" s="510"/>
      <c r="B43" s="510"/>
      <c r="D43" s="1286"/>
      <c r="E43" s="1286"/>
      <c r="F43" s="1286"/>
    </row>
    <row r="44" spans="1:9">
      <c r="A44" s="510"/>
      <c r="B44" s="510"/>
      <c r="D44" s="1286"/>
      <c r="E44" s="1286"/>
      <c r="F44" s="1286"/>
    </row>
    <row r="45" spans="1:9">
      <c r="A45" s="510"/>
      <c r="B45" s="510"/>
      <c r="D45" s="1286"/>
      <c r="E45" s="1286"/>
      <c r="F45" s="1286"/>
    </row>
    <row r="46" spans="1:9">
      <c r="A46" s="510"/>
      <c r="B46" s="510"/>
      <c r="D46" s="471"/>
      <c r="E46" s="471"/>
      <c r="F46" s="471"/>
    </row>
    <row r="47" spans="1:9">
      <c r="A47" s="510"/>
      <c r="B47" s="511" t="s">
        <v>2627</v>
      </c>
      <c r="D47" s="1286" t="s">
        <v>1195</v>
      </c>
      <c r="E47" s="1286"/>
      <c r="F47" s="1286"/>
      <c r="I47" s="427" t="s">
        <v>2219</v>
      </c>
    </row>
    <row r="48" spans="1:9">
      <c r="A48" s="510"/>
      <c r="B48" s="510"/>
      <c r="D48" s="1286"/>
      <c r="E48" s="1286"/>
      <c r="F48" s="1286"/>
    </row>
    <row r="49" spans="1:9">
      <c r="A49" s="510"/>
      <c r="B49" s="510"/>
      <c r="D49" s="1286"/>
      <c r="E49" s="1286"/>
      <c r="F49" s="1286"/>
    </row>
    <row r="50" spans="1:9" ht="23.25" customHeight="1">
      <c r="A50" s="510"/>
      <c r="B50" s="510"/>
      <c r="D50" s="1286"/>
      <c r="E50" s="1286"/>
      <c r="F50" s="1286"/>
    </row>
    <row r="51" spans="1:9">
      <c r="A51" s="510"/>
      <c r="B51" s="510"/>
      <c r="D51" s="472"/>
    </row>
    <row r="52" spans="1:9" ht="14.75" customHeight="1">
      <c r="A52" s="510"/>
      <c r="B52" s="511" t="s">
        <v>2627</v>
      </c>
      <c r="D52" s="1286" t="s">
        <v>1196</v>
      </c>
      <c r="E52" s="1286"/>
      <c r="F52" s="1286"/>
      <c r="I52" s="427" t="s">
        <v>2219</v>
      </c>
    </row>
    <row r="53" spans="1:9">
      <c r="A53" s="510"/>
      <c r="B53" s="510"/>
      <c r="D53" s="1286"/>
      <c r="E53" s="1286"/>
      <c r="F53" s="1286"/>
    </row>
    <row r="54" spans="1:9">
      <c r="A54" s="510"/>
      <c r="B54" s="510"/>
      <c r="D54" s="1286"/>
      <c r="E54" s="1286"/>
      <c r="F54" s="1286"/>
    </row>
    <row r="55" spans="1:9">
      <c r="A55" s="510"/>
      <c r="B55" s="510"/>
    </row>
    <row r="56" spans="1:9">
      <c r="A56" s="510"/>
      <c r="B56" s="511" t="s">
        <v>2626</v>
      </c>
      <c r="D56" s="1332" t="s">
        <v>1197</v>
      </c>
      <c r="E56" s="1332"/>
      <c r="F56" s="1332"/>
    </row>
    <row r="57" spans="1:9">
      <c r="A57" s="510"/>
      <c r="B57" s="510"/>
      <c r="D57" s="1332"/>
      <c r="E57" s="1332"/>
      <c r="F57" s="1332"/>
    </row>
    <row r="58" spans="1:9">
      <c r="A58" s="510"/>
      <c r="B58" s="510"/>
      <c r="D58" s="415" t="s">
        <v>2303</v>
      </c>
      <c r="E58" s="471"/>
      <c r="F58" s="471"/>
    </row>
    <row r="59" spans="1:9">
      <c r="A59" s="510"/>
      <c r="B59" s="510"/>
      <c r="D59" s="471"/>
      <c r="E59" s="327" t="s">
        <v>2302</v>
      </c>
      <c r="F59" s="471"/>
    </row>
    <row r="60" spans="1:9">
      <c r="D60" s="473"/>
    </row>
    <row r="61" spans="1:9">
      <c r="A61" s="510"/>
      <c r="B61" s="511" t="s">
        <v>2627</v>
      </c>
      <c r="D61" s="1286" t="s">
        <v>1198</v>
      </c>
      <c r="E61" s="1286"/>
      <c r="F61" s="1286"/>
      <c r="I61" s="427" t="s">
        <v>2150</v>
      </c>
    </row>
    <row r="62" spans="1:9">
      <c r="D62" s="1286"/>
      <c r="E62" s="1286"/>
      <c r="F62" s="1286"/>
    </row>
    <row r="63" spans="1:9">
      <c r="D63" s="1286"/>
      <c r="E63" s="1286"/>
      <c r="F63" s="1286"/>
    </row>
    <row r="64" spans="1:9"/>
    <row r="65" spans="1:9">
      <c r="A65" s="510"/>
      <c r="B65" s="511" t="s">
        <v>2626</v>
      </c>
      <c r="D65" s="1286" t="s">
        <v>1199</v>
      </c>
      <c r="E65" s="1286"/>
      <c r="F65" s="1286"/>
      <c r="I65" s="427" t="s">
        <v>2151</v>
      </c>
    </row>
    <row r="66" spans="1:9">
      <c r="D66" s="1286"/>
      <c r="E66" s="1286"/>
      <c r="F66" s="1286"/>
    </row>
    <row r="67" spans="1:9"/>
    <row r="68" spans="1:9">
      <c r="A68" s="510"/>
      <c r="B68" s="511" t="s">
        <v>2627</v>
      </c>
      <c r="D68" s="1286" t="s">
        <v>1200</v>
      </c>
      <c r="E68" s="1286"/>
      <c r="F68" s="1286"/>
    </row>
    <row r="69" spans="1:9">
      <c r="D69" s="1286"/>
      <c r="E69" s="1286"/>
      <c r="F69" s="1286"/>
      <c r="I69" s="427" t="s">
        <v>2152</v>
      </c>
    </row>
    <row r="70" spans="1:9">
      <c r="D70" s="1286"/>
      <c r="E70" s="1286"/>
      <c r="F70" s="1286"/>
    </row>
    <row r="71" spans="1:9"/>
    <row r="72" spans="1:9">
      <c r="A72" s="510"/>
      <c r="B72" s="511" t="s">
        <v>2627</v>
      </c>
      <c r="D72" s="1286" t="s">
        <v>1201</v>
      </c>
      <c r="E72" s="1286"/>
      <c r="F72" s="1286"/>
      <c r="I72" s="427" t="s">
        <v>2152</v>
      </c>
    </row>
    <row r="73" spans="1:9">
      <c r="D73" s="1286"/>
      <c r="E73" s="1286"/>
      <c r="F73" s="1286"/>
    </row>
    <row r="74" spans="1:9">
      <c r="A74" s="510"/>
      <c r="B74" s="510"/>
      <c r="D74" s="472"/>
    </row>
    <row r="75" spans="1:9">
      <c r="A75" s="1274" t="s">
        <v>1108</v>
      </c>
      <c r="B75" s="1274"/>
      <c r="C75" s="1274"/>
      <c r="D75" s="1274"/>
      <c r="E75" s="1274"/>
      <c r="F75" s="1274"/>
      <c r="G75" s="1274"/>
      <c r="H75" s="1053"/>
      <c r="I75" s="1054"/>
    </row>
    <row r="76" spans="1:9"/>
    <row r="77" spans="1:9">
      <c r="C77" s="512"/>
      <c r="D77" s="1288" t="s">
        <v>1206</v>
      </c>
      <c r="E77" s="1288"/>
      <c r="F77" s="1288"/>
    </row>
    <row r="78" spans="1:9">
      <c r="A78" s="472"/>
      <c r="B78" s="472"/>
      <c r="D78" s="1286" t="s">
        <v>1233</v>
      </c>
      <c r="E78" s="1286"/>
      <c r="F78" s="1286"/>
    </row>
    <row r="79" spans="1:9">
      <c r="A79" s="472"/>
      <c r="B79" s="472"/>
    </row>
    <row r="80" spans="1:9" ht="14" customHeight="1">
      <c r="A80" s="510"/>
      <c r="B80" s="511" t="s">
        <v>2626</v>
      </c>
      <c r="D80" s="1286" t="s">
        <v>1401</v>
      </c>
      <c r="E80" s="1286"/>
      <c r="F80" s="1286"/>
      <c r="I80" s="427" t="s">
        <v>2153</v>
      </c>
    </row>
    <row r="81" spans="1:9">
      <c r="A81" s="510"/>
      <c r="B81" s="510"/>
      <c r="D81" s="1286"/>
      <c r="E81" s="1286"/>
      <c r="F81" s="1286"/>
    </row>
    <row r="82" spans="1:9">
      <c r="A82" s="510"/>
      <c r="B82" s="510"/>
      <c r="D82" s="1286"/>
      <c r="E82" s="1286"/>
      <c r="F82" s="1286"/>
    </row>
    <row r="83" spans="1:9">
      <c r="A83" s="510"/>
      <c r="B83" s="510"/>
      <c r="D83" s="1286"/>
      <c r="E83" s="1286"/>
      <c r="F83" s="1286"/>
    </row>
    <row r="84" spans="1:9">
      <c r="A84" s="510"/>
      <c r="B84" s="510"/>
      <c r="D84" s="1286"/>
      <c r="E84" s="1286"/>
      <c r="F84" s="1286"/>
    </row>
    <row r="85" spans="1:9">
      <c r="A85" s="510"/>
      <c r="B85" s="510"/>
      <c r="D85" s="1286"/>
      <c r="E85" s="1286"/>
      <c r="F85" s="1286"/>
    </row>
    <row r="86" spans="1:9">
      <c r="A86" s="510"/>
      <c r="B86" s="510"/>
      <c r="D86" s="1286"/>
      <c r="E86" s="1286"/>
      <c r="F86" s="1286"/>
    </row>
    <row r="87" spans="1:9">
      <c r="A87" s="510"/>
      <c r="B87" s="510"/>
      <c r="D87" s="1286"/>
      <c r="E87" s="1286"/>
      <c r="F87" s="1286"/>
    </row>
    <row r="88" spans="1:9">
      <c r="A88" s="510"/>
      <c r="B88" s="510"/>
      <c r="D88" s="408"/>
      <c r="E88" s="408"/>
      <c r="F88" s="408"/>
    </row>
    <row r="89" spans="1:9" ht="15" customHeight="1">
      <c r="A89" s="510"/>
      <c r="B89" s="511" t="s">
        <v>2626</v>
      </c>
      <c r="D89" s="1286" t="s">
        <v>2004</v>
      </c>
      <c r="E89" s="1286"/>
      <c r="F89" s="1286"/>
      <c r="I89" s="427" t="s">
        <v>2154</v>
      </c>
    </row>
    <row r="90" spans="1:9">
      <c r="A90" s="510"/>
      <c r="B90" s="510"/>
      <c r="D90" s="1286"/>
      <c r="E90" s="1286"/>
      <c r="F90" s="1286"/>
    </row>
    <row r="91" spans="1:9">
      <c r="A91" s="510"/>
      <c r="B91" s="510"/>
      <c r="D91" s="471"/>
      <c r="E91" s="471"/>
      <c r="F91" s="471"/>
    </row>
    <row r="92" spans="1:9">
      <c r="A92" s="510"/>
      <c r="B92" s="511" t="s">
        <v>2626</v>
      </c>
      <c r="D92" s="1286" t="s">
        <v>2007</v>
      </c>
      <c r="E92" s="1286"/>
      <c r="F92" s="1286"/>
      <c r="I92" s="427" t="s">
        <v>2155</v>
      </c>
    </row>
    <row r="93" spans="1:9">
      <c r="A93" s="510"/>
      <c r="B93" s="510"/>
      <c r="D93" s="1286"/>
      <c r="E93" s="1286"/>
      <c r="F93" s="1286"/>
    </row>
    <row r="94" spans="1:9">
      <c r="A94" s="510"/>
      <c r="B94" s="510"/>
      <c r="D94" s="1286"/>
      <c r="E94" s="1286"/>
      <c r="F94" s="1286"/>
    </row>
    <row r="95" spans="1:9">
      <c r="A95" s="510"/>
      <c r="B95" s="510"/>
      <c r="D95" s="471"/>
      <c r="E95" s="471"/>
      <c r="F95" s="471"/>
    </row>
    <row r="96" spans="1:9">
      <c r="A96" s="510"/>
      <c r="B96" s="511" t="s">
        <v>2627</v>
      </c>
      <c r="D96" s="1286" t="s">
        <v>2006</v>
      </c>
      <c r="E96" s="1286"/>
      <c r="F96" s="1286"/>
      <c r="I96" s="427" t="s">
        <v>2200</v>
      </c>
    </row>
    <row r="97" spans="1:9" s="1006" customFormat="1">
      <c r="A97" s="1004"/>
      <c r="B97" s="1004"/>
      <c r="C97" s="1005"/>
      <c r="D97" s="1286"/>
      <c r="E97" s="1286"/>
      <c r="F97" s="1286"/>
      <c r="I97" s="1045"/>
    </row>
    <row r="98" spans="1:9">
      <c r="A98" s="510"/>
      <c r="B98" s="510"/>
      <c r="D98" s="415"/>
      <c r="E98" s="327" t="s">
        <v>2306</v>
      </c>
      <c r="F98" s="471"/>
    </row>
    <row r="99" spans="1:9">
      <c r="A99" s="510"/>
      <c r="B99" s="510"/>
      <c r="D99" s="408"/>
      <c r="E99" s="408"/>
      <c r="F99" s="408"/>
    </row>
    <row r="100" spans="1:9">
      <c r="A100" s="510"/>
      <c r="B100" s="511" t="s">
        <v>2627</v>
      </c>
      <c r="D100" s="1286" t="s">
        <v>2005</v>
      </c>
      <c r="E100" s="1286"/>
      <c r="F100" s="1286"/>
      <c r="I100" s="427" t="s">
        <v>2156</v>
      </c>
    </row>
    <row r="101" spans="1:9">
      <c r="A101" s="510"/>
      <c r="B101" s="510"/>
      <c r="D101" s="1286"/>
      <c r="E101" s="1286"/>
      <c r="F101" s="1286"/>
    </row>
    <row r="102" spans="1:9">
      <c r="A102" s="510"/>
      <c r="B102" s="510"/>
      <c r="D102" s="471"/>
      <c r="E102" s="471"/>
      <c r="F102" s="471"/>
    </row>
    <row r="103" spans="1:9" ht="14.75" customHeight="1">
      <c r="A103" s="510"/>
      <c r="B103" s="511" t="s">
        <v>2627</v>
      </c>
      <c r="D103" s="1286" t="s">
        <v>1337</v>
      </c>
      <c r="E103" s="1286"/>
      <c r="F103" s="1286"/>
      <c r="I103" s="427" t="s">
        <v>2157</v>
      </c>
    </row>
    <row r="104" spans="1:9">
      <c r="A104" s="510"/>
      <c r="B104" s="510"/>
      <c r="D104" s="1286"/>
      <c r="E104" s="1286"/>
      <c r="F104" s="1286"/>
    </row>
    <row r="105" spans="1:9">
      <c r="A105" s="510"/>
      <c r="B105" s="510"/>
      <c r="D105" s="1286"/>
      <c r="E105" s="1286"/>
      <c r="F105" s="1286"/>
    </row>
    <row r="106" spans="1:9">
      <c r="A106" s="510"/>
      <c r="B106" s="510"/>
      <c r="D106" s="1286"/>
      <c r="E106" s="1286"/>
      <c r="F106" s="1286"/>
    </row>
    <row r="107" spans="1:9">
      <c r="A107" s="510"/>
      <c r="B107" s="510"/>
      <c r="D107" s="1286"/>
      <c r="E107" s="1286"/>
      <c r="F107" s="1286"/>
    </row>
    <row r="108" spans="1:9">
      <c r="A108" s="510"/>
      <c r="B108" s="510"/>
      <c r="D108" s="1286"/>
      <c r="E108" s="1286"/>
      <c r="F108" s="1286"/>
    </row>
    <row r="109" spans="1:9">
      <c r="A109" s="510"/>
      <c r="B109" s="510"/>
      <c r="D109" s="1286"/>
      <c r="E109" s="1286"/>
      <c r="F109" s="1286"/>
    </row>
    <row r="110" spans="1:9">
      <c r="A110" s="510"/>
      <c r="B110" s="510"/>
      <c r="D110" s="1286"/>
      <c r="E110" s="1286"/>
      <c r="F110" s="1286"/>
    </row>
    <row r="111" spans="1:9">
      <c r="A111" s="510"/>
      <c r="B111" s="510"/>
      <c r="D111" s="1286"/>
      <c r="E111" s="1286"/>
      <c r="F111" s="1286"/>
    </row>
    <row r="112" spans="1:9">
      <c r="A112" s="510"/>
      <c r="B112" s="510"/>
      <c r="D112" s="1286"/>
      <c r="E112" s="1286"/>
      <c r="F112" s="1286"/>
    </row>
    <row r="113" spans="1:9">
      <c r="A113" s="510"/>
      <c r="B113" s="510"/>
      <c r="D113" s="1286"/>
      <c r="E113" s="1286"/>
      <c r="F113" s="1286"/>
    </row>
    <row r="114" spans="1:9">
      <c r="A114" s="510"/>
      <c r="B114" s="510"/>
      <c r="D114" s="1286"/>
      <c r="E114" s="1286"/>
      <c r="F114" s="1286"/>
    </row>
    <row r="115" spans="1:9">
      <c r="A115" s="510"/>
      <c r="B115" s="510"/>
      <c r="D115" s="1286"/>
      <c r="E115" s="1286"/>
      <c r="F115" s="1286"/>
    </row>
    <row r="116" spans="1:9">
      <c r="A116" s="510"/>
      <c r="B116" s="510"/>
      <c r="D116" s="1286"/>
      <c r="E116" s="1286"/>
      <c r="F116" s="1286"/>
    </row>
    <row r="117" spans="1:9">
      <c r="A117" s="510"/>
      <c r="B117" s="510"/>
      <c r="D117" s="1286"/>
      <c r="E117" s="1286"/>
      <c r="F117" s="1286"/>
    </row>
    <row r="118" spans="1:9">
      <c r="A118" s="510"/>
      <c r="B118" s="510"/>
      <c r="D118" s="550"/>
      <c r="E118" s="550"/>
      <c r="F118" s="550"/>
    </row>
    <row r="119" spans="1:9" ht="14.25" customHeight="1">
      <c r="A119" s="510"/>
      <c r="B119" s="511" t="s">
        <v>2627</v>
      </c>
      <c r="D119" s="1297" t="s">
        <v>1208</v>
      </c>
      <c r="E119" s="1297"/>
      <c r="F119" s="1297"/>
    </row>
    <row r="120" spans="1:9">
      <c r="A120" s="510"/>
      <c r="B120" s="510"/>
      <c r="D120" s="1297"/>
      <c r="E120" s="1297"/>
      <c r="F120" s="1297"/>
    </row>
    <row r="121" spans="1:9">
      <c r="A121" s="510"/>
      <c r="B121" s="510"/>
      <c r="D121" s="1297"/>
      <c r="E121" s="1297"/>
      <c r="F121" s="1297"/>
    </row>
    <row r="122" spans="1:9">
      <c r="A122" s="510"/>
      <c r="B122" s="510"/>
      <c r="D122" s="1297"/>
      <c r="E122" s="1297"/>
      <c r="F122" s="1297"/>
    </row>
    <row r="123" spans="1:9">
      <c r="A123" s="510"/>
      <c r="B123" s="510"/>
      <c r="D123" s="1297"/>
      <c r="E123" s="1297"/>
      <c r="F123" s="1297"/>
    </row>
    <row r="124" spans="1:9">
      <c r="A124" s="510"/>
      <c r="B124" s="510"/>
      <c r="D124" s="1297"/>
      <c r="E124" s="1297"/>
      <c r="F124" s="1297"/>
    </row>
    <row r="125" spans="1:9">
      <c r="A125" s="510"/>
      <c r="B125" s="510"/>
      <c r="D125" s="1297"/>
      <c r="E125" s="1297"/>
      <c r="F125" s="1297"/>
    </row>
    <row r="126" spans="1:9">
      <c r="A126" s="510"/>
      <c r="B126" s="510"/>
      <c r="D126" s="1297"/>
      <c r="E126" s="1297"/>
      <c r="F126" s="1297"/>
    </row>
    <row r="127" spans="1:9">
      <c r="C127" s="425"/>
      <c r="D127" s="551"/>
      <c r="E127" s="551"/>
      <c r="F127" s="551"/>
    </row>
    <row r="128" spans="1:9">
      <c r="A128" s="510"/>
      <c r="B128" s="511" t="s">
        <v>2626</v>
      </c>
      <c r="C128" s="425"/>
      <c r="D128" s="1297" t="s">
        <v>2450</v>
      </c>
      <c r="E128" s="1297"/>
      <c r="F128" s="1297"/>
      <c r="I128" s="427" t="s">
        <v>2158</v>
      </c>
    </row>
    <row r="129" spans="1:9">
      <c r="A129" s="510"/>
      <c r="B129" s="510"/>
      <c r="C129" s="425"/>
      <c r="D129" s="1297"/>
      <c r="E129" s="1297"/>
      <c r="F129" s="1297"/>
    </row>
    <row r="130" spans="1:9"/>
    <row r="131" spans="1:9">
      <c r="A131" s="510"/>
      <c r="B131" s="511" t="s">
        <v>2626</v>
      </c>
      <c r="D131" s="1286" t="s">
        <v>1211</v>
      </c>
      <c r="E131" s="1286"/>
      <c r="F131" s="1286"/>
      <c r="I131" s="427" t="s">
        <v>2158</v>
      </c>
    </row>
    <row r="132" spans="1:9">
      <c r="D132" s="1286"/>
      <c r="E132" s="1286"/>
      <c r="F132" s="1286"/>
    </row>
    <row r="133" spans="1:9">
      <c r="D133" s="1286"/>
      <c r="E133" s="1286"/>
      <c r="F133" s="1286"/>
    </row>
    <row r="134" spans="1:9">
      <c r="D134" s="1286"/>
      <c r="E134" s="1286"/>
      <c r="F134" s="1286"/>
    </row>
    <row r="135" spans="1:9">
      <c r="D135" s="1286"/>
      <c r="E135" s="1286"/>
      <c r="F135" s="1286"/>
    </row>
    <row r="136" spans="1:9"/>
    <row r="137" spans="1:9">
      <c r="A137" s="510"/>
      <c r="B137" s="511" t="s">
        <v>2626</v>
      </c>
      <c r="D137" s="1286" t="s">
        <v>1212</v>
      </c>
      <c r="E137" s="1286"/>
      <c r="F137" s="1286"/>
      <c r="I137" s="427" t="s">
        <v>2159</v>
      </c>
    </row>
    <row r="138" spans="1:9" s="440" customFormat="1" ht="14" customHeight="1">
      <c r="A138" s="514"/>
      <c r="B138" s="514"/>
      <c r="C138" s="514"/>
      <c r="D138" s="1286"/>
      <c r="E138" s="1286"/>
      <c r="F138" s="1286"/>
      <c r="I138" s="1046"/>
    </row>
    <row r="139" spans="1:9" ht="14" customHeight="1">
      <c r="D139" s="1286"/>
      <c r="E139" s="1286"/>
      <c r="F139" s="1286"/>
    </row>
    <row r="140" spans="1:9" ht="14" customHeight="1">
      <c r="D140" s="1286"/>
      <c r="E140" s="1286"/>
      <c r="F140" s="1286"/>
    </row>
    <row r="141" spans="1:9" ht="14" customHeight="1">
      <c r="D141" s="1286"/>
      <c r="E141" s="1286"/>
      <c r="F141" s="1286"/>
    </row>
    <row r="142" spans="1:9" ht="14" customHeight="1">
      <c r="A142" s="515"/>
      <c r="B142" s="515"/>
      <c r="D142" s="1286"/>
      <c r="E142" s="1286"/>
      <c r="F142" s="1286"/>
    </row>
    <row r="143" spans="1:9" ht="14" customHeight="1">
      <c r="D143" s="1286"/>
      <c r="E143" s="1286"/>
      <c r="F143" s="1286"/>
    </row>
    <row r="144" spans="1:9" ht="14" customHeight="1">
      <c r="D144" s="1286"/>
      <c r="E144" s="1286"/>
      <c r="F144" s="1286"/>
    </row>
    <row r="145" spans="2:9" ht="14" customHeight="1">
      <c r="D145" s="1286"/>
      <c r="E145" s="1286"/>
      <c r="F145" s="1286"/>
    </row>
    <row r="146" spans="2:9" ht="14" customHeight="1">
      <c r="D146" s="1286"/>
      <c r="E146" s="1286"/>
      <c r="F146" s="1286"/>
    </row>
    <row r="147" spans="2:9" ht="14" customHeight="1">
      <c r="D147" s="1286"/>
      <c r="E147" s="1286"/>
      <c r="F147" s="1286"/>
    </row>
    <row r="148" spans="2:9" ht="14" customHeight="1">
      <c r="D148" s="1286"/>
      <c r="E148" s="1286"/>
      <c r="F148" s="1286"/>
    </row>
    <row r="149" spans="2:9" ht="14" customHeight="1">
      <c r="D149" s="1286"/>
      <c r="E149" s="1286"/>
      <c r="F149" s="1286"/>
    </row>
    <row r="150" spans="2:9" ht="14" customHeight="1">
      <c r="D150" s="502"/>
      <c r="E150" s="472"/>
      <c r="F150" s="472"/>
    </row>
    <row r="151" spans="2:9" ht="14" customHeight="1">
      <c r="B151" s="511" t="s">
        <v>2627</v>
      </c>
      <c r="D151" s="1286" t="s">
        <v>1320</v>
      </c>
      <c r="E151" s="1286"/>
      <c r="F151" s="1286"/>
      <c r="I151" s="427" t="s">
        <v>2160</v>
      </c>
    </row>
    <row r="152" spans="2:9" ht="14" customHeight="1">
      <c r="D152" s="1286"/>
      <c r="E152" s="1286"/>
      <c r="F152" s="1286"/>
    </row>
    <row r="153" spans="2:9" ht="14" customHeight="1">
      <c r="D153" s="1286"/>
      <c r="E153" s="1286"/>
      <c r="F153" s="1286"/>
    </row>
    <row r="154" spans="2:9" ht="14" customHeight="1">
      <c r="D154" s="1286"/>
      <c r="E154" s="1286"/>
      <c r="F154" s="1286"/>
    </row>
    <row r="155" spans="2:9" ht="14" customHeight="1">
      <c r="D155" s="1286"/>
      <c r="E155" s="1286"/>
      <c r="F155" s="1286"/>
    </row>
    <row r="156" spans="2:9" ht="14" customHeight="1">
      <c r="D156" s="1286"/>
      <c r="E156" s="1286"/>
      <c r="F156" s="1286"/>
    </row>
    <row r="157" spans="2:9" ht="14" customHeight="1">
      <c r="D157" s="1286"/>
      <c r="E157" s="1286"/>
      <c r="F157" s="1286"/>
    </row>
    <row r="158" spans="2:9" ht="14" customHeight="1">
      <c r="D158" s="1286"/>
      <c r="E158" s="1286"/>
      <c r="F158" s="1286"/>
    </row>
    <row r="159" spans="2:9" ht="14" customHeight="1">
      <c r="D159" s="1286"/>
      <c r="E159" s="1286"/>
      <c r="F159" s="1286"/>
    </row>
    <row r="160" spans="2:9" ht="14" customHeight="1">
      <c r="D160" s="1286"/>
      <c r="E160" s="1286"/>
      <c r="F160" s="1286"/>
    </row>
    <row r="161" spans="1:9" ht="14" customHeight="1">
      <c r="D161" s="1286"/>
      <c r="E161" s="1286"/>
      <c r="F161" s="1286"/>
    </row>
    <row r="162" spans="1:9" ht="14" customHeight="1">
      <c r="D162" s="1286"/>
      <c r="E162" s="1286"/>
      <c r="F162" s="1286"/>
    </row>
    <row r="163" spans="1:9" ht="14" customHeight="1">
      <c r="D163" s="1286"/>
      <c r="E163" s="1286"/>
      <c r="F163" s="1286"/>
    </row>
    <row r="164" spans="1:9" ht="14" customHeight="1">
      <c r="D164" s="1286"/>
      <c r="E164" s="1286"/>
      <c r="F164" s="1286"/>
    </row>
    <row r="165" spans="1:9" ht="14" customHeight="1">
      <c r="D165" s="1286"/>
      <c r="E165" s="1286"/>
      <c r="F165" s="1286"/>
    </row>
    <row r="166" spans="1:9" ht="14" customHeight="1">
      <c r="D166" s="1286"/>
      <c r="E166" s="1286"/>
      <c r="F166" s="1286"/>
    </row>
    <row r="167" spans="1:9" ht="14" customHeight="1">
      <c r="D167" s="1286"/>
      <c r="E167" s="1286"/>
      <c r="F167" s="1286"/>
    </row>
    <row r="168" spans="1:9" ht="14" customHeight="1">
      <c r="D168" s="1286"/>
      <c r="E168" s="1286"/>
      <c r="F168" s="1286"/>
    </row>
    <row r="169" spans="1:9" ht="14" customHeight="1">
      <c r="D169" s="1331" t="s">
        <v>2475</v>
      </c>
      <c r="E169" s="1331"/>
      <c r="F169" s="1331"/>
      <c r="G169" s="533"/>
    </row>
    <row r="170" spans="1:9" ht="14" customHeight="1">
      <c r="D170" s="1272"/>
      <c r="E170" s="1272"/>
      <c r="F170" s="1272"/>
      <c r="G170" s="1272"/>
    </row>
    <row r="171" spans="1:9" ht="14.75" customHeight="1">
      <c r="A171" s="515"/>
      <c r="B171" s="511" t="s">
        <v>2627</v>
      </c>
      <c r="C171" s="502"/>
      <c r="D171" s="1268" t="s">
        <v>1367</v>
      </c>
      <c r="E171" s="1268"/>
      <c r="F171" s="1268"/>
      <c r="G171" s="502"/>
      <c r="I171" s="427" t="s">
        <v>2155</v>
      </c>
    </row>
    <row r="172" spans="1:9" ht="14.75" customHeight="1">
      <c r="A172" s="515"/>
      <c r="B172" s="515"/>
      <c r="C172" s="502"/>
      <c r="D172" s="1268"/>
      <c r="E172" s="1268"/>
      <c r="F172" s="1268"/>
      <c r="G172" s="502"/>
    </row>
    <row r="173" spans="1:9" ht="14" customHeight="1">
      <c r="A173" s="515"/>
      <c r="B173" s="515"/>
      <c r="C173" s="502"/>
      <c r="D173" s="1268"/>
      <c r="E173" s="1268"/>
      <c r="F173" s="1268"/>
      <c r="G173" s="502"/>
    </row>
    <row r="174" spans="1:9" ht="14" customHeight="1">
      <c r="A174" s="515"/>
      <c r="B174" s="515"/>
      <c r="C174" s="502"/>
      <c r="D174" s="502"/>
      <c r="E174" s="502"/>
      <c r="F174" s="502"/>
      <c r="G174" s="502"/>
    </row>
    <row r="175" spans="1:9" ht="14" customHeight="1">
      <c r="A175" s="515"/>
      <c r="B175" s="511" t="s">
        <v>2627</v>
      </c>
      <c r="C175" s="502"/>
      <c r="D175" s="1268" t="s">
        <v>1214</v>
      </c>
      <c r="E175" s="1268"/>
      <c r="F175" s="1268"/>
      <c r="G175" s="502"/>
      <c r="I175" s="427" t="s">
        <v>2161</v>
      </c>
    </row>
    <row r="176" spans="1:9" ht="14" customHeight="1">
      <c r="A176" s="515"/>
      <c r="B176" s="515"/>
      <c r="C176" s="502"/>
      <c r="D176" s="1268"/>
      <c r="E176" s="1268"/>
      <c r="F176" s="1268"/>
      <c r="G176" s="502"/>
    </row>
    <row r="177" spans="1:9" ht="14" customHeight="1">
      <c r="A177" s="515"/>
      <c r="B177" s="515"/>
      <c r="C177" s="502"/>
      <c r="D177" s="1268"/>
      <c r="E177" s="1268"/>
      <c r="F177" s="1268"/>
      <c r="G177" s="502"/>
    </row>
    <row r="178" spans="1:9" ht="14" customHeight="1">
      <c r="A178" s="515"/>
      <c r="B178" s="515"/>
      <c r="C178" s="502"/>
      <c r="D178" s="1268"/>
      <c r="E178" s="1268"/>
      <c r="F178" s="1268"/>
      <c r="G178" s="502"/>
    </row>
    <row r="179" spans="1:9" ht="14" customHeight="1">
      <c r="D179" s="472"/>
      <c r="E179" s="472"/>
      <c r="F179" s="472"/>
    </row>
    <row r="180" spans="1:9" ht="14" customHeight="1">
      <c r="B180" s="511" t="s">
        <v>2627</v>
      </c>
      <c r="D180" s="1273" t="s">
        <v>2451</v>
      </c>
      <c r="E180" s="1273"/>
      <c r="F180" s="1273"/>
      <c r="I180" s="427" t="s">
        <v>2162</v>
      </c>
    </row>
    <row r="181" spans="1:9" ht="14" customHeight="1">
      <c r="D181" s="1273"/>
      <c r="E181" s="1273"/>
      <c r="F181" s="1273"/>
    </row>
    <row r="182" spans="1:9" ht="14" customHeight="1">
      <c r="D182" s="1273"/>
      <c r="E182" s="1273"/>
      <c r="F182" s="1273"/>
    </row>
    <row r="183" spans="1:9" ht="14" customHeight="1">
      <c r="A183" s="516"/>
      <c r="B183" s="516"/>
      <c r="E183" s="472"/>
      <c r="F183" s="472"/>
    </row>
    <row r="184" spans="1:9">
      <c r="A184" s="1274" t="s">
        <v>2452</v>
      </c>
      <c r="B184" s="1274"/>
      <c r="C184" s="1274"/>
      <c r="D184" s="1274"/>
      <c r="E184" s="1274"/>
      <c r="F184" s="1274"/>
      <c r="G184" s="1274"/>
      <c r="H184" s="1053"/>
      <c r="I184" s="1054"/>
    </row>
    <row r="185" spans="1:9" ht="12" customHeight="1">
      <c r="D185" s="472"/>
      <c r="E185" s="472"/>
      <c r="F185" s="472"/>
    </row>
    <row r="186" spans="1:9">
      <c r="B186" s="1289" t="s">
        <v>450</v>
      </c>
      <c r="C186" s="1289"/>
      <c r="D186" s="1289"/>
      <c r="E186" s="1289"/>
      <c r="F186" s="1289"/>
    </row>
    <row r="187" spans="1:9">
      <c r="B187" s="415" t="s">
        <v>2141</v>
      </c>
      <c r="C187" s="415"/>
      <c r="D187" s="415"/>
      <c r="E187" s="415"/>
      <c r="F187" s="415"/>
    </row>
    <row r="188" spans="1:9" ht="12" customHeight="1">
      <c r="A188" s="508"/>
      <c r="B188" s="508"/>
      <c r="C188" s="508"/>
    </row>
    <row r="189" spans="1:9">
      <c r="A189" s="1274" t="s">
        <v>1110</v>
      </c>
      <c r="B189" s="1274"/>
      <c r="C189" s="1274"/>
      <c r="D189" s="1274"/>
      <c r="E189" s="1274"/>
      <c r="F189" s="1274"/>
      <c r="G189" s="1274"/>
      <c r="H189" s="1053"/>
      <c r="I189" s="1054"/>
    </row>
    <row r="190" spans="1:9" ht="12" customHeight="1">
      <c r="A190" s="427"/>
      <c r="B190" s="427"/>
      <c r="E190" s="427"/>
    </row>
    <row r="191" spans="1:9" ht="14" customHeight="1">
      <c r="A191" s="427"/>
      <c r="B191" s="427"/>
      <c r="D191" s="1288" t="s">
        <v>2008</v>
      </c>
      <c r="E191" s="1288"/>
      <c r="F191" s="1288"/>
    </row>
    <row r="192" spans="1:9">
      <c r="A192" s="427"/>
      <c r="B192" s="427"/>
      <c r="D192" s="1288"/>
      <c r="E192" s="1288"/>
      <c r="F192" s="1288"/>
    </row>
    <row r="193" spans="1:9">
      <c r="A193" s="427"/>
      <c r="B193" s="427"/>
      <c r="D193" s="1289" t="s">
        <v>1338</v>
      </c>
      <c r="E193" s="1289"/>
      <c r="F193" s="1289"/>
    </row>
    <row r="194" spans="1:9">
      <c r="A194" s="427"/>
      <c r="B194" s="427"/>
      <c r="D194" s="415"/>
      <c r="E194" s="415"/>
      <c r="F194" s="415"/>
    </row>
    <row r="195" spans="1:9">
      <c r="A195" s="427"/>
      <c r="B195" s="511" t="s">
        <v>2626</v>
      </c>
      <c r="D195" s="1270" t="s">
        <v>2009</v>
      </c>
      <c r="E195" s="1270"/>
      <c r="F195" s="1270"/>
      <c r="I195" s="427" t="s">
        <v>2211</v>
      </c>
    </row>
    <row r="196" spans="1:9">
      <c r="A196" s="427"/>
      <c r="B196" s="427"/>
      <c r="D196" s="1302" t="s">
        <v>2284</v>
      </c>
      <c r="E196" s="1302"/>
      <c r="F196" s="1302"/>
    </row>
    <row r="197" spans="1:9">
      <c r="A197" s="427"/>
      <c r="B197" s="427"/>
      <c r="D197" s="96" t="s">
        <v>2010</v>
      </c>
      <c r="E197" s="1333" t="s">
        <v>2307</v>
      </c>
      <c r="F197" s="1333"/>
    </row>
    <row r="198" spans="1:9">
      <c r="A198" s="427"/>
      <c r="B198" s="427"/>
      <c r="D198" s="3"/>
      <c r="E198" s="3"/>
      <c r="F198" s="3"/>
    </row>
    <row r="199" spans="1:9">
      <c r="A199" s="427"/>
      <c r="B199" s="511" t="s">
        <v>2627</v>
      </c>
      <c r="D199" s="1302" t="s">
        <v>2011</v>
      </c>
      <c r="E199" s="1302"/>
      <c r="F199" s="1302"/>
      <c r="I199" s="427" t="s">
        <v>2212</v>
      </c>
    </row>
    <row r="200" spans="1:9">
      <c r="A200" s="427"/>
      <c r="B200" s="427"/>
      <c r="D200" s="1270" t="s">
        <v>2284</v>
      </c>
      <c r="E200" s="1270"/>
      <c r="F200" s="1270"/>
    </row>
    <row r="201" spans="1:9">
      <c r="A201" s="427"/>
      <c r="B201" s="427"/>
      <c r="D201" s="57" t="s">
        <v>2012</v>
      </c>
      <c r="E201" s="1333" t="s">
        <v>2308</v>
      </c>
      <c r="F201" s="1333"/>
    </row>
    <row r="202" spans="1:9">
      <c r="A202" s="427"/>
      <c r="B202" s="427"/>
      <c r="D202" s="3"/>
      <c r="E202" s="3"/>
      <c r="F202" s="3"/>
    </row>
    <row r="203" spans="1:9">
      <c r="A203" s="427"/>
      <c r="B203" s="511" t="s">
        <v>2627</v>
      </c>
      <c r="D203" s="1302" t="s">
        <v>2013</v>
      </c>
      <c r="E203" s="1302"/>
      <c r="F203" s="1302"/>
      <c r="I203" s="427" t="s">
        <v>2213</v>
      </c>
    </row>
    <row r="204" spans="1:9">
      <c r="A204" s="427"/>
      <c r="B204" s="427"/>
      <c r="D204" s="1270" t="s">
        <v>2284</v>
      </c>
      <c r="E204" s="1270"/>
      <c r="F204" s="1270"/>
    </row>
    <row r="205" spans="1:9">
      <c r="A205" s="427"/>
      <c r="B205" s="427"/>
      <c r="D205" s="57" t="s">
        <v>2010</v>
      </c>
      <c r="E205" s="1333" t="s">
        <v>2309</v>
      </c>
      <c r="F205" s="1333"/>
    </row>
    <row r="206" spans="1:9">
      <c r="A206" s="427"/>
      <c r="B206" s="427"/>
      <c r="D206" s="415"/>
      <c r="E206" s="415"/>
      <c r="F206" s="415"/>
    </row>
    <row r="207" spans="1:9" ht="14.25" customHeight="1">
      <c r="A207" s="510"/>
      <c r="B207" s="511" t="s">
        <v>2627</v>
      </c>
      <c r="D207" s="409" t="s">
        <v>2277</v>
      </c>
      <c r="E207" s="408"/>
      <c r="F207" s="408"/>
      <c r="I207" s="427" t="s">
        <v>2214</v>
      </c>
    </row>
    <row r="208" spans="1:9">
      <c r="A208" s="510"/>
      <c r="B208" s="510"/>
      <c r="D208" s="1270" t="s">
        <v>2284</v>
      </c>
      <c r="E208" s="1270"/>
      <c r="F208" s="1270"/>
    </row>
    <row r="209" spans="1:9">
      <c r="D209" s="408"/>
      <c r="E209" s="1333" t="s">
        <v>2310</v>
      </c>
      <c r="F209" s="1333"/>
    </row>
    <row r="210" spans="1:9">
      <c r="D210" s="473"/>
    </row>
    <row r="211" spans="1:9">
      <c r="B211" s="511" t="s">
        <v>2627</v>
      </c>
      <c r="D211" s="1302" t="s">
        <v>2014</v>
      </c>
      <c r="E211" s="1302"/>
      <c r="F211" s="1302"/>
      <c r="I211" s="427" t="s">
        <v>2215</v>
      </c>
    </row>
    <row r="212" spans="1:9">
      <c r="D212" s="1270" t="s">
        <v>2284</v>
      </c>
      <c r="E212" s="1270"/>
      <c r="F212" s="1270"/>
    </row>
    <row r="213" spans="1:9">
      <c r="D213" s="57" t="s">
        <v>2010</v>
      </c>
      <c r="E213" s="1333" t="s">
        <v>2311</v>
      </c>
      <c r="F213" s="1333"/>
    </row>
    <row r="214" spans="1:9">
      <c r="D214" s="477"/>
      <c r="E214" s="477"/>
      <c r="F214" s="477"/>
    </row>
    <row r="215" spans="1:9">
      <c r="A215" s="510"/>
      <c r="B215" s="511" t="s">
        <v>2627</v>
      </c>
      <c r="D215" s="1286" t="s">
        <v>1359</v>
      </c>
      <c r="E215" s="1286"/>
      <c r="F215" s="1286"/>
    </row>
    <row r="216" spans="1:9" ht="14.75" customHeight="1">
      <c r="A216" s="510"/>
      <c r="B216" s="425"/>
      <c r="D216" s="1286"/>
      <c r="E216" s="1286"/>
      <c r="F216" s="1286"/>
    </row>
    <row r="217" spans="1:9">
      <c r="A217" s="510"/>
      <c r="D217" s="1286"/>
      <c r="E217" s="1286"/>
      <c r="F217" s="1286"/>
    </row>
    <row r="218" spans="1:9">
      <c r="A218" s="510"/>
      <c r="D218" s="1286"/>
      <c r="E218" s="1286"/>
      <c r="F218" s="1286"/>
    </row>
    <row r="219" spans="1:9">
      <c r="D219" s="477"/>
      <c r="E219" s="477"/>
      <c r="F219" s="477"/>
    </row>
    <row r="220" spans="1:9">
      <c r="A220" s="1274" t="s">
        <v>1111</v>
      </c>
      <c r="B220" s="1274"/>
      <c r="C220" s="1274"/>
      <c r="D220" s="1274"/>
      <c r="E220" s="1274"/>
      <c r="F220" s="1274"/>
      <c r="G220" s="1274"/>
      <c r="H220" s="1053"/>
      <c r="I220" s="1054"/>
    </row>
    <row r="221" spans="1:9" ht="12" customHeight="1">
      <c r="D221" s="472"/>
      <c r="E221" s="472"/>
      <c r="F221" s="472"/>
    </row>
    <row r="222" spans="1:9">
      <c r="C222" s="512"/>
      <c r="D222" s="1285" t="s">
        <v>210</v>
      </c>
      <c r="E222" s="1285"/>
      <c r="F222" s="1285"/>
    </row>
    <row r="223" spans="1:9">
      <c r="A223" s="508"/>
      <c r="B223" s="508"/>
      <c r="C223" s="508"/>
      <c r="D223" s="1287" t="s">
        <v>1240</v>
      </c>
      <c r="E223" s="1287"/>
      <c r="F223" s="1287"/>
    </row>
    <row r="224" spans="1:9" ht="12" customHeight="1">
      <c r="A224" s="516"/>
      <c r="B224" s="516"/>
      <c r="C224" s="516"/>
    </row>
    <row r="225" spans="1:9" ht="14" customHeight="1">
      <c r="A225" s="516"/>
      <c r="C225" s="516"/>
      <c r="D225" s="1285" t="s">
        <v>556</v>
      </c>
      <c r="E225" s="1285"/>
      <c r="F225" s="1285"/>
      <c r="I225" s="427" t="s">
        <v>2163</v>
      </c>
    </row>
    <row r="226" spans="1:9">
      <c r="A226" s="510"/>
      <c r="B226" s="511" t="s">
        <v>2626</v>
      </c>
      <c r="D226" s="1286" t="s">
        <v>2015</v>
      </c>
      <c r="E226" s="1286"/>
      <c r="F226" s="1286"/>
    </row>
    <row r="227" spans="1:9" ht="14.25" customHeight="1">
      <c r="A227" s="510"/>
      <c r="B227" s="510"/>
      <c r="D227" s="1286"/>
      <c r="E227" s="1286"/>
      <c r="F227" s="1286"/>
    </row>
    <row r="228" spans="1:9" ht="14.25" customHeight="1">
      <c r="A228" s="510"/>
      <c r="B228" s="510"/>
      <c r="D228" s="1286"/>
      <c r="E228" s="1286"/>
      <c r="F228" s="1286"/>
    </row>
    <row r="229" spans="1:9">
      <c r="A229" s="510"/>
      <c r="B229" s="510"/>
      <c r="D229" s="1286"/>
      <c r="E229" s="1286"/>
      <c r="F229" s="1286"/>
    </row>
    <row r="230" spans="1:9">
      <c r="A230" s="510"/>
      <c r="B230" s="510"/>
      <c r="D230" s="471"/>
      <c r="E230" s="471"/>
      <c r="F230" s="471"/>
    </row>
    <row r="231" spans="1:9">
      <c r="A231" s="510"/>
      <c r="B231" s="511" t="s">
        <v>2626</v>
      </c>
      <c r="D231" s="1286" t="s">
        <v>2016</v>
      </c>
      <c r="E231" s="1286"/>
      <c r="F231" s="1286"/>
      <c r="I231" s="427" t="s">
        <v>2164</v>
      </c>
    </row>
    <row r="232" spans="1:9">
      <c r="A232" s="510"/>
      <c r="B232" s="510"/>
      <c r="D232" s="1286"/>
      <c r="E232" s="1286"/>
      <c r="F232" s="1286"/>
    </row>
    <row r="233" spans="1:9">
      <c r="A233" s="510"/>
      <c r="B233" s="510"/>
      <c r="D233" s="1286"/>
      <c r="E233" s="1286"/>
      <c r="F233" s="1286"/>
    </row>
    <row r="234" spans="1:9">
      <c r="A234" s="510"/>
      <c r="B234" s="510"/>
      <c r="D234" s="1286"/>
      <c r="E234" s="1286"/>
      <c r="F234" s="1286"/>
    </row>
    <row r="235" spans="1:9" ht="14.25" customHeight="1">
      <c r="A235" s="510"/>
      <c r="B235" s="510"/>
      <c r="D235" s="1286"/>
      <c r="E235" s="1286"/>
      <c r="F235" s="1286"/>
    </row>
    <row r="236" spans="1:9" ht="14.25" customHeight="1">
      <c r="A236" s="510"/>
      <c r="B236" s="510"/>
      <c r="D236" s="471"/>
      <c r="E236" s="471"/>
      <c r="F236" s="471"/>
    </row>
    <row r="237" spans="1:9">
      <c r="A237" s="510"/>
      <c r="B237" s="510"/>
      <c r="D237" s="1286" t="s">
        <v>1236</v>
      </c>
      <c r="E237" s="1286"/>
      <c r="F237" s="1286"/>
      <c r="I237" s="427" t="s">
        <v>2163</v>
      </c>
    </row>
    <row r="238" spans="1:9">
      <c r="A238" s="510"/>
      <c r="B238" s="510"/>
      <c r="D238" s="1286"/>
      <c r="E238" s="1286"/>
      <c r="F238" s="1286"/>
    </row>
    <row r="239" spans="1:9">
      <c r="A239" s="510"/>
      <c r="B239" s="510"/>
      <c r="D239" s="1286"/>
      <c r="E239" s="1286"/>
      <c r="F239" s="1286"/>
    </row>
    <row r="240" spans="1:9">
      <c r="A240" s="510"/>
      <c r="B240" s="510"/>
      <c r="D240" s="1286"/>
      <c r="E240" s="1286"/>
      <c r="F240" s="1286"/>
    </row>
    <row r="241" spans="1:9">
      <c r="A241" s="510"/>
      <c r="B241" s="510"/>
      <c r="D241" s="1286"/>
      <c r="E241" s="1286"/>
      <c r="F241" s="1286"/>
    </row>
    <row r="242" spans="1:9">
      <c r="A242" s="510"/>
      <c r="B242" s="510"/>
      <c r="D242" s="472"/>
      <c r="E242" s="472"/>
      <c r="F242" s="472"/>
    </row>
    <row r="243" spans="1:9">
      <c r="A243" s="510"/>
      <c r="B243" s="511" t="s">
        <v>2626</v>
      </c>
      <c r="D243" s="1286" t="s">
        <v>2453</v>
      </c>
      <c r="E243" s="1286"/>
      <c r="F243" s="1286"/>
      <c r="I243" s="427" t="s">
        <v>2202</v>
      </c>
    </row>
    <row r="244" spans="1:9">
      <c r="A244" s="510"/>
      <c r="B244" s="510"/>
      <c r="D244" s="1286"/>
      <c r="E244" s="1286"/>
      <c r="F244" s="1286"/>
    </row>
    <row r="245" spans="1:9">
      <c r="A245" s="510"/>
      <c r="B245" s="510"/>
      <c r="D245" s="1286"/>
      <c r="E245" s="1286"/>
      <c r="F245" s="1286"/>
    </row>
    <row r="246" spans="1:9">
      <c r="A246" s="510"/>
      <c r="B246" s="510"/>
      <c r="E246" s="1062" t="s">
        <v>2278</v>
      </c>
    </row>
    <row r="247" spans="1:9">
      <c r="A247" s="510"/>
      <c r="B247" s="510"/>
      <c r="D247" s="472"/>
      <c r="E247" s="472"/>
      <c r="F247" s="472"/>
    </row>
    <row r="248" spans="1:9" ht="14.75" customHeight="1">
      <c r="A248" s="510"/>
      <c r="B248" s="511" t="s">
        <v>2626</v>
      </c>
      <c r="D248" s="1286" t="s">
        <v>2454</v>
      </c>
      <c r="E248" s="1286"/>
      <c r="F248" s="1286"/>
      <c r="I248" s="427" t="s">
        <v>2220</v>
      </c>
    </row>
    <row r="249" spans="1:9">
      <c r="A249" s="510"/>
      <c r="B249" s="510"/>
      <c r="D249" s="1286"/>
      <c r="E249" s="1286"/>
      <c r="F249" s="1286"/>
    </row>
    <row r="250" spans="1:9">
      <c r="A250" s="510"/>
      <c r="B250" s="510"/>
      <c r="D250" s="1286"/>
      <c r="E250" s="1286"/>
      <c r="F250" s="1286"/>
    </row>
    <row r="251" spans="1:9">
      <c r="A251" s="510"/>
      <c r="B251" s="510"/>
      <c r="D251" s="1286"/>
      <c r="E251" s="1286"/>
      <c r="F251" s="1286"/>
    </row>
    <row r="252" spans="1:9">
      <c r="A252" s="510"/>
      <c r="B252" s="510"/>
      <c r="D252" s="1286"/>
      <c r="E252" s="1286"/>
      <c r="F252" s="1286"/>
    </row>
    <row r="253" spans="1:9">
      <c r="A253" s="510"/>
      <c r="B253" s="510"/>
      <c r="D253" s="471"/>
      <c r="E253" s="471"/>
      <c r="F253" s="471"/>
    </row>
    <row r="254" spans="1:9">
      <c r="A254" s="510"/>
      <c r="B254" s="511" t="s">
        <v>2626</v>
      </c>
      <c r="D254" s="415" t="s">
        <v>2455</v>
      </c>
      <c r="E254" s="471"/>
      <c r="F254" s="471"/>
      <c r="I254" s="427" t="s">
        <v>2201</v>
      </c>
    </row>
    <row r="255" spans="1:9">
      <c r="A255" s="510"/>
      <c r="B255" s="510"/>
      <c r="E255" s="1062" t="s">
        <v>2279</v>
      </c>
    </row>
    <row r="256" spans="1:9">
      <c r="D256" s="472"/>
      <c r="E256" s="472"/>
      <c r="F256" s="472"/>
    </row>
    <row r="257" spans="1:9">
      <c r="A257" s="510"/>
      <c r="B257" s="511" t="s">
        <v>2626</v>
      </c>
      <c r="D257" s="1286" t="s">
        <v>1238</v>
      </c>
      <c r="E257" s="1286"/>
      <c r="F257" s="1286"/>
    </row>
    <row r="258" spans="1:9">
      <c r="A258" s="510"/>
      <c r="B258" s="510"/>
      <c r="D258" s="1286"/>
      <c r="E258" s="1286"/>
      <c r="F258" s="1286"/>
    </row>
    <row r="259" spans="1:9">
      <c r="D259" s="517"/>
    </row>
    <row r="260" spans="1:9">
      <c r="A260" s="1274" t="s">
        <v>1112</v>
      </c>
      <c r="B260" s="1274"/>
      <c r="C260" s="1274"/>
      <c r="D260" s="1274"/>
      <c r="E260" s="1274"/>
      <c r="F260" s="1274"/>
      <c r="G260" s="1274"/>
      <c r="H260" s="1053"/>
      <c r="I260" s="1054"/>
    </row>
    <row r="261" spans="1:9">
      <c r="D261" s="517"/>
    </row>
    <row r="262" spans="1:9">
      <c r="C262" s="512"/>
      <c r="D262" s="1285" t="s">
        <v>1241</v>
      </c>
      <c r="E262" s="1285"/>
      <c r="F262" s="1285"/>
    </row>
    <row r="263" spans="1:9">
      <c r="A263" s="508"/>
      <c r="B263" s="508"/>
      <c r="C263" s="508"/>
      <c r="D263" s="472"/>
      <c r="E263" s="472"/>
      <c r="F263" s="472"/>
    </row>
    <row r="264" spans="1:9">
      <c r="A264" s="509"/>
      <c r="B264" s="509"/>
      <c r="C264" s="509"/>
      <c r="D264" s="1285" t="s">
        <v>271</v>
      </c>
      <c r="E264" s="1285"/>
      <c r="F264" s="1285"/>
      <c r="I264" s="427" t="s">
        <v>2203</v>
      </c>
    </row>
    <row r="265" spans="1:9" ht="14.75" customHeight="1">
      <c r="A265" s="510"/>
      <c r="B265" s="511" t="s">
        <v>2626</v>
      </c>
      <c r="D265" s="1286" t="s">
        <v>1339</v>
      </c>
      <c r="E265" s="1286"/>
      <c r="F265" s="1286"/>
    </row>
    <row r="266" spans="1:9">
      <c r="D266" s="1286"/>
      <c r="E266" s="1286"/>
      <c r="F266" s="1286"/>
    </row>
    <row r="267" spans="1:9">
      <c r="E267" s="1062" t="s">
        <v>2280</v>
      </c>
    </row>
    <row r="268" spans="1:9">
      <c r="D268" s="472"/>
      <c r="E268" s="472"/>
      <c r="F268" s="472"/>
    </row>
    <row r="269" spans="1:9" ht="14.75" customHeight="1">
      <c r="A269" s="510"/>
      <c r="B269" s="511" t="s">
        <v>2627</v>
      </c>
      <c r="D269" s="1286" t="s">
        <v>2456</v>
      </c>
      <c r="E269" s="1286"/>
      <c r="F269" s="1286"/>
      <c r="I269" s="427" t="s">
        <v>2221</v>
      </c>
    </row>
    <row r="270" spans="1:9">
      <c r="D270" s="1286"/>
      <c r="E270" s="1286"/>
      <c r="F270" s="1286"/>
    </row>
    <row r="271" spans="1:9">
      <c r="D271" s="1286"/>
      <c r="E271" s="1286"/>
      <c r="F271" s="1286"/>
    </row>
    <row r="272" spans="1:9">
      <c r="D272" s="1286"/>
      <c r="E272" s="1286"/>
      <c r="F272" s="1286"/>
    </row>
    <row r="273" spans="1:9">
      <c r="D273" s="1286"/>
      <c r="E273" s="1286"/>
      <c r="F273" s="1286"/>
    </row>
    <row r="274" spans="1:9">
      <c r="D274" s="1286"/>
      <c r="E274" s="1286"/>
      <c r="F274" s="1286"/>
    </row>
    <row r="275" spans="1:9">
      <c r="D275" s="472"/>
      <c r="E275" s="472"/>
      <c r="F275" s="472"/>
    </row>
    <row r="276" spans="1:9">
      <c r="A276" s="510"/>
      <c r="B276" s="511" t="s">
        <v>2627</v>
      </c>
      <c r="D276" s="1286" t="s">
        <v>1244</v>
      </c>
      <c r="E276" s="1286"/>
      <c r="F276" s="1286"/>
    </row>
    <row r="277" spans="1:9">
      <c r="D277" s="1286"/>
      <c r="E277" s="1286"/>
      <c r="F277" s="1286"/>
    </row>
    <row r="278" spans="1:9">
      <c r="D278" s="1286"/>
      <c r="E278" s="1286"/>
      <c r="F278" s="1286"/>
    </row>
    <row r="279" spans="1:9">
      <c r="D279" s="518"/>
      <c r="E279" s="472"/>
      <c r="F279" s="472"/>
    </row>
    <row r="280" spans="1:9">
      <c r="A280" s="1274" t="s">
        <v>1113</v>
      </c>
      <c r="B280" s="1274"/>
      <c r="C280" s="1274"/>
      <c r="D280" s="1274"/>
      <c r="E280" s="1274"/>
      <c r="F280" s="1274"/>
      <c r="G280" s="1274"/>
      <c r="H280" s="1053"/>
      <c r="I280" s="1054"/>
    </row>
    <row r="281" spans="1:9">
      <c r="D281" s="518"/>
      <c r="E281" s="472"/>
      <c r="F281" s="472"/>
    </row>
    <row r="282" spans="1:9">
      <c r="C282" s="508"/>
      <c r="D282" s="1288" t="s">
        <v>1246</v>
      </c>
      <c r="E282" s="1288"/>
      <c r="F282" s="1288"/>
    </row>
    <row r="283" spans="1:9">
      <c r="C283" s="508"/>
      <c r="D283" s="1288"/>
      <c r="E283" s="1288"/>
      <c r="F283" s="1288"/>
    </row>
    <row r="284" spans="1:9">
      <c r="A284" s="509"/>
      <c r="B284" s="509"/>
      <c r="C284" s="509"/>
      <c r="D284" s="427"/>
    </row>
    <row r="285" spans="1:9">
      <c r="C285" s="509"/>
      <c r="D285" s="1285" t="s">
        <v>211</v>
      </c>
      <c r="E285" s="1285"/>
      <c r="F285" s="1285"/>
    </row>
    <row r="286" spans="1:9" ht="15.75" customHeight="1">
      <c r="A286" s="510"/>
      <c r="B286" s="510"/>
      <c r="D286" s="1337" t="s">
        <v>1247</v>
      </c>
      <c r="E286" s="1337"/>
      <c r="F286" s="1337"/>
    </row>
    <row r="287" spans="1:9">
      <c r="E287" s="472"/>
      <c r="F287" s="472"/>
    </row>
    <row r="288" spans="1:9">
      <c r="A288" s="510"/>
      <c r="B288" s="511" t="s">
        <v>2627</v>
      </c>
      <c r="D288" s="1286" t="s">
        <v>1248</v>
      </c>
      <c r="E288" s="1286"/>
      <c r="F288" s="1286"/>
      <c r="I288" s="427" t="s">
        <v>2165</v>
      </c>
    </row>
    <row r="289" spans="1:9">
      <c r="A289" s="510"/>
      <c r="B289" s="510"/>
      <c r="D289" s="1286"/>
      <c r="E289" s="1286"/>
      <c r="F289" s="1286"/>
    </row>
    <row r="290" spans="1:9">
      <c r="D290" s="472"/>
      <c r="E290" s="472"/>
      <c r="F290" s="472"/>
    </row>
    <row r="291" spans="1:9">
      <c r="A291" s="510"/>
      <c r="B291" s="511" t="s">
        <v>2627</v>
      </c>
      <c r="D291" s="1286" t="s">
        <v>1249</v>
      </c>
      <c r="E291" s="1286"/>
      <c r="F291" s="1286"/>
      <c r="I291" s="427" t="s">
        <v>2165</v>
      </c>
    </row>
    <row r="292" spans="1:9">
      <c r="A292" s="510"/>
      <c r="B292" s="510"/>
      <c r="D292" s="1286"/>
      <c r="E292" s="1286"/>
      <c r="F292" s="1286"/>
    </row>
    <row r="293" spans="1:9">
      <c r="A293" s="510"/>
      <c r="B293" s="510"/>
      <c r="D293" s="1286"/>
      <c r="E293" s="1286"/>
      <c r="F293" s="1286"/>
    </row>
    <row r="294" spans="1:9">
      <c r="D294" s="472"/>
      <c r="E294" s="472"/>
      <c r="F294" s="472"/>
    </row>
    <row r="295" spans="1:9">
      <c r="A295" s="510"/>
      <c r="B295" s="511" t="s">
        <v>2627</v>
      </c>
      <c r="D295" s="1286" t="s">
        <v>1250</v>
      </c>
      <c r="E295" s="1286"/>
      <c r="F295" s="1286"/>
      <c r="I295" s="427" t="s">
        <v>2165</v>
      </c>
    </row>
    <row r="296" spans="1:9">
      <c r="A296" s="510"/>
      <c r="B296" s="510"/>
      <c r="D296" s="1286"/>
      <c r="E296" s="1286"/>
      <c r="F296" s="1286"/>
    </row>
    <row r="297" spans="1:9">
      <c r="A297" s="516"/>
      <c r="B297" s="516"/>
      <c r="E297" s="472"/>
      <c r="F297" s="472"/>
    </row>
    <row r="298" spans="1:9">
      <c r="A298" s="1274" t="s">
        <v>1114</v>
      </c>
      <c r="B298" s="1274"/>
      <c r="C298" s="1274"/>
      <c r="D298" s="1274"/>
      <c r="E298" s="1274"/>
      <c r="F298" s="1274"/>
      <c r="G298" s="1274"/>
      <c r="H298" s="1053"/>
      <c r="I298" s="1054"/>
    </row>
    <row r="299" spans="1:9">
      <c r="A299" s="516"/>
      <c r="B299" s="516"/>
      <c r="D299" s="472"/>
      <c r="E299" s="472"/>
      <c r="F299" s="472"/>
    </row>
    <row r="300" spans="1:9">
      <c r="C300" s="516"/>
      <c r="D300" s="1285" t="s">
        <v>692</v>
      </c>
      <c r="E300" s="1285"/>
      <c r="F300" s="1285"/>
    </row>
    <row r="301" spans="1:9">
      <c r="C301" s="516"/>
      <c r="D301" s="1287" t="s">
        <v>1251</v>
      </c>
      <c r="E301" s="1287"/>
      <c r="F301" s="1287"/>
    </row>
    <row r="302" spans="1:9">
      <c r="C302" s="516"/>
      <c r="D302" s="519"/>
    </row>
    <row r="303" spans="1:9">
      <c r="B303" s="511" t="s">
        <v>2627</v>
      </c>
      <c r="D303" s="1287" t="s">
        <v>1252</v>
      </c>
      <c r="E303" s="1287"/>
      <c r="F303" s="1287"/>
      <c r="I303" s="427" t="s">
        <v>2166</v>
      </c>
    </row>
    <row r="304" spans="1:9">
      <c r="A304" s="510"/>
      <c r="B304" s="510"/>
      <c r="D304" s="520"/>
      <c r="E304" s="521"/>
      <c r="F304" s="521"/>
    </row>
    <row r="305" spans="1:9" ht="14" customHeight="1">
      <c r="B305" s="511" t="s">
        <v>2627</v>
      </c>
      <c r="D305" s="1340" t="s">
        <v>1363</v>
      </c>
      <c r="E305" s="1340"/>
      <c r="F305" s="1340"/>
      <c r="I305" s="427" t="s">
        <v>2166</v>
      </c>
    </row>
    <row r="306" spans="1:9">
      <c r="A306" s="510"/>
      <c r="B306" s="510"/>
      <c r="D306" s="1340"/>
      <c r="E306" s="1340"/>
      <c r="F306" s="1340"/>
    </row>
    <row r="307" spans="1:9">
      <c r="A307" s="510"/>
      <c r="B307" s="510"/>
      <c r="D307" s="1340"/>
      <c r="E307" s="1340"/>
      <c r="F307" s="1340"/>
    </row>
    <row r="308" spans="1:9">
      <c r="A308" s="510"/>
      <c r="B308" s="510"/>
      <c r="D308" s="1340"/>
      <c r="E308" s="1340"/>
      <c r="F308" s="1340"/>
    </row>
    <row r="309" spans="1:9">
      <c r="A309" s="510"/>
      <c r="B309" s="510"/>
      <c r="D309" s="1340"/>
      <c r="E309" s="1340"/>
      <c r="F309" s="1340"/>
    </row>
    <row r="310" spans="1:9">
      <c r="A310" s="510"/>
      <c r="B310" s="510"/>
      <c r="D310" s="520"/>
      <c r="E310" s="521"/>
      <c r="F310" s="521"/>
    </row>
    <row r="311" spans="1:9" ht="14" customHeight="1">
      <c r="B311" s="511" t="s">
        <v>2627</v>
      </c>
      <c r="D311" s="1340" t="s">
        <v>1254</v>
      </c>
      <c r="E311" s="1340"/>
      <c r="F311" s="1340"/>
      <c r="I311" s="427" t="s">
        <v>2166</v>
      </c>
    </row>
    <row r="312" spans="1:9">
      <c r="D312" s="1340"/>
      <c r="E312" s="1340"/>
      <c r="F312" s="1340"/>
    </row>
    <row r="313" spans="1:9">
      <c r="A313" s="510"/>
      <c r="B313" s="510"/>
      <c r="D313" s="520"/>
      <c r="E313" s="521"/>
      <c r="F313" s="521"/>
    </row>
    <row r="314" spans="1:9">
      <c r="B314" s="511" t="s">
        <v>2627</v>
      </c>
      <c r="D314" s="1287" t="s">
        <v>1255</v>
      </c>
      <c r="E314" s="1287"/>
      <c r="F314" s="1287"/>
      <c r="I314" s="427" t="s">
        <v>2152</v>
      </c>
    </row>
    <row r="315" spans="1:9">
      <c r="E315" s="472"/>
      <c r="F315" s="472"/>
    </row>
    <row r="316" spans="1:9">
      <c r="A316" s="510"/>
      <c r="B316" s="511" t="s">
        <v>2627</v>
      </c>
      <c r="D316" s="1286" t="s">
        <v>2476</v>
      </c>
      <c r="E316" s="1286"/>
      <c r="F316" s="1286"/>
      <c r="I316" s="427" t="s">
        <v>2167</v>
      </c>
    </row>
    <row r="317" spans="1:9">
      <c r="A317" s="510"/>
      <c r="B317" s="510"/>
      <c r="D317" s="1286"/>
      <c r="E317" s="1286"/>
      <c r="F317" s="1286"/>
    </row>
    <row r="318" spans="1:9">
      <c r="A318" s="510"/>
      <c r="B318" s="510"/>
      <c r="D318" s="1286"/>
      <c r="E318" s="1286"/>
      <c r="F318" s="1286"/>
    </row>
    <row r="319" spans="1:9">
      <c r="A319" s="510"/>
      <c r="B319" s="510"/>
      <c r="D319" s="1286"/>
      <c r="E319" s="1286"/>
      <c r="F319" s="1286"/>
    </row>
    <row r="320" spans="1:9">
      <c r="A320" s="510"/>
      <c r="B320" s="510"/>
      <c r="D320" s="1286"/>
      <c r="E320" s="1286"/>
      <c r="F320" s="1286"/>
    </row>
    <row r="321" spans="1:9">
      <c r="A321" s="510"/>
      <c r="B321" s="510"/>
      <c r="D321" s="1286"/>
      <c r="E321" s="1286"/>
      <c r="F321" s="1286"/>
    </row>
    <row r="322" spans="1:9">
      <c r="A322" s="510"/>
      <c r="B322" s="510"/>
      <c r="D322" s="1286"/>
      <c r="E322" s="1286"/>
      <c r="F322" s="1286"/>
    </row>
    <row r="323" spans="1:9">
      <c r="A323" s="510"/>
      <c r="B323" s="510"/>
      <c r="D323" s="1286"/>
      <c r="E323" s="1286"/>
      <c r="F323" s="1286"/>
    </row>
    <row r="324" spans="1:9">
      <c r="A324" s="510"/>
      <c r="B324" s="510"/>
      <c r="D324" s="1286"/>
      <c r="E324" s="1286"/>
      <c r="F324" s="1286"/>
    </row>
    <row r="325" spans="1:9">
      <c r="A325" s="510"/>
      <c r="B325" s="510"/>
      <c r="D325" s="1286"/>
      <c r="E325" s="1286"/>
      <c r="F325" s="1286"/>
    </row>
    <row r="326" spans="1:9">
      <c r="A326" s="510"/>
      <c r="B326" s="510"/>
      <c r="D326" s="1286"/>
      <c r="E326" s="1286"/>
      <c r="F326" s="1286"/>
    </row>
    <row r="327" spans="1:9">
      <c r="A327" s="510"/>
      <c r="B327" s="510"/>
      <c r="D327" s="1286"/>
      <c r="E327" s="1286"/>
      <c r="F327" s="1286"/>
    </row>
    <row r="328" spans="1:9">
      <c r="A328" s="510"/>
      <c r="B328" s="510"/>
      <c r="D328" s="1286"/>
      <c r="E328" s="1286"/>
      <c r="F328" s="1286"/>
    </row>
    <row r="329" spans="1:9">
      <c r="A329" s="510"/>
      <c r="B329" s="510"/>
      <c r="D329" s="1286"/>
      <c r="E329" s="1286"/>
      <c r="F329" s="1286"/>
    </row>
    <row r="330" spans="1:9">
      <c r="A330" s="510"/>
      <c r="B330" s="510"/>
      <c r="D330" s="1286"/>
      <c r="E330" s="1286"/>
      <c r="F330" s="1286"/>
    </row>
    <row r="331" spans="1:9">
      <c r="D331" s="472"/>
      <c r="E331" s="472"/>
      <c r="F331" s="472"/>
    </row>
    <row r="332" spans="1:9">
      <c r="A332" s="510"/>
      <c r="B332" s="511" t="s">
        <v>2627</v>
      </c>
      <c r="D332" s="1286" t="s">
        <v>1257</v>
      </c>
      <c r="E332" s="1286"/>
      <c r="F332" s="1286"/>
      <c r="I332" s="427" t="s">
        <v>2167</v>
      </c>
    </row>
    <row r="333" spans="1:9">
      <c r="D333" s="1286"/>
      <c r="E333" s="1286"/>
      <c r="F333" s="1286"/>
    </row>
    <row r="334" spans="1:9">
      <c r="D334" s="1286"/>
      <c r="E334" s="1286"/>
      <c r="F334" s="1286"/>
    </row>
    <row r="335" spans="1:9">
      <c r="D335" s="1286"/>
      <c r="E335" s="1286"/>
      <c r="F335" s="1286"/>
    </row>
    <row r="336" spans="1:9">
      <c r="D336" s="1286"/>
      <c r="E336" s="1286"/>
      <c r="F336" s="1286"/>
    </row>
    <row r="337" spans="1:9">
      <c r="D337" s="1286"/>
      <c r="E337" s="1286"/>
      <c r="F337" s="1286"/>
    </row>
    <row r="338" spans="1:9">
      <c r="D338" s="1286"/>
      <c r="E338" s="1286"/>
      <c r="F338" s="1286"/>
    </row>
    <row r="339" spans="1:9">
      <c r="D339" s="1286"/>
      <c r="E339" s="1286"/>
      <c r="F339" s="1286"/>
    </row>
    <row r="340" spans="1:9">
      <c r="D340" s="1286"/>
      <c r="E340" s="1286"/>
      <c r="F340" s="1286"/>
    </row>
    <row r="341" spans="1:9">
      <c r="D341" s="472"/>
      <c r="E341" s="472"/>
      <c r="F341" s="472"/>
    </row>
    <row r="342" spans="1:9" ht="14.25" customHeight="1">
      <c r="A342" s="510"/>
      <c r="B342" s="511" t="s">
        <v>2627</v>
      </c>
      <c r="D342" s="1286" t="s">
        <v>2285</v>
      </c>
      <c r="E342" s="1286"/>
      <c r="F342" s="1286"/>
      <c r="I342" s="427" t="s">
        <v>2204</v>
      </c>
    </row>
    <row r="343" spans="1:9">
      <c r="D343" s="1286"/>
      <c r="E343" s="1286"/>
      <c r="F343" s="1286"/>
    </row>
    <row r="344" spans="1:9">
      <c r="D344" s="1286"/>
      <c r="E344" s="1286"/>
      <c r="F344" s="1286"/>
    </row>
    <row r="345" spans="1:9">
      <c r="D345" s="1286"/>
      <c r="E345" s="1286"/>
      <c r="F345" s="1286"/>
    </row>
    <row r="346" spans="1:9">
      <c r="D346" s="409" t="s">
        <v>2284</v>
      </c>
      <c r="E346" s="408"/>
      <c r="F346" s="408"/>
    </row>
    <row r="347" spans="1:9">
      <c r="D347" s="408"/>
      <c r="E347" s="96" t="s">
        <v>2281</v>
      </c>
      <c r="G347" s="96"/>
    </row>
    <row r="348" spans="1:9">
      <c r="D348" s="471"/>
      <c r="E348" s="471"/>
      <c r="F348" s="471"/>
    </row>
    <row r="349" spans="1:9" ht="13.5" thickBot="1">
      <c r="A349" s="1041"/>
      <c r="B349" s="1041"/>
      <c r="C349" s="1041"/>
      <c r="D349" s="1329" t="s">
        <v>1019</v>
      </c>
      <c r="E349" s="1329"/>
      <c r="F349" s="1329"/>
      <c r="G349" s="1051"/>
      <c r="H349" s="1051"/>
      <c r="I349" s="1052"/>
    </row>
    <row r="350" spans="1:9" ht="13.5" thickTop="1">
      <c r="D350" s="1341" t="s">
        <v>1259</v>
      </c>
      <c r="E350" s="1341"/>
      <c r="F350" s="1341"/>
    </row>
    <row r="351" spans="1:9">
      <c r="D351" s="472"/>
      <c r="E351" s="472"/>
      <c r="F351" s="472"/>
    </row>
    <row r="352" spans="1:9">
      <c r="A352" s="502"/>
      <c r="B352" s="502"/>
      <c r="C352" s="502"/>
      <c r="D352" s="473"/>
      <c r="E352" s="473"/>
      <c r="F352" s="472"/>
      <c r="I352" s="427" t="s">
        <v>2168</v>
      </c>
    </row>
    <row r="353" spans="1:9">
      <c r="A353" s="510"/>
      <c r="B353" s="511" t="s">
        <v>2627</v>
      </c>
      <c r="C353" s="513"/>
      <c r="D353" s="1287" t="s">
        <v>2283</v>
      </c>
      <c r="E353" s="1287"/>
      <c r="F353" s="1287"/>
      <c r="I353" s="1343" t="s">
        <v>2218</v>
      </c>
    </row>
    <row r="354" spans="1:9" ht="12.75" customHeight="1">
      <c r="D354" s="1063"/>
      <c r="E354" s="96" t="s">
        <v>2282</v>
      </c>
      <c r="F354" s="1063"/>
      <c r="I354" s="1344"/>
    </row>
    <row r="355" spans="1:9" ht="12.5">
      <c r="D355" s="1286" t="s">
        <v>1386</v>
      </c>
      <c r="E355" s="1286"/>
      <c r="F355" s="1286"/>
      <c r="I355" s="1344"/>
    </row>
    <row r="356" spans="1:9" ht="12.5">
      <c r="D356" s="1286"/>
      <c r="E356" s="1286"/>
      <c r="F356" s="1286"/>
      <c r="I356" s="1344"/>
    </row>
    <row r="357" spans="1:9" ht="12.5">
      <c r="D357" s="1286"/>
      <c r="E357" s="1286"/>
      <c r="F357" s="1286"/>
      <c r="I357" s="1345"/>
    </row>
    <row r="358" spans="1:9">
      <c r="A358" s="510"/>
      <c r="B358" s="511" t="s">
        <v>2627</v>
      </c>
      <c r="C358" s="502"/>
      <c r="D358" s="1272" t="s">
        <v>2457</v>
      </c>
      <c r="E358" s="1272"/>
      <c r="F358" s="1272"/>
      <c r="I358" s="425"/>
    </row>
    <row r="359" spans="1:9">
      <c r="A359" s="502"/>
      <c r="B359" s="502"/>
      <c r="C359" s="502"/>
      <c r="D359" s="473"/>
      <c r="E359" s="473"/>
      <c r="F359" s="472"/>
    </row>
    <row r="360" spans="1:9">
      <c r="A360" s="502"/>
      <c r="B360" s="511" t="s">
        <v>2627</v>
      </c>
      <c r="C360" s="502"/>
      <c r="D360" s="1268" t="s">
        <v>2458</v>
      </c>
      <c r="E360" s="1268"/>
      <c r="F360" s="1268"/>
    </row>
    <row r="361" spans="1:9">
      <c r="A361" s="502"/>
      <c r="B361" s="502"/>
      <c r="C361" s="502"/>
      <c r="D361" s="1268"/>
      <c r="E361" s="1268"/>
      <c r="F361" s="1268"/>
    </row>
    <row r="362" spans="1:9">
      <c r="A362" s="502"/>
      <c r="B362" s="502"/>
      <c r="C362" s="502"/>
      <c r="D362" s="1268"/>
      <c r="E362" s="1268"/>
      <c r="F362" s="1268"/>
    </row>
    <row r="363" spans="1:9">
      <c r="A363" s="502"/>
      <c r="B363" s="502"/>
      <c r="C363" s="502"/>
      <c r="D363" s="1268"/>
      <c r="E363" s="1268"/>
      <c r="F363" s="1268"/>
    </row>
    <row r="364" spans="1:9">
      <c r="A364" s="502"/>
      <c r="B364" s="502"/>
      <c r="C364" s="502"/>
      <c r="D364" s="1268"/>
      <c r="E364" s="1268"/>
      <c r="F364" s="1268"/>
    </row>
    <row r="365" spans="1:9">
      <c r="A365" s="502"/>
      <c r="B365" s="502"/>
      <c r="C365" s="502"/>
      <c r="D365" s="1268"/>
      <c r="E365" s="1268"/>
      <c r="F365" s="1268"/>
    </row>
    <row r="366" spans="1:9">
      <c r="A366" s="502"/>
      <c r="B366" s="502"/>
      <c r="C366" s="502"/>
      <c r="D366" s="1268"/>
      <c r="E366" s="1268"/>
      <c r="F366" s="1268"/>
    </row>
    <row r="367" spans="1:9">
      <c r="A367" s="502"/>
      <c r="B367" s="502"/>
      <c r="C367" s="502"/>
      <c r="D367" s="1268"/>
      <c r="E367" s="1268"/>
      <c r="F367" s="1268"/>
    </row>
    <row r="368" spans="1:9">
      <c r="A368" s="502"/>
      <c r="B368" s="502"/>
      <c r="C368" s="502"/>
      <c r="D368" s="1268"/>
      <c r="E368" s="1268"/>
      <c r="F368" s="1268"/>
    </row>
    <row r="369" spans="1:6">
      <c r="A369" s="502"/>
      <c r="B369" s="502"/>
      <c r="C369" s="502"/>
      <c r="D369" s="1268"/>
      <c r="E369" s="1268"/>
      <c r="F369" s="1268"/>
    </row>
    <row r="370" spans="1:6">
      <c r="A370" s="502"/>
      <c r="B370" s="502"/>
      <c r="C370" s="502"/>
      <c r="D370" s="1268"/>
      <c r="E370" s="1268"/>
      <c r="F370" s="1268"/>
    </row>
    <row r="371" spans="1:6">
      <c r="A371" s="502"/>
      <c r="B371" s="502"/>
      <c r="C371" s="502"/>
      <c r="D371" s="1268"/>
      <c r="E371" s="1268"/>
      <c r="F371" s="1268"/>
    </row>
    <row r="372" spans="1:6">
      <c r="A372" s="502"/>
      <c r="B372" s="502"/>
      <c r="C372" s="502"/>
      <c r="D372" s="477"/>
      <c r="E372" s="477"/>
      <c r="F372" s="477"/>
    </row>
    <row r="373" spans="1:6" ht="12.5" customHeight="1">
      <c r="A373" s="502"/>
      <c r="B373" s="511" t="s">
        <v>2627</v>
      </c>
      <c r="C373" s="502"/>
      <c r="D373" s="1316" t="s">
        <v>1366</v>
      </c>
      <c r="E373" s="1316"/>
      <c r="F373" s="1316"/>
    </row>
    <row r="374" spans="1:6">
      <c r="A374" s="502"/>
      <c r="B374" s="502"/>
      <c r="C374" s="502"/>
      <c r="D374" s="1316"/>
      <c r="E374" s="1316"/>
      <c r="F374" s="1316"/>
    </row>
    <row r="375" spans="1:6">
      <c r="A375" s="502"/>
      <c r="B375" s="502"/>
      <c r="C375" s="502"/>
      <c r="D375" s="1316"/>
      <c r="E375" s="1316"/>
      <c r="F375" s="1316"/>
    </row>
    <row r="376" spans="1:6">
      <c r="A376" s="502"/>
      <c r="B376" s="502"/>
      <c r="C376" s="502"/>
      <c r="D376" s="1316"/>
      <c r="E376" s="1316"/>
      <c r="F376" s="1316"/>
    </row>
    <row r="377" spans="1:6">
      <c r="A377" s="502"/>
      <c r="B377" s="502"/>
      <c r="C377" s="502"/>
      <c r="D377" s="550"/>
      <c r="E377" s="550"/>
      <c r="F377" s="550"/>
    </row>
    <row r="378" spans="1:6">
      <c r="A378" s="502"/>
      <c r="B378" s="511" t="s">
        <v>2627</v>
      </c>
      <c r="C378" s="502"/>
      <c r="D378" s="425" t="s">
        <v>2097</v>
      </c>
      <c r="E378" s="550"/>
      <c r="F378" s="550"/>
    </row>
    <row r="379" spans="1:6">
      <c r="A379" s="502"/>
      <c r="B379" s="502"/>
      <c r="C379" s="502"/>
      <c r="D379" s="425" t="s">
        <v>2098</v>
      </c>
      <c r="E379" s="550"/>
      <c r="F379" s="550"/>
    </row>
    <row r="380" spans="1:6">
      <c r="A380" s="502"/>
      <c r="B380" s="502"/>
      <c r="C380" s="502"/>
      <c r="D380" s="425" t="s">
        <v>2099</v>
      </c>
      <c r="E380" s="550"/>
      <c r="F380" s="550"/>
    </row>
    <row r="381" spans="1:6">
      <c r="A381" s="502"/>
      <c r="B381" s="502"/>
      <c r="C381" s="502"/>
      <c r="D381" s="425" t="s">
        <v>2100</v>
      </c>
      <c r="E381" s="550"/>
      <c r="F381" s="550"/>
    </row>
    <row r="382" spans="1:6">
      <c r="A382" s="502"/>
      <c r="B382" s="502"/>
      <c r="C382" s="502"/>
      <c r="D382" s="425" t="s">
        <v>2101</v>
      </c>
      <c r="E382" s="550"/>
      <c r="F382" s="550"/>
    </row>
    <row r="383" spans="1:6">
      <c r="A383" s="502"/>
      <c r="B383" s="502"/>
      <c r="C383" s="502"/>
      <c r="D383" s="425" t="s">
        <v>2102</v>
      </c>
      <c r="E383" s="550"/>
      <c r="F383" s="550"/>
    </row>
    <row r="384" spans="1:6">
      <c r="A384" s="502"/>
      <c r="B384" s="502"/>
      <c r="C384" s="502"/>
      <c r="E384" s="473"/>
      <c r="F384" s="472"/>
    </row>
    <row r="385" spans="1:6">
      <c r="A385" s="510"/>
      <c r="B385" s="511" t="s">
        <v>2627</v>
      </c>
      <c r="C385" s="502"/>
      <c r="D385" s="1268" t="s">
        <v>1262</v>
      </c>
      <c r="E385" s="1268"/>
      <c r="F385" s="1268"/>
    </row>
    <row r="386" spans="1:6">
      <c r="A386" s="502"/>
      <c r="B386" s="502"/>
      <c r="C386" s="502"/>
      <c r="D386" s="1268"/>
      <c r="E386" s="1268"/>
      <c r="F386" s="1268"/>
    </row>
    <row r="387" spans="1:6">
      <c r="A387" s="502"/>
      <c r="B387" s="502"/>
      <c r="C387" s="502"/>
      <c r="D387" s="1268"/>
      <c r="E387" s="1268"/>
      <c r="F387" s="1268"/>
    </row>
    <row r="388" spans="1:6">
      <c r="A388" s="502"/>
      <c r="B388" s="502"/>
      <c r="C388" s="502"/>
      <c r="D388" s="1268"/>
      <c r="E388" s="1268"/>
      <c r="F388" s="1268"/>
    </row>
    <row r="389" spans="1:6">
      <c r="A389" s="502"/>
      <c r="B389" s="502"/>
      <c r="C389" s="502"/>
      <c r="D389" s="473"/>
      <c r="E389" s="473"/>
      <c r="F389" s="472"/>
    </row>
    <row r="390" spans="1:6">
      <c r="A390" s="502"/>
      <c r="B390" s="502"/>
      <c r="C390" s="502"/>
      <c r="D390" s="1268" t="s">
        <v>1263</v>
      </c>
      <c r="E390" s="1268"/>
      <c r="F390" s="1268"/>
    </row>
    <row r="391" spans="1:6">
      <c r="A391" s="502"/>
      <c r="B391" s="502"/>
      <c r="C391" s="502"/>
      <c r="D391" s="1268"/>
      <c r="E391" s="1268"/>
      <c r="F391" s="1268"/>
    </row>
    <row r="392" spans="1:6">
      <c r="A392" s="502"/>
      <c r="B392" s="502"/>
      <c r="C392" s="502"/>
      <c r="D392" s="1268"/>
      <c r="E392" s="1268"/>
      <c r="F392" s="1268"/>
    </row>
    <row r="393" spans="1:6">
      <c r="A393" s="502"/>
      <c r="B393" s="502"/>
      <c r="C393" s="502"/>
      <c r="D393" s="1268"/>
      <c r="E393" s="1268"/>
      <c r="F393" s="1268"/>
    </row>
    <row r="394" spans="1:6" ht="18" customHeight="1">
      <c r="A394" s="502"/>
      <c r="B394" s="502"/>
      <c r="C394" s="502"/>
      <c r="D394" s="1268"/>
      <c r="E394" s="1268"/>
      <c r="F394" s="1268"/>
    </row>
    <row r="395" spans="1:6">
      <c r="A395" s="502"/>
      <c r="B395" s="502"/>
      <c r="C395" s="502"/>
      <c r="D395" s="1268"/>
      <c r="E395" s="1268"/>
      <c r="F395" s="1268"/>
    </row>
    <row r="396" spans="1:6">
      <c r="A396" s="502"/>
      <c r="B396" s="502"/>
      <c r="C396" s="502"/>
      <c r="D396" s="1268"/>
      <c r="E396" s="1268"/>
      <c r="F396" s="1268"/>
    </row>
    <row r="397" spans="1:6">
      <c r="A397" s="502"/>
      <c r="B397" s="502"/>
      <c r="C397" s="502"/>
      <c r="D397" s="1268"/>
      <c r="E397" s="1268"/>
      <c r="F397" s="1268"/>
    </row>
    <row r="398" spans="1:6" ht="8.25" customHeight="1">
      <c r="A398" s="502"/>
      <c r="B398" s="502"/>
      <c r="C398" s="502"/>
      <c r="D398" s="1268"/>
      <c r="E398" s="1268"/>
      <c r="F398" s="1268"/>
    </row>
    <row r="399" spans="1:6" ht="14" customHeight="1">
      <c r="A399" s="502"/>
      <c r="B399" s="502"/>
      <c r="C399" s="502"/>
      <c r="D399" s="1268" t="s">
        <v>1264</v>
      </c>
      <c r="E399" s="1268"/>
      <c r="F399" s="1268"/>
    </row>
    <row r="400" spans="1:6">
      <c r="A400" s="502"/>
      <c r="B400" s="502"/>
      <c r="C400" s="502"/>
      <c r="D400" s="1268"/>
      <c r="E400" s="1268"/>
      <c r="F400" s="1268"/>
    </row>
    <row r="401" spans="1:6">
      <c r="A401" s="502"/>
      <c r="B401" s="502"/>
      <c r="C401" s="502"/>
      <c r="D401" s="1268"/>
      <c r="E401" s="1268"/>
      <c r="F401" s="1268"/>
    </row>
    <row r="402" spans="1:6">
      <c r="A402" s="502"/>
      <c r="B402" s="502"/>
      <c r="C402" s="502"/>
      <c r="D402" s="1268"/>
      <c r="E402" s="1268"/>
      <c r="F402" s="1268"/>
    </row>
    <row r="403" spans="1:6">
      <c r="A403" s="502"/>
      <c r="B403" s="502"/>
      <c r="C403" s="502"/>
      <c r="D403" s="1268"/>
      <c r="E403" s="1268"/>
      <c r="F403" s="1268"/>
    </row>
    <row r="404" spans="1:6">
      <c r="A404" s="502"/>
      <c r="B404" s="502"/>
      <c r="C404" s="502"/>
      <c r="D404" s="1268"/>
      <c r="E404" s="1268"/>
      <c r="F404" s="1268"/>
    </row>
    <row r="405" spans="1:6">
      <c r="A405" s="502"/>
      <c r="B405" s="502"/>
      <c r="C405" s="502"/>
      <c r="D405" s="1268"/>
      <c r="E405" s="1268"/>
      <c r="F405" s="1268"/>
    </row>
    <row r="406" spans="1:6">
      <c r="A406" s="502"/>
      <c r="B406" s="502"/>
      <c r="C406" s="502"/>
      <c r="D406" s="1268"/>
      <c r="E406" s="1268"/>
      <c r="F406" s="1268"/>
    </row>
    <row r="407" spans="1:6">
      <c r="A407" s="502"/>
      <c r="B407" s="502"/>
      <c r="C407" s="502"/>
      <c r="D407" s="1268"/>
      <c r="E407" s="1268"/>
      <c r="F407" s="1268"/>
    </row>
    <row r="408" spans="1:6">
      <c r="A408" s="502"/>
      <c r="B408" s="502"/>
      <c r="C408" s="502"/>
      <c r="D408" s="1268"/>
      <c r="E408" s="1268"/>
      <c r="F408" s="1268"/>
    </row>
    <row r="409" spans="1:6">
      <c r="A409" s="502"/>
      <c r="B409" s="502"/>
      <c r="C409" s="502"/>
      <c r="D409" s="1268"/>
      <c r="E409" s="1268"/>
      <c r="F409" s="1268"/>
    </row>
    <row r="410" spans="1:6">
      <c r="A410" s="502"/>
      <c r="B410" s="502"/>
      <c r="C410" s="502"/>
      <c r="D410" s="1268"/>
      <c r="E410" s="1268"/>
      <c r="F410" s="1268"/>
    </row>
    <row r="411" spans="1:6">
      <c r="A411" s="502"/>
      <c r="B411" s="502"/>
      <c r="C411" s="522"/>
      <c r="D411" s="1268"/>
      <c r="E411" s="1268"/>
      <c r="F411" s="1268"/>
    </row>
    <row r="412" spans="1:6">
      <c r="A412" s="502"/>
      <c r="B412" s="502"/>
      <c r="C412" s="522"/>
      <c r="D412" s="1268"/>
      <c r="E412" s="1268"/>
      <c r="F412" s="1268"/>
    </row>
    <row r="413" spans="1:6">
      <c r="A413" s="502"/>
      <c r="B413" s="502"/>
      <c r="C413" s="502"/>
      <c r="D413" s="1268"/>
      <c r="E413" s="1268"/>
      <c r="F413" s="1268"/>
    </row>
    <row r="414" spans="1:6">
      <c r="A414" s="502"/>
      <c r="B414" s="502"/>
      <c r="C414" s="522"/>
      <c r="D414" s="1268"/>
      <c r="E414" s="1268"/>
      <c r="F414" s="1268"/>
    </row>
    <row r="415" spans="1:6">
      <c r="A415" s="502"/>
      <c r="B415" s="502"/>
      <c r="C415" s="522"/>
      <c r="D415" s="1268"/>
      <c r="E415" s="1268"/>
      <c r="F415" s="1268"/>
    </row>
    <row r="416" spans="1:6">
      <c r="A416" s="502"/>
      <c r="B416" s="502"/>
      <c r="C416" s="522"/>
      <c r="D416" s="1268"/>
      <c r="E416" s="1268"/>
      <c r="F416" s="1268"/>
    </row>
    <row r="417" spans="1:6">
      <c r="A417" s="502"/>
      <c r="B417" s="502"/>
      <c r="C417" s="502"/>
      <c r="D417" s="473"/>
      <c r="E417" s="473"/>
      <c r="F417" s="472"/>
    </row>
    <row r="418" spans="1:6">
      <c r="A418" s="502"/>
      <c r="B418" s="511" t="s">
        <v>2627</v>
      </c>
      <c r="C418" s="502"/>
      <c r="D418" s="1268" t="s">
        <v>1265</v>
      </c>
      <c r="E418" s="1268"/>
      <c r="F418" s="1268"/>
    </row>
    <row r="419" spans="1:6">
      <c r="A419" s="502"/>
      <c r="B419" s="502"/>
      <c r="C419" s="502"/>
      <c r="D419" s="1268"/>
      <c r="E419" s="1268"/>
      <c r="F419" s="1268"/>
    </row>
    <row r="420" spans="1:6">
      <c r="A420" s="502"/>
      <c r="B420" s="502"/>
      <c r="C420" s="502"/>
      <c r="D420" s="477"/>
      <c r="E420" s="477"/>
      <c r="F420" s="477"/>
    </row>
    <row r="421" spans="1:6" ht="14.75" customHeight="1">
      <c r="A421" s="510"/>
      <c r="B421" s="511" t="s">
        <v>2627</v>
      </c>
      <c r="D421" s="1268" t="s">
        <v>2205</v>
      </c>
      <c r="E421" s="1268"/>
      <c r="F421" s="1268"/>
    </row>
    <row r="422" spans="1:6" ht="14.75" customHeight="1">
      <c r="A422" s="510"/>
      <c r="D422" s="1268"/>
      <c r="E422" s="1268"/>
      <c r="F422" s="1268"/>
    </row>
    <row r="423" spans="1:6" ht="14.75" customHeight="1">
      <c r="A423" s="510"/>
      <c r="D423" s="1268"/>
      <c r="E423" s="1268"/>
      <c r="F423" s="1268"/>
    </row>
    <row r="424" spans="1:6" ht="14.75" customHeight="1">
      <c r="A424" s="510"/>
      <c r="D424" s="1268"/>
      <c r="E424" s="1268"/>
      <c r="F424" s="1268"/>
    </row>
    <row r="425" spans="1:6" ht="14.75" customHeight="1">
      <c r="A425" s="510"/>
      <c r="D425" s="1268"/>
      <c r="E425" s="1268"/>
      <c r="F425" s="1268"/>
    </row>
    <row r="426" spans="1:6" ht="14.75" customHeight="1">
      <c r="A426" s="510"/>
      <c r="D426" s="408"/>
      <c r="E426" s="408"/>
      <c r="F426" s="408"/>
    </row>
    <row r="427" spans="1:6" ht="14" customHeight="1">
      <c r="A427" s="510"/>
      <c r="B427" s="511" t="s">
        <v>2627</v>
      </c>
      <c r="C427" s="502"/>
      <c r="D427" s="1268" t="s">
        <v>1388</v>
      </c>
      <c r="E427" s="1268"/>
      <c r="F427" s="1268"/>
    </row>
    <row r="428" spans="1:6">
      <c r="A428" s="523"/>
      <c r="B428" s="523"/>
      <c r="C428" s="502"/>
      <c r="D428" s="1268"/>
      <c r="E428" s="1268"/>
      <c r="F428" s="1268"/>
    </row>
    <row r="429" spans="1:6">
      <c r="A429" s="523"/>
      <c r="B429" s="523"/>
      <c r="C429" s="502"/>
      <c r="D429" s="1268"/>
      <c r="E429" s="1268"/>
      <c r="F429" s="1268"/>
    </row>
    <row r="430" spans="1:6">
      <c r="A430" s="523"/>
      <c r="B430" s="523"/>
      <c r="C430" s="502"/>
      <c r="D430" s="1268"/>
      <c r="E430" s="1268"/>
      <c r="F430" s="1268"/>
    </row>
    <row r="431" spans="1:6" ht="15.75" customHeight="1">
      <c r="A431" s="523"/>
      <c r="B431" s="523"/>
      <c r="C431" s="502"/>
      <c r="D431" s="1342" t="s">
        <v>2477</v>
      </c>
      <c r="E431" s="1268"/>
      <c r="F431" s="1268"/>
    </row>
    <row r="432" spans="1:6">
      <c r="D432" s="472"/>
      <c r="E432" s="472"/>
      <c r="F432" s="472"/>
    </row>
    <row r="433" spans="1:6">
      <c r="A433" s="510"/>
      <c r="B433" s="511" t="s">
        <v>2627</v>
      </c>
      <c r="C433" s="513"/>
      <c r="D433" s="1286" t="s">
        <v>2459</v>
      </c>
      <c r="E433" s="1286"/>
      <c r="F433" s="1286"/>
    </row>
    <row r="434" spans="1:6">
      <c r="A434" s="510"/>
      <c r="B434" s="510"/>
      <c r="D434" s="1286"/>
      <c r="E434" s="1286"/>
      <c r="F434" s="1286"/>
    </row>
    <row r="435" spans="1:6">
      <c r="D435" s="1286"/>
      <c r="E435" s="1286"/>
      <c r="F435" s="1286"/>
    </row>
    <row r="436" spans="1:6">
      <c r="D436" s="1286"/>
      <c r="E436" s="1286"/>
      <c r="F436" s="1286"/>
    </row>
    <row r="437" spans="1:6">
      <c r="D437" s="1286"/>
      <c r="E437" s="1286"/>
      <c r="F437" s="1286"/>
    </row>
    <row r="438" spans="1:6">
      <c r="D438" s="1286"/>
      <c r="E438" s="1286"/>
      <c r="F438" s="1286"/>
    </row>
    <row r="439" spans="1:6">
      <c r="D439" s="1286"/>
      <c r="E439" s="1286"/>
      <c r="F439" s="1286"/>
    </row>
    <row r="440" spans="1:6">
      <c r="D440" s="1286"/>
      <c r="E440" s="1286"/>
      <c r="F440" s="1286"/>
    </row>
    <row r="441" spans="1:6">
      <c r="D441" s="1286"/>
      <c r="E441" s="1286"/>
      <c r="F441" s="1286"/>
    </row>
    <row r="442" spans="1:6">
      <c r="D442" s="1286"/>
      <c r="E442" s="1286"/>
      <c r="F442" s="1286"/>
    </row>
    <row r="443" spans="1:6">
      <c r="D443" s="1286"/>
      <c r="E443" s="1286"/>
      <c r="F443" s="1286"/>
    </row>
    <row r="444" spans="1:6">
      <c r="D444" s="1286"/>
      <c r="E444" s="1286"/>
      <c r="F444" s="1286"/>
    </row>
    <row r="445" spans="1:6">
      <c r="D445" s="1286"/>
      <c r="E445" s="1286"/>
      <c r="F445" s="1286"/>
    </row>
    <row r="446" spans="1:6">
      <c r="A446" s="425"/>
      <c r="B446" s="425"/>
      <c r="C446" s="425"/>
      <c r="D446" s="1286"/>
      <c r="E446" s="1286"/>
      <c r="F446" s="1286"/>
    </row>
    <row r="447" spans="1:6">
      <c r="A447" s="425"/>
      <c r="B447" s="425"/>
      <c r="C447" s="425"/>
      <c r="D447" s="1286"/>
      <c r="E447" s="1286"/>
      <c r="F447" s="1286"/>
    </row>
    <row r="448" spans="1:6">
      <c r="A448" s="425"/>
      <c r="B448" s="425"/>
      <c r="C448" s="425"/>
      <c r="D448" s="1286"/>
      <c r="E448" s="1286"/>
      <c r="F448" s="1286"/>
    </row>
    <row r="449" spans="1:6">
      <c r="A449" s="425"/>
      <c r="B449" s="425"/>
      <c r="C449" s="425"/>
      <c r="D449" s="1286"/>
      <c r="E449" s="1286"/>
      <c r="F449" s="1286"/>
    </row>
    <row r="450" spans="1:6">
      <c r="A450" s="425"/>
      <c r="B450" s="425"/>
      <c r="C450" s="425"/>
      <c r="D450" s="1286"/>
      <c r="E450" s="1286"/>
      <c r="F450" s="1286"/>
    </row>
    <row r="451" spans="1:6">
      <c r="A451" s="425"/>
      <c r="B451" s="425"/>
      <c r="C451" s="425"/>
      <c r="D451" s="1286"/>
      <c r="E451" s="1286"/>
      <c r="F451" s="1286"/>
    </row>
    <row r="452" spans="1:6">
      <c r="A452" s="425"/>
      <c r="B452" s="425"/>
      <c r="C452" s="425"/>
      <c r="D452" s="1286"/>
      <c r="E452" s="1286"/>
      <c r="F452" s="1286"/>
    </row>
    <row r="453" spans="1:6">
      <c r="A453" s="425"/>
      <c r="B453" s="425"/>
      <c r="C453" s="425"/>
      <c r="D453" s="1286"/>
      <c r="E453" s="1286"/>
      <c r="F453" s="1286"/>
    </row>
    <row r="454" spans="1:6">
      <c r="A454" s="425"/>
      <c r="B454" s="425"/>
      <c r="C454" s="425"/>
      <c r="D454" s="1286"/>
      <c r="E454" s="1286"/>
      <c r="F454" s="1286"/>
    </row>
    <row r="455" spans="1:6">
      <c r="A455" s="425"/>
      <c r="B455" s="425"/>
      <c r="C455" s="425"/>
      <c r="D455" s="1286"/>
      <c r="E455" s="1286"/>
      <c r="F455" s="1286"/>
    </row>
    <row r="456" spans="1:6">
      <c r="A456" s="425"/>
      <c r="B456" s="425"/>
      <c r="C456" s="425"/>
      <c r="D456" s="1286"/>
      <c r="E456" s="1286"/>
      <c r="F456" s="1286"/>
    </row>
    <row r="457" spans="1:6">
      <c r="A457" s="425"/>
      <c r="B457" s="425"/>
      <c r="C457" s="425"/>
      <c r="D457" s="1286"/>
      <c r="E457" s="1286"/>
      <c r="F457" s="1286"/>
    </row>
    <row r="458" spans="1:6">
      <c r="A458" s="425"/>
      <c r="B458" s="425"/>
      <c r="C458" s="425"/>
      <c r="D458" s="1286"/>
      <c r="E458" s="1286"/>
      <c r="F458" s="1286"/>
    </row>
    <row r="459" spans="1:6">
      <c r="A459" s="425"/>
      <c r="B459" s="425"/>
      <c r="C459" s="425"/>
      <c r="D459" s="1286"/>
      <c r="E459" s="1286"/>
      <c r="F459" s="1286"/>
    </row>
    <row r="460" spans="1:6">
      <c r="A460" s="425"/>
      <c r="B460" s="425"/>
      <c r="C460" s="425"/>
      <c r="D460" s="1286"/>
      <c r="E460" s="1286"/>
      <c r="F460" s="1286"/>
    </row>
    <row r="461" spans="1:6">
      <c r="A461" s="425"/>
      <c r="B461" s="425"/>
      <c r="C461" s="425"/>
      <c r="D461" s="1286"/>
      <c r="E461" s="1286"/>
      <c r="F461" s="1286"/>
    </row>
    <row r="462" spans="1:6">
      <c r="D462" s="1286"/>
      <c r="E462" s="1286"/>
      <c r="F462" s="1286"/>
    </row>
    <row r="463" spans="1:6" ht="41" customHeight="1">
      <c r="D463" s="1286"/>
      <c r="E463" s="1286"/>
      <c r="F463" s="1286"/>
    </row>
    <row r="464" spans="1:6">
      <c r="D464" s="472"/>
      <c r="E464" s="472"/>
      <c r="F464" s="472"/>
    </row>
    <row r="465" spans="1:6">
      <c r="A465" s="510"/>
      <c r="B465" s="511" t="s">
        <v>2627</v>
      </c>
      <c r="C465" s="513"/>
      <c r="D465" s="1286" t="s">
        <v>1270</v>
      </c>
      <c r="E465" s="1286"/>
      <c r="F465" s="1286"/>
    </row>
    <row r="466" spans="1:6">
      <c r="D466" s="1286"/>
      <c r="E466" s="1286"/>
      <c r="F466" s="1286"/>
    </row>
    <row r="467" spans="1:6">
      <c r="D467" s="1286"/>
      <c r="E467" s="1286"/>
      <c r="F467" s="1286"/>
    </row>
    <row r="468" spans="1:6">
      <c r="D468" s="471"/>
      <c r="E468" s="471"/>
      <c r="F468" s="471"/>
    </row>
    <row r="469" spans="1:6">
      <c r="B469" s="511" t="s">
        <v>2627</v>
      </c>
      <c r="C469" s="510"/>
      <c r="D469" s="1286" t="s">
        <v>1340</v>
      </c>
      <c r="E469" s="1286"/>
      <c r="F469" s="1286"/>
    </row>
    <row r="470" spans="1:6">
      <c r="D470" s="1286"/>
      <c r="E470" s="1286"/>
      <c r="F470" s="1286"/>
    </row>
    <row r="471" spans="1:6">
      <c r="D471" s="472"/>
      <c r="E471" s="472"/>
      <c r="F471" s="472"/>
    </row>
    <row r="472" spans="1:6">
      <c r="B472" s="511" t="s">
        <v>2627</v>
      </c>
      <c r="C472" s="510"/>
      <c r="D472" s="1286" t="s">
        <v>1272</v>
      </c>
      <c r="E472" s="1286"/>
      <c r="F472" s="1286"/>
    </row>
    <row r="473" spans="1:6">
      <c r="D473" s="1286"/>
      <c r="E473" s="1286"/>
      <c r="F473" s="1286"/>
    </row>
    <row r="474" spans="1:6">
      <c r="D474" s="1286"/>
      <c r="E474" s="1286"/>
      <c r="F474" s="1286"/>
    </row>
    <row r="475" spans="1:6">
      <c r="D475" s="1286"/>
      <c r="E475" s="1286"/>
      <c r="F475" s="1286"/>
    </row>
    <row r="476" spans="1:6">
      <c r="B476" s="511" t="s">
        <v>2627</v>
      </c>
      <c r="D476" s="1286"/>
      <c r="E476" s="1286"/>
      <c r="F476" s="1286"/>
    </row>
    <row r="477" spans="1:6">
      <c r="A477" s="425"/>
      <c r="B477" s="425"/>
      <c r="C477" s="425"/>
      <c r="D477" s="1286"/>
      <c r="E477" s="1286"/>
      <c r="F477" s="1286"/>
    </row>
    <row r="478" spans="1:6">
      <c r="A478" s="425"/>
      <c r="C478" s="425"/>
      <c r="D478" s="1286"/>
      <c r="E478" s="1286"/>
      <c r="F478" s="1286"/>
    </row>
    <row r="479" spans="1:6">
      <c r="A479" s="425"/>
      <c r="B479" s="511" t="s">
        <v>2627</v>
      </c>
      <c r="C479" s="425"/>
      <c r="D479" s="1286"/>
      <c r="E479" s="1286"/>
      <c r="F479" s="1286"/>
    </row>
    <row r="480" spans="1:6">
      <c r="A480" s="425"/>
      <c r="B480" s="425"/>
      <c r="C480" s="425"/>
      <c r="D480" s="1286"/>
      <c r="E480" s="1286"/>
      <c r="F480" s="1286"/>
    </row>
    <row r="481" spans="1:9">
      <c r="A481" s="425"/>
      <c r="C481" s="425"/>
      <c r="D481" s="1286"/>
      <c r="E481" s="1286"/>
      <c r="F481" s="1286"/>
    </row>
    <row r="482" spans="1:9">
      <c r="A482" s="425"/>
      <c r="C482" s="425"/>
      <c r="D482" s="1286"/>
      <c r="E482" s="1286"/>
      <c r="F482" s="1286"/>
    </row>
    <row r="483" spans="1:9">
      <c r="A483" s="425"/>
      <c r="C483" s="425"/>
      <c r="D483" s="1286"/>
      <c r="E483" s="1286"/>
      <c r="F483" s="1286"/>
    </row>
    <row r="484" spans="1:9">
      <c r="A484" s="425"/>
      <c r="B484" s="511" t="s">
        <v>2627</v>
      </c>
      <c r="C484" s="425"/>
      <c r="D484" s="1286"/>
      <c r="E484" s="1286"/>
      <c r="F484" s="1286"/>
    </row>
    <row r="485" spans="1:9">
      <c r="A485" s="425"/>
      <c r="C485" s="425"/>
      <c r="D485" s="1286"/>
      <c r="E485" s="1286"/>
      <c r="F485" s="1286"/>
    </row>
    <row r="486" spans="1:9">
      <c r="A486" s="425"/>
      <c r="B486" s="511" t="s">
        <v>2627</v>
      </c>
      <c r="C486" s="425"/>
      <c r="D486" s="1286" t="s">
        <v>1273</v>
      </c>
      <c r="E486" s="1286"/>
      <c r="F486" s="1286"/>
    </row>
    <row r="487" spans="1:9">
      <c r="A487" s="425"/>
      <c r="B487" s="425"/>
      <c r="C487" s="425"/>
      <c r="D487" s="1286"/>
      <c r="E487" s="1286"/>
      <c r="F487" s="1286"/>
    </row>
    <row r="488" spans="1:9">
      <c r="A488" s="425"/>
      <c r="B488" s="425"/>
      <c r="C488" s="425"/>
      <c r="D488" s="1286"/>
      <c r="E488" s="1286"/>
      <c r="F488" s="1286"/>
    </row>
    <row r="489" spans="1:9">
      <c r="A489" s="425"/>
      <c r="B489" s="425"/>
      <c r="C489" s="425"/>
      <c r="D489" s="1286"/>
      <c r="E489" s="1286"/>
      <c r="F489" s="1286"/>
    </row>
    <row r="490" spans="1:9">
      <c r="D490" s="1286"/>
      <c r="E490" s="1286"/>
      <c r="F490" s="1286"/>
    </row>
    <row r="491" spans="1:9">
      <c r="D491" s="472"/>
      <c r="E491" s="472"/>
      <c r="F491" s="472"/>
    </row>
    <row r="492" spans="1:9">
      <c r="B492" s="511" t="s">
        <v>2627</v>
      </c>
      <c r="D492" s="1287" t="s">
        <v>1274</v>
      </c>
      <c r="E492" s="1287"/>
      <c r="F492" s="1287"/>
    </row>
    <row r="493" spans="1:9">
      <c r="A493" s="472"/>
      <c r="B493" s="472"/>
    </row>
    <row r="494" spans="1:9">
      <c r="A494" s="1274" t="s">
        <v>1115</v>
      </c>
      <c r="B494" s="1274"/>
      <c r="C494" s="1274"/>
      <c r="D494" s="1274"/>
      <c r="E494" s="1274"/>
      <c r="F494" s="1274"/>
      <c r="G494" s="1274"/>
      <c r="H494" s="1053"/>
      <c r="I494" s="1054"/>
    </row>
    <row r="495" spans="1:9">
      <c r="A495" s="472"/>
      <c r="B495" s="472"/>
    </row>
    <row r="496" spans="1:9">
      <c r="D496" s="1271" t="s">
        <v>913</v>
      </c>
      <c r="E496" s="1271"/>
      <c r="F496" s="1271"/>
    </row>
    <row r="497" spans="1:9">
      <c r="A497" s="510"/>
      <c r="B497" s="510"/>
      <c r="D497" s="1272" t="s">
        <v>1275</v>
      </c>
      <c r="E497" s="1272"/>
      <c r="F497" s="1272"/>
    </row>
    <row r="498" spans="1:9">
      <c r="A498" s="510"/>
      <c r="B498" s="510"/>
      <c r="D498" s="473"/>
    </row>
    <row r="499" spans="1:9">
      <c r="A499" s="510"/>
      <c r="B499" s="511" t="s">
        <v>2627</v>
      </c>
      <c r="D499" s="1268" t="s">
        <v>1276</v>
      </c>
      <c r="E499" s="1268"/>
      <c r="F499" s="1268"/>
      <c r="I499" s="427" t="s">
        <v>2169</v>
      </c>
    </row>
    <row r="500" spans="1:9">
      <c r="A500" s="510"/>
      <c r="B500" s="510"/>
      <c r="D500" s="1268"/>
      <c r="E500" s="1268"/>
      <c r="F500" s="1268"/>
    </row>
    <row r="501" spans="1:9">
      <c r="A501" s="510"/>
      <c r="B501" s="510"/>
      <c r="D501" s="472"/>
    </row>
    <row r="502" spans="1:9" ht="12.75" customHeight="1">
      <c r="B502" s="511" t="s">
        <v>2627</v>
      </c>
      <c r="D502" s="1273" t="s">
        <v>1432</v>
      </c>
      <c r="E502" s="1273"/>
      <c r="F502" s="1273"/>
      <c r="I502" s="427" t="s">
        <v>2170</v>
      </c>
    </row>
    <row r="503" spans="1:9">
      <c r="A503" s="510"/>
      <c r="D503" s="1273"/>
      <c r="E503" s="1273"/>
      <c r="F503" s="1273"/>
    </row>
    <row r="504" spans="1:9">
      <c r="A504" s="510"/>
      <c r="B504" s="510"/>
      <c r="D504" s="1273"/>
      <c r="E504" s="1273"/>
      <c r="F504" s="1273"/>
    </row>
    <row r="505" spans="1:9">
      <c r="A505" s="510"/>
      <c r="B505" s="510"/>
      <c r="D505" s="1273"/>
      <c r="E505" s="1273"/>
      <c r="F505" s="1273"/>
    </row>
    <row r="506" spans="1:9">
      <c r="A506" s="510"/>
      <c r="D506" s="546"/>
      <c r="E506" s="546"/>
      <c r="F506" s="546"/>
    </row>
    <row r="507" spans="1:9">
      <c r="A507" s="510"/>
      <c r="B507" s="511" t="s">
        <v>2627</v>
      </c>
      <c r="D507" s="1287" t="s">
        <v>1279</v>
      </c>
      <c r="E507" s="1287"/>
      <c r="F507" s="1287"/>
      <c r="I507" s="427" t="s">
        <v>2171</v>
      </c>
    </row>
    <row r="508" spans="1:9">
      <c r="A508" s="510"/>
      <c r="B508" s="510"/>
      <c r="D508" s="472"/>
    </row>
    <row r="509" spans="1:9">
      <c r="A509" s="510"/>
      <c r="B509" s="511" t="s">
        <v>2627</v>
      </c>
      <c r="D509" s="1286" t="s">
        <v>1280</v>
      </c>
      <c r="E509" s="1286"/>
      <c r="F509" s="1286"/>
      <c r="I509" s="427" t="s">
        <v>2171</v>
      </c>
    </row>
    <row r="510" spans="1:9">
      <c r="A510" s="510"/>
      <c r="D510" s="1286"/>
      <c r="E510" s="1286"/>
      <c r="F510" s="1286"/>
    </row>
    <row r="511" spans="1:9">
      <c r="A511" s="516"/>
      <c r="B511" s="516"/>
      <c r="D511" s="473"/>
    </row>
    <row r="512" spans="1:9">
      <c r="A512" s="516"/>
      <c r="B512" s="511" t="s">
        <v>2627</v>
      </c>
      <c r="D512" s="1287" t="s">
        <v>1281</v>
      </c>
      <c r="E512" s="1287"/>
      <c r="F512" s="1287"/>
      <c r="I512" s="427" t="s">
        <v>2224</v>
      </c>
    </row>
    <row r="513" spans="1:9">
      <c r="A513" s="510"/>
      <c r="B513" s="510"/>
      <c r="D513" s="472"/>
    </row>
    <row r="514" spans="1:9">
      <c r="A514" s="1274" t="s">
        <v>1116</v>
      </c>
      <c r="B514" s="1274"/>
      <c r="C514" s="1274"/>
      <c r="D514" s="1274"/>
      <c r="E514" s="1274"/>
      <c r="F514" s="1274"/>
      <c r="G514" s="1274"/>
      <c r="H514" s="1053"/>
      <c r="I514" s="1054"/>
    </row>
    <row r="515" spans="1:9" ht="12" customHeight="1">
      <c r="A515" s="510"/>
      <c r="B515" s="510"/>
      <c r="D515" s="472"/>
    </row>
    <row r="516" spans="1:9">
      <c r="C516" s="508"/>
      <c r="D516" s="1285" t="s">
        <v>818</v>
      </c>
      <c r="E516" s="1285"/>
      <c r="F516" s="1285"/>
    </row>
    <row r="517" spans="1:9">
      <c r="C517" s="508"/>
      <c r="D517" s="532" t="s">
        <v>1342</v>
      </c>
      <c r="E517" s="532"/>
      <c r="F517" s="532"/>
    </row>
    <row r="518" spans="1:9">
      <c r="C518" s="508"/>
      <c r="D518" s="532" t="s">
        <v>1343</v>
      </c>
      <c r="E518" s="532"/>
      <c r="F518" s="532"/>
    </row>
    <row r="519" spans="1:9">
      <c r="C519" s="508"/>
      <c r="D519" s="507"/>
      <c r="E519" s="507"/>
      <c r="F519" s="507"/>
    </row>
    <row r="520" spans="1:9" ht="14" customHeight="1">
      <c r="A520" s="509"/>
      <c r="B520" s="511" t="s">
        <v>2626</v>
      </c>
      <c r="C520" s="509"/>
      <c r="D520" s="1268" t="s">
        <v>2460</v>
      </c>
      <c r="E520" s="1268"/>
      <c r="F520" s="1268"/>
      <c r="I520" s="427" t="s">
        <v>2206</v>
      </c>
    </row>
    <row r="521" spans="1:9">
      <c r="A521" s="509"/>
      <c r="B521" s="509"/>
      <c r="C521" s="509"/>
      <c r="D521" s="1268"/>
      <c r="E521" s="1268"/>
      <c r="F521" s="1268"/>
    </row>
    <row r="522" spans="1:9">
      <c r="A522" s="509"/>
      <c r="B522" s="509"/>
      <c r="C522" s="509"/>
      <c r="D522" s="477"/>
      <c r="E522" s="477"/>
      <c r="F522" s="477"/>
      <c r="I522" s="425"/>
    </row>
    <row r="523" spans="1:9" ht="12.75" customHeight="1">
      <c r="A523" s="509"/>
      <c r="B523" s="511" t="s">
        <v>2626</v>
      </c>
      <c r="D523" s="409" t="s">
        <v>2286</v>
      </c>
      <c r="E523" s="408"/>
      <c r="F523" s="408"/>
      <c r="I523" s="427" t="s">
        <v>2172</v>
      </c>
    </row>
    <row r="524" spans="1:9">
      <c r="A524" s="509"/>
      <c r="B524" s="509"/>
      <c r="C524" s="509"/>
      <c r="D524" s="408"/>
      <c r="E524" s="96" t="s">
        <v>2287</v>
      </c>
    </row>
    <row r="525" spans="1:9">
      <c r="A525" s="509"/>
      <c r="B525" s="509"/>
      <c r="D525" s="1316" t="s">
        <v>2461</v>
      </c>
      <c r="E525" s="1316"/>
      <c r="F525" s="1316"/>
    </row>
    <row r="526" spans="1:9">
      <c r="A526" s="509"/>
      <c r="B526" s="509"/>
      <c r="D526" s="1316"/>
      <c r="E526" s="1316"/>
      <c r="F526" s="1316"/>
    </row>
    <row r="527" spans="1:9">
      <c r="A527" s="509"/>
      <c r="B527" s="509"/>
      <c r="C527" s="509"/>
      <c r="D527" s="1316"/>
      <c r="E527" s="1316"/>
      <c r="F527" s="1316"/>
    </row>
    <row r="528" spans="1:9">
      <c r="A528" s="509"/>
      <c r="B528" s="509"/>
      <c r="C528" s="509"/>
      <c r="D528" s="524"/>
      <c r="F528" s="472"/>
    </row>
    <row r="529" spans="1:9" ht="13.25" customHeight="1">
      <c r="A529" s="509"/>
      <c r="B529" s="511" t="s">
        <v>2627</v>
      </c>
      <c r="C529" s="509"/>
      <c r="D529" s="1286" t="s">
        <v>2462</v>
      </c>
      <c r="E529" s="1286"/>
      <c r="F529" s="1286"/>
      <c r="I529" s="427" t="s">
        <v>2172</v>
      </c>
    </row>
    <row r="530" spans="1:9">
      <c r="A530" s="509"/>
      <c r="B530" s="509"/>
      <c r="C530" s="509"/>
      <c r="D530" s="1286"/>
      <c r="E530" s="1286"/>
      <c r="F530" s="1286"/>
    </row>
    <row r="531" spans="1:9" ht="12" customHeight="1">
      <c r="A531" s="472"/>
      <c r="B531" s="472"/>
      <c r="C531" s="513"/>
      <c r="D531" s="472"/>
      <c r="F531" s="474"/>
    </row>
    <row r="532" spans="1:9">
      <c r="A532" s="1274" t="s">
        <v>1117</v>
      </c>
      <c r="B532" s="1274"/>
      <c r="C532" s="1274"/>
      <c r="D532" s="1274"/>
      <c r="E532" s="1274"/>
      <c r="F532" s="1274"/>
      <c r="G532" s="1274"/>
      <c r="H532" s="1053"/>
      <c r="I532" s="1054"/>
    </row>
    <row r="533" spans="1:9">
      <c r="A533" s="472"/>
      <c r="B533" s="472"/>
      <c r="C533" s="513"/>
      <c r="F533" s="474"/>
    </row>
    <row r="534" spans="1:9">
      <c r="B534" s="1289" t="s">
        <v>450</v>
      </c>
      <c r="C534" s="1289"/>
      <c r="D534" s="1289"/>
      <c r="E534" s="1289"/>
      <c r="F534" s="1289"/>
    </row>
    <row r="535" spans="1:9">
      <c r="A535" s="472"/>
      <c r="B535" s="472"/>
      <c r="C535" s="513"/>
      <c r="D535" s="472"/>
      <c r="F535" s="472"/>
    </row>
    <row r="536" spans="1:9">
      <c r="A536" s="1305" t="s">
        <v>1118</v>
      </c>
      <c r="B536" s="1305"/>
      <c r="C536" s="1305"/>
      <c r="D536" s="1305"/>
      <c r="E536" s="1305"/>
      <c r="F536" s="1305"/>
      <c r="G536" s="1305"/>
      <c r="H536" s="1053"/>
      <c r="I536" s="1054"/>
    </row>
    <row r="537" spans="1:9">
      <c r="A537" s="472"/>
      <c r="B537" s="472"/>
      <c r="C537" s="513"/>
      <c r="D537" s="472"/>
      <c r="F537" s="472"/>
    </row>
    <row r="538" spans="1:9">
      <c r="C538" s="513"/>
      <c r="D538" s="1285" t="s">
        <v>693</v>
      </c>
      <c r="E538" s="1285"/>
      <c r="F538" s="1285"/>
    </row>
    <row r="539" spans="1:9">
      <c r="C539" s="513"/>
      <c r="D539" s="1287" t="s">
        <v>1175</v>
      </c>
      <c r="E539" s="1287"/>
      <c r="F539" s="1287"/>
    </row>
    <row r="540" spans="1:9">
      <c r="C540" s="513"/>
      <c r="D540" s="472"/>
      <c r="E540" s="472"/>
      <c r="F540" s="472"/>
    </row>
    <row r="541" spans="1:9" ht="14" customHeight="1">
      <c r="A541" s="510"/>
      <c r="B541" s="511" t="s">
        <v>2626</v>
      </c>
      <c r="C541" s="513"/>
      <c r="D541" s="1287" t="s">
        <v>914</v>
      </c>
      <c r="E541" s="1287"/>
      <c r="F541" s="1287"/>
      <c r="I541" s="427" t="s">
        <v>2222</v>
      </c>
    </row>
    <row r="542" spans="1:9" ht="14" customHeight="1">
      <c r="A542" s="513"/>
      <c r="B542" s="513"/>
      <c r="C542" s="513"/>
      <c r="D542" s="472"/>
    </row>
    <row r="543" spans="1:9">
      <c r="A543" s="510"/>
      <c r="B543" s="511" t="s">
        <v>2626</v>
      </c>
      <c r="C543" s="513"/>
      <c r="D543" s="1286" t="s">
        <v>1176</v>
      </c>
      <c r="E543" s="1286"/>
      <c r="F543" s="1286"/>
      <c r="I543" s="427" t="s">
        <v>2222</v>
      </c>
    </row>
    <row r="544" spans="1:9">
      <c r="A544" s="513"/>
      <c r="B544" s="513"/>
      <c r="C544" s="513"/>
      <c r="D544" s="1286"/>
      <c r="E544" s="1286"/>
      <c r="F544" s="1286"/>
    </row>
    <row r="545" spans="1:9">
      <c r="A545" s="513"/>
      <c r="B545" s="513"/>
      <c r="C545" s="513"/>
      <c r="D545" s="472"/>
      <c r="E545" s="472"/>
      <c r="F545" s="472"/>
    </row>
    <row r="546" spans="1:9">
      <c r="A546" s="510"/>
      <c r="B546" s="511" t="s">
        <v>2626</v>
      </c>
      <c r="C546" s="513"/>
      <c r="D546" s="1286" t="s">
        <v>1177</v>
      </c>
      <c r="E546" s="1286"/>
      <c r="F546" s="1286"/>
      <c r="I546" s="427" t="s">
        <v>2173</v>
      </c>
    </row>
    <row r="547" spans="1:9">
      <c r="A547" s="513"/>
      <c r="B547" s="513"/>
      <c r="C547" s="513"/>
      <c r="D547" s="1286"/>
      <c r="E547" s="1286"/>
      <c r="F547" s="1286"/>
    </row>
    <row r="548" spans="1:9">
      <c r="A548" s="513"/>
      <c r="B548" s="513"/>
      <c r="C548" s="513"/>
      <c r="D548" s="472"/>
      <c r="E548" s="472"/>
      <c r="F548" s="472"/>
    </row>
    <row r="549" spans="1:9">
      <c r="A549" s="510"/>
      <c r="B549" s="511" t="s">
        <v>2626</v>
      </c>
      <c r="C549" s="513"/>
      <c r="D549" s="1286" t="s">
        <v>1178</v>
      </c>
      <c r="E549" s="1286"/>
      <c r="F549" s="1286"/>
      <c r="I549" s="427" t="s">
        <v>2174</v>
      </c>
    </row>
    <row r="550" spans="1:9">
      <c r="A550" s="513"/>
      <c r="B550" s="513"/>
      <c r="C550" s="513"/>
      <c r="D550" s="1286"/>
      <c r="E550" s="1286"/>
      <c r="F550" s="1286"/>
    </row>
    <row r="551" spans="1:9">
      <c r="A551" s="513"/>
      <c r="B551" s="513"/>
      <c r="C551" s="513"/>
      <c r="D551" s="472"/>
      <c r="E551" s="472"/>
      <c r="F551" s="472"/>
    </row>
    <row r="552" spans="1:9">
      <c r="A552" s="510"/>
      <c r="B552" s="511" t="s">
        <v>2626</v>
      </c>
      <c r="C552" s="513"/>
      <c r="D552" s="1286" t="s">
        <v>1179</v>
      </c>
      <c r="E552" s="1286"/>
      <c r="F552" s="1286"/>
      <c r="I552" s="427" t="s">
        <v>2223</v>
      </c>
    </row>
    <row r="553" spans="1:9">
      <c r="A553" s="513"/>
      <c r="B553" s="513"/>
      <c r="C553" s="513"/>
      <c r="D553" s="1286"/>
      <c r="E553" s="1286"/>
      <c r="F553" s="1286"/>
    </row>
    <row r="554" spans="1:9">
      <c r="A554" s="513"/>
      <c r="B554" s="513"/>
      <c r="C554" s="513"/>
      <c r="D554" s="1286"/>
      <c r="E554" s="1286"/>
      <c r="F554" s="1286"/>
    </row>
    <row r="555" spans="1:9">
      <c r="A555" s="513"/>
      <c r="B555" s="513"/>
      <c r="C555" s="513"/>
      <c r="D555" s="472"/>
      <c r="E555" s="472"/>
      <c r="F555" s="472"/>
    </row>
    <row r="556" spans="1:9">
      <c r="A556" s="510"/>
      <c r="B556" s="511" t="s">
        <v>2627</v>
      </c>
      <c r="C556" s="513"/>
      <c r="D556" s="1286" t="s">
        <v>1297</v>
      </c>
      <c r="E556" s="1286"/>
      <c r="F556" s="1286"/>
      <c r="I556" s="427" t="s">
        <v>2222</v>
      </c>
    </row>
    <row r="557" spans="1:9">
      <c r="A557" s="513"/>
      <c r="B557" s="513"/>
      <c r="C557" s="513"/>
      <c r="D557" s="1286"/>
      <c r="E557" s="1286"/>
      <c r="F557" s="1286"/>
    </row>
    <row r="558" spans="1:9">
      <c r="A558" s="513"/>
      <c r="B558" s="513"/>
      <c r="C558" s="513"/>
      <c r="D558" s="472"/>
      <c r="E558" s="472"/>
      <c r="F558" s="472"/>
    </row>
    <row r="559" spans="1:9">
      <c r="A559" s="510"/>
      <c r="B559" s="511" t="s">
        <v>2626</v>
      </c>
      <c r="C559" s="513"/>
      <c r="D559" s="1286" t="s">
        <v>1181</v>
      </c>
      <c r="E559" s="1286"/>
      <c r="F559" s="1286"/>
      <c r="I559" s="427" t="s">
        <v>2222</v>
      </c>
    </row>
    <row r="560" spans="1:9">
      <c r="A560" s="513"/>
      <c r="B560" s="513"/>
      <c r="C560" s="513"/>
      <c r="D560" s="1286"/>
      <c r="E560" s="1286"/>
      <c r="F560" s="1286"/>
    </row>
    <row r="561" spans="1:9">
      <c r="A561" s="513"/>
      <c r="B561" s="513"/>
      <c r="C561" s="513"/>
      <c r="D561" s="472"/>
      <c r="E561" s="472"/>
      <c r="F561" s="472"/>
    </row>
    <row r="562" spans="1:9">
      <c r="A562" s="510"/>
      <c r="B562" s="511" t="s">
        <v>2626</v>
      </c>
      <c r="C562" s="513"/>
      <c r="D562" s="1287" t="s">
        <v>1182</v>
      </c>
      <c r="E562" s="1287"/>
      <c r="F562" s="1287"/>
      <c r="I562" s="427" t="s">
        <v>2225</v>
      </c>
    </row>
    <row r="563" spans="1:9">
      <c r="A563" s="516"/>
      <c r="B563" s="516"/>
      <c r="C563" s="513"/>
      <c r="D563" s="1287" t="s">
        <v>2289</v>
      </c>
      <c r="E563" s="1287"/>
      <c r="F563" s="1287"/>
    </row>
    <row r="564" spans="1:9">
      <c r="A564" s="516"/>
      <c r="B564" s="516"/>
      <c r="C564" s="513"/>
      <c r="E564" s="96" t="s">
        <v>2288</v>
      </c>
      <c r="F564" s="427"/>
    </row>
    <row r="565" spans="1:9">
      <c r="A565" s="510"/>
      <c r="B565" s="510"/>
      <c r="C565" s="513"/>
      <c r="E565" s="472"/>
      <c r="F565" s="472"/>
    </row>
    <row r="566" spans="1:9">
      <c r="A566" s="510"/>
      <c r="B566" s="511" t="s">
        <v>2626</v>
      </c>
      <c r="C566" s="513"/>
      <c r="D566" s="1287" t="s">
        <v>1184</v>
      </c>
      <c r="E566" s="1287"/>
      <c r="F566" s="1287"/>
      <c r="I566" s="427" t="s">
        <v>2175</v>
      </c>
    </row>
    <row r="567" spans="1:9">
      <c r="C567" s="513"/>
      <c r="D567" s="1286" t="s">
        <v>1185</v>
      </c>
      <c r="E567" s="1286"/>
      <c r="F567" s="1286"/>
    </row>
    <row r="568" spans="1:9">
      <c r="A568" s="513"/>
      <c r="B568" s="513"/>
      <c r="C568" s="513"/>
      <c r="D568" s="1286"/>
      <c r="E568" s="1286"/>
      <c r="F568" s="1286"/>
    </row>
    <row r="569" spans="1:9">
      <c r="A569" s="513"/>
      <c r="B569" s="513"/>
      <c r="C569" s="513"/>
      <c r="D569" s="1286"/>
      <c r="E569" s="1286"/>
      <c r="F569" s="1286"/>
    </row>
    <row r="570" spans="1:9">
      <c r="A570" s="513"/>
      <c r="B570" s="513"/>
      <c r="C570" s="513"/>
      <c r="D570" s="472"/>
      <c r="E570" s="472"/>
      <c r="F570" s="472"/>
    </row>
    <row r="571" spans="1:9">
      <c r="A571" s="510"/>
      <c r="B571" s="511" t="s">
        <v>2626</v>
      </c>
      <c r="C571" s="513"/>
      <c r="D571" s="1286" t="s">
        <v>2463</v>
      </c>
      <c r="E571" s="1286"/>
      <c r="F571" s="1286"/>
      <c r="I571" s="427" t="s">
        <v>2176</v>
      </c>
    </row>
    <row r="572" spans="1:9">
      <c r="A572" s="510"/>
      <c r="B572" s="510"/>
      <c r="C572" s="513"/>
      <c r="D572" s="1286"/>
      <c r="E572" s="1286"/>
      <c r="F572" s="1286"/>
    </row>
    <row r="573" spans="1:9">
      <c r="A573" s="510"/>
      <c r="B573" s="510"/>
      <c r="C573" s="513"/>
      <c r="D573" s="1286"/>
      <c r="E573" s="1286"/>
      <c r="F573" s="1286"/>
    </row>
    <row r="574" spans="1:9">
      <c r="A574" s="510"/>
      <c r="B574" s="510"/>
      <c r="C574" s="513"/>
      <c r="D574" s="1286"/>
      <c r="E574" s="1286"/>
      <c r="F574" s="1286"/>
    </row>
    <row r="575" spans="1:9">
      <c r="A575" s="510"/>
      <c r="B575" s="510"/>
      <c r="C575" s="513"/>
      <c r="D575" s="472"/>
      <c r="E575" s="472"/>
      <c r="F575" s="472"/>
    </row>
    <row r="576" spans="1:9">
      <c r="A576" s="1274" t="s">
        <v>1119</v>
      </c>
      <c r="B576" s="1274"/>
      <c r="C576" s="1274"/>
      <c r="D576" s="1274"/>
      <c r="E576" s="1274"/>
      <c r="F576" s="1274"/>
      <c r="G576" s="1274"/>
      <c r="H576" s="1053"/>
      <c r="I576" s="1054"/>
    </row>
    <row r="577" spans="1:9">
      <c r="A577" s="513"/>
      <c r="B577" s="513"/>
      <c r="C577" s="513"/>
      <c r="E577" s="472"/>
      <c r="F577" s="472"/>
    </row>
    <row r="578" spans="1:9" ht="12.75" customHeight="1">
      <c r="C578" s="508"/>
      <c r="D578" s="1288" t="s">
        <v>212</v>
      </c>
      <c r="E578" s="1288"/>
      <c r="F578" s="1288"/>
    </row>
    <row r="579" spans="1:9">
      <c r="A579" s="509"/>
      <c r="B579" s="509"/>
      <c r="C579" s="509"/>
      <c r="D579" s="1273" t="s">
        <v>1135</v>
      </c>
      <c r="E579" s="1273"/>
      <c r="F579" s="1273"/>
    </row>
    <row r="580" spans="1:9">
      <c r="A580" s="425"/>
      <c r="B580" s="425"/>
      <c r="C580" s="509"/>
      <c r="D580" s="525"/>
      <c r="I580" s="427" t="s">
        <v>2177</v>
      </c>
    </row>
    <row r="581" spans="1:9">
      <c r="A581" s="509"/>
      <c r="B581" s="511" t="s">
        <v>2626</v>
      </c>
      <c r="D581" s="1273" t="s">
        <v>920</v>
      </c>
      <c r="E581" s="1273"/>
      <c r="F581" s="1273"/>
    </row>
    <row r="582" spans="1:9">
      <c r="A582" s="516"/>
      <c r="B582" s="516"/>
      <c r="D582" s="502"/>
    </row>
    <row r="583" spans="1:9">
      <c r="A583" s="516"/>
      <c r="B583" s="511" t="s">
        <v>2626</v>
      </c>
      <c r="D583" s="1273" t="s">
        <v>2464</v>
      </c>
      <c r="E583" s="1273"/>
      <c r="F583" s="1273"/>
      <c r="I583" s="427" t="s">
        <v>2179</v>
      </c>
    </row>
    <row r="584" spans="1:9">
      <c r="A584" s="516"/>
      <c r="B584" s="516"/>
      <c r="D584" s="1273"/>
      <c r="E584" s="1273"/>
      <c r="F584" s="1273"/>
      <c r="I584" s="427" t="s">
        <v>2178</v>
      </c>
    </row>
    <row r="585" spans="1:9">
      <c r="A585" s="516"/>
      <c r="B585" s="516"/>
      <c r="D585" s="1273"/>
      <c r="E585" s="1273"/>
      <c r="F585" s="1273"/>
    </row>
    <row r="586" spans="1:9">
      <c r="A586" s="516"/>
      <c r="B586" s="516"/>
      <c r="D586" s="1273"/>
      <c r="E586" s="1273"/>
      <c r="F586" s="1273"/>
    </row>
    <row r="587" spans="1:9">
      <c r="A587" s="516"/>
      <c r="B587" s="511" t="s">
        <v>2627</v>
      </c>
      <c r="D587" s="1273" t="s">
        <v>1137</v>
      </c>
      <c r="E587" s="1273"/>
      <c r="F587" s="1273"/>
    </row>
    <row r="588" spans="1:9">
      <c r="A588" s="516"/>
      <c r="B588" s="516"/>
      <c r="D588" s="1273"/>
      <c r="E588" s="1273"/>
      <c r="F588" s="1273"/>
    </row>
    <row r="589" spans="1:9">
      <c r="A589" s="516"/>
      <c r="B589" s="516"/>
      <c r="D589" s="1273"/>
      <c r="E589" s="1273"/>
      <c r="F589" s="1273"/>
    </row>
    <row r="590" spans="1:9">
      <c r="A590" s="516"/>
      <c r="B590" s="516"/>
      <c r="D590" s="1273"/>
      <c r="E590" s="1273"/>
      <c r="F590" s="1273"/>
    </row>
    <row r="591" spans="1:9">
      <c r="A591" s="516"/>
      <c r="B591" s="516"/>
      <c r="D591" s="465"/>
      <c r="E591" s="465"/>
      <c r="F591" s="465"/>
    </row>
    <row r="592" spans="1:9">
      <c r="A592" s="516"/>
      <c r="B592" s="511" t="s">
        <v>2626</v>
      </c>
      <c r="D592" s="1273" t="s">
        <v>2465</v>
      </c>
      <c r="E592" s="1273"/>
      <c r="F592" s="1273"/>
    </row>
    <row r="593" spans="1:9">
      <c r="A593" s="516"/>
      <c r="B593" s="516"/>
      <c r="D593" s="1273"/>
      <c r="E593" s="1273"/>
      <c r="F593" s="1273"/>
    </row>
    <row r="594" spans="1:9">
      <c r="A594" s="516"/>
      <c r="B594" s="516"/>
      <c r="D594" s="525"/>
    </row>
    <row r="595" spans="1:9">
      <c r="A595" s="516"/>
      <c r="B595" s="511" t="s">
        <v>2627</v>
      </c>
      <c r="D595" s="1273" t="s">
        <v>1139</v>
      </c>
      <c r="E595" s="1273"/>
      <c r="F595" s="1273"/>
      <c r="I595" s="427" t="s">
        <v>2226</v>
      </c>
    </row>
    <row r="596" spans="1:9">
      <c r="A596" s="516"/>
      <c r="B596" s="516"/>
      <c r="D596" s="1273"/>
      <c r="E596" s="1273"/>
      <c r="F596" s="1273"/>
    </row>
    <row r="597" spans="1:9">
      <c r="A597" s="510"/>
      <c r="B597" s="510"/>
      <c r="D597" s="525"/>
    </row>
    <row r="598" spans="1:9">
      <c r="A598" s="1274" t="s">
        <v>1120</v>
      </c>
      <c r="B598" s="1274"/>
      <c r="C598" s="1274"/>
      <c r="D598" s="1274"/>
      <c r="E598" s="1274"/>
      <c r="F598" s="1274"/>
      <c r="G598" s="1274"/>
      <c r="H598" s="1053"/>
      <c r="I598" s="1054"/>
    </row>
    <row r="599" spans="1:9"/>
    <row r="600" spans="1:9">
      <c r="D600" s="1285" t="s">
        <v>1220</v>
      </c>
      <c r="E600" s="1285"/>
      <c r="F600" s="1285"/>
    </row>
    <row r="601" spans="1:9">
      <c r="D601" s="1308" t="s">
        <v>1221</v>
      </c>
      <c r="E601" s="1308"/>
      <c r="F601" s="1308"/>
    </row>
    <row r="602" spans="1:9">
      <c r="D602" s="470"/>
    </row>
    <row r="603" spans="1:9" ht="14.25" customHeight="1">
      <c r="A603" s="510"/>
      <c r="B603" s="511" t="s">
        <v>2626</v>
      </c>
      <c r="D603" s="1328" t="s">
        <v>2290</v>
      </c>
      <c r="E603" s="1328"/>
      <c r="F603" s="1328"/>
      <c r="I603" s="427" t="s">
        <v>2207</v>
      </c>
    </row>
    <row r="604" spans="1:9">
      <c r="D604" s="1328"/>
      <c r="E604" s="1328"/>
      <c r="F604" s="1328"/>
    </row>
    <row r="605" spans="1:9">
      <c r="D605" s="408"/>
      <c r="E605" s="1062" t="s">
        <v>2291</v>
      </c>
      <c r="F605" s="408"/>
    </row>
    <row r="606" spans="1:9"/>
    <row r="607" spans="1:9">
      <c r="A607" s="1274" t="s">
        <v>1121</v>
      </c>
      <c r="B607" s="1274"/>
      <c r="C607" s="1274"/>
      <c r="D607" s="1274"/>
      <c r="E607" s="1274"/>
      <c r="F607" s="1274"/>
      <c r="G607" s="1274"/>
      <c r="H607" s="1053"/>
      <c r="I607" s="1054"/>
    </row>
    <row r="608" spans="1:9">
      <c r="A608" s="472"/>
      <c r="B608" s="472"/>
    </row>
    <row r="609" spans="1:9">
      <c r="A609" s="508"/>
      <c r="B609" s="508"/>
      <c r="C609" s="508"/>
      <c r="D609" s="1309" t="s">
        <v>1223</v>
      </c>
      <c r="E609" s="1309"/>
      <c r="F609" s="1309"/>
    </row>
    <row r="610" spans="1:9">
      <c r="A610" s="508"/>
      <c r="B610" s="508"/>
      <c r="C610" s="508"/>
      <c r="D610" s="1309"/>
      <c r="E610" s="1309"/>
      <c r="F610" s="1309"/>
    </row>
    <row r="611" spans="1:9">
      <c r="C611" s="509"/>
      <c r="D611" s="1308" t="s">
        <v>1224</v>
      </c>
      <c r="E611" s="1308"/>
      <c r="F611" s="1308"/>
    </row>
    <row r="612" spans="1:9">
      <c r="C612" s="509"/>
      <c r="D612" s="470"/>
      <c r="E612" s="470"/>
      <c r="F612" s="470"/>
    </row>
    <row r="613" spans="1:9" ht="12.75" customHeight="1">
      <c r="A613" s="516"/>
      <c r="B613" s="511" t="s">
        <v>2626</v>
      </c>
      <c r="D613" s="1284" t="s">
        <v>1225</v>
      </c>
      <c r="E613" s="1284"/>
      <c r="F613" s="1284"/>
      <c r="I613" s="427" t="s">
        <v>2227</v>
      </c>
    </row>
    <row r="614" spans="1:9">
      <c r="D614" s="1284"/>
      <c r="E614" s="1284"/>
      <c r="F614" s="1284"/>
    </row>
    <row r="615" spans="1:9"/>
    <row r="616" spans="1:9">
      <c r="B616" s="511" t="s">
        <v>2626</v>
      </c>
      <c r="D616" s="1284" t="s">
        <v>1226</v>
      </c>
      <c r="E616" s="1284"/>
      <c r="F616" s="1284"/>
      <c r="I616" s="427" t="s">
        <v>2180</v>
      </c>
    </row>
    <row r="617" spans="1:9">
      <c r="C617" s="526"/>
      <c r="D617" s="1284"/>
      <c r="E617" s="1284"/>
      <c r="F617" s="1284"/>
    </row>
    <row r="618" spans="1:9">
      <c r="C618" s="526"/>
    </row>
    <row r="619" spans="1:9">
      <c r="B619" s="511" t="s">
        <v>2627</v>
      </c>
      <c r="C619" s="526"/>
      <c r="D619" s="1284" t="s">
        <v>1227</v>
      </c>
      <c r="E619" s="1284"/>
      <c r="F619" s="1284"/>
      <c r="I619" s="427" t="s">
        <v>2228</v>
      </c>
    </row>
    <row r="620" spans="1:9">
      <c r="C620" s="526"/>
      <c r="D620" s="1284"/>
      <c r="E620" s="1284"/>
      <c r="F620" s="1284"/>
      <c r="I620" s="1050" t="s">
        <v>2229</v>
      </c>
    </row>
    <row r="621" spans="1:9">
      <c r="C621" s="526"/>
    </row>
    <row r="622" spans="1:9">
      <c r="A622" s="1274" t="s">
        <v>1122</v>
      </c>
      <c r="B622" s="1274"/>
      <c r="C622" s="1274"/>
      <c r="D622" s="1274"/>
      <c r="E622" s="1274"/>
      <c r="F622" s="1274"/>
      <c r="G622" s="1274"/>
      <c r="H622" s="1053"/>
      <c r="I622" s="1054"/>
    </row>
    <row r="623" spans="1:9">
      <c r="A623" s="508"/>
      <c r="B623" s="508"/>
      <c r="C623" s="508"/>
    </row>
    <row r="624" spans="1:9">
      <c r="C624" s="516"/>
      <c r="D624" s="1285" t="s">
        <v>1228</v>
      </c>
      <c r="E624" s="1285"/>
      <c r="F624" s="1285"/>
    </row>
    <row r="625" spans="1:9">
      <c r="A625" s="516"/>
      <c r="B625" s="516"/>
      <c r="D625" s="427"/>
    </row>
    <row r="626" spans="1:9" ht="14.25" customHeight="1">
      <c r="A626" s="510"/>
      <c r="B626" s="511" t="s">
        <v>2626</v>
      </c>
      <c r="D626" s="1328" t="s">
        <v>2466</v>
      </c>
      <c r="E626" s="1328"/>
      <c r="F626" s="1328"/>
      <c r="I626" s="427" t="s">
        <v>2208</v>
      </c>
    </row>
    <row r="627" spans="1:9">
      <c r="D627" s="1328"/>
      <c r="E627" s="1328"/>
      <c r="F627" s="1328"/>
    </row>
    <row r="628" spans="1:9">
      <c r="D628" s="408"/>
      <c r="E628" s="1062" t="s">
        <v>2293</v>
      </c>
      <c r="F628" s="408"/>
    </row>
    <row r="629" spans="1:9">
      <c r="D629" s="1286" t="s">
        <v>2292</v>
      </c>
      <c r="E629" s="1286"/>
      <c r="F629" s="1286"/>
    </row>
    <row r="630" spans="1:9">
      <c r="D630" s="1286"/>
      <c r="E630" s="1286"/>
      <c r="F630" s="1286"/>
    </row>
    <row r="631" spans="1:9">
      <c r="D631" s="1286"/>
      <c r="E631" s="1286"/>
      <c r="F631" s="1286"/>
    </row>
    <row r="632" spans="1:9">
      <c r="D632" s="471"/>
      <c r="E632" s="471"/>
      <c r="F632" s="471"/>
    </row>
    <row r="633" spans="1:9">
      <c r="A633" s="510"/>
      <c r="B633" s="511" t="s">
        <v>2627</v>
      </c>
      <c r="D633" s="1286" t="s">
        <v>1230</v>
      </c>
      <c r="E633" s="1286"/>
      <c r="F633" s="1286"/>
      <c r="I633" s="427" t="s">
        <v>2230</v>
      </c>
    </row>
    <row r="634" spans="1:9">
      <c r="A634" s="513"/>
      <c r="B634" s="513"/>
      <c r="C634" s="513"/>
      <c r="D634" s="1286"/>
      <c r="E634" s="1286"/>
      <c r="F634" s="1286"/>
    </row>
    <row r="635" spans="1:9">
      <c r="A635" s="513"/>
      <c r="B635" s="513"/>
      <c r="C635" s="513"/>
      <c r="D635" s="472"/>
      <c r="E635" s="472"/>
      <c r="F635" s="472"/>
    </row>
    <row r="636" spans="1:9">
      <c r="A636" s="510"/>
      <c r="B636" s="511" t="s">
        <v>2627</v>
      </c>
      <c r="C636" s="513"/>
      <c r="D636" s="1286" t="s">
        <v>1372</v>
      </c>
      <c r="E636" s="1286"/>
      <c r="F636" s="1286"/>
      <c r="I636" s="427" t="s">
        <v>2181</v>
      </c>
    </row>
    <row r="637" spans="1:9">
      <c r="A637" s="510"/>
      <c r="B637" s="510"/>
      <c r="C637" s="513"/>
      <c r="D637" s="1286"/>
      <c r="E637" s="1286"/>
      <c r="F637" s="1286"/>
    </row>
    <row r="638" spans="1:9">
      <c r="A638" s="510"/>
      <c r="B638" s="510"/>
      <c r="C638" s="513"/>
      <c r="D638" s="1286"/>
      <c r="E638" s="1286"/>
      <c r="F638" s="1286"/>
    </row>
    <row r="639" spans="1:9">
      <c r="A639" s="513"/>
      <c r="B639" s="511" t="s">
        <v>2627</v>
      </c>
      <c r="C639" s="513"/>
      <c r="D639" s="1287" t="s">
        <v>1232</v>
      </c>
      <c r="E639" s="1287"/>
      <c r="F639" s="1287"/>
      <c r="I639" s="427" t="s">
        <v>2181</v>
      </c>
    </row>
    <row r="640" spans="1:9">
      <c r="A640" s="513"/>
      <c r="B640" s="513"/>
      <c r="C640" s="513"/>
      <c r="D640" s="472"/>
      <c r="E640" s="472"/>
      <c r="F640" s="472"/>
    </row>
    <row r="641" spans="1:9">
      <c r="A641" s="1274" t="s">
        <v>1123</v>
      </c>
      <c r="B641" s="1274"/>
      <c r="C641" s="1274"/>
      <c r="D641" s="1274"/>
      <c r="E641" s="1274"/>
      <c r="F641" s="1274"/>
      <c r="G641" s="1274"/>
      <c r="H641" s="1053"/>
      <c r="I641" s="1054"/>
    </row>
    <row r="642" spans="1:9">
      <c r="A642" s="472"/>
      <c r="B642" s="472"/>
      <c r="C642" s="513"/>
      <c r="D642" s="472"/>
      <c r="E642" s="472"/>
      <c r="F642" s="472"/>
    </row>
    <row r="643" spans="1:9">
      <c r="C643" s="508"/>
      <c r="D643" s="1285" t="s">
        <v>1282</v>
      </c>
      <c r="E643" s="1285"/>
      <c r="F643" s="1285"/>
    </row>
    <row r="644" spans="1:9">
      <c r="A644" s="509"/>
      <c r="B644" s="509"/>
      <c r="C644" s="509"/>
      <c r="D644" s="1287" t="s">
        <v>1283</v>
      </c>
      <c r="E644" s="1287"/>
      <c r="F644" s="1287"/>
    </row>
    <row r="645" spans="1:9">
      <c r="A645" s="509"/>
      <c r="B645" s="509"/>
      <c r="C645" s="509"/>
      <c r="D645" s="472"/>
      <c r="E645" s="472"/>
      <c r="F645" s="472"/>
    </row>
    <row r="646" spans="1:9" ht="12.75" customHeight="1">
      <c r="B646" s="511" t="s">
        <v>2626</v>
      </c>
      <c r="C646" s="513"/>
      <c r="D646" s="1286" t="s">
        <v>1446</v>
      </c>
      <c r="E646" s="1286"/>
      <c r="F646" s="1286"/>
      <c r="I646" s="427" t="s">
        <v>2233</v>
      </c>
    </row>
    <row r="647" spans="1:9">
      <c r="D647" s="1286"/>
      <c r="E647" s="1286"/>
      <c r="F647" s="1286"/>
    </row>
    <row r="648" spans="1:9">
      <c r="D648" s="1286"/>
      <c r="E648" s="1286"/>
      <c r="F648" s="1286"/>
    </row>
    <row r="649" spans="1:9">
      <c r="D649" s="1286"/>
      <c r="E649" s="1286"/>
      <c r="F649" s="1286"/>
    </row>
    <row r="650" spans="1:9" ht="14.75" customHeight="1">
      <c r="A650" s="510"/>
      <c r="B650" s="510"/>
      <c r="C650" s="513"/>
      <c r="D650" s="408"/>
      <c r="E650" s="408"/>
      <c r="F650" s="408"/>
    </row>
    <row r="651" spans="1:9" ht="12.75" customHeight="1">
      <c r="A651" s="509"/>
      <c r="B651" s="511" t="s">
        <v>2626</v>
      </c>
      <c r="C651" s="513"/>
      <c r="D651" s="1286" t="s">
        <v>1448</v>
      </c>
      <c r="E651" s="1286"/>
      <c r="F651" s="1286"/>
      <c r="I651" s="427" t="s">
        <v>2233</v>
      </c>
    </row>
    <row r="652" spans="1:9">
      <c r="A652" s="509"/>
      <c r="B652" s="510"/>
      <c r="C652" s="513"/>
      <c r="D652" s="1286"/>
      <c r="E652" s="1286"/>
      <c r="F652" s="1286"/>
    </row>
    <row r="653" spans="1:9">
      <c r="A653" s="509"/>
      <c r="B653" s="510"/>
      <c r="C653" s="513"/>
      <c r="D653" s="1286"/>
      <c r="E653" s="1286"/>
      <c r="F653" s="1286"/>
    </row>
    <row r="654" spans="1:9">
      <c r="A654" s="509"/>
      <c r="B654" s="510"/>
      <c r="C654" s="513"/>
      <c r="D654" s="1286"/>
      <c r="E654" s="1286"/>
      <c r="F654" s="1286"/>
    </row>
    <row r="655" spans="1:9">
      <c r="A655" s="509"/>
      <c r="B655" s="510"/>
      <c r="C655" s="513"/>
      <c r="D655" s="1286"/>
      <c r="E655" s="1286"/>
      <c r="F655" s="1286"/>
    </row>
    <row r="656" spans="1:9" ht="14.25" customHeight="1">
      <c r="A656" s="509"/>
      <c r="B656" s="510"/>
      <c r="C656" s="513"/>
      <c r="F656" s="409"/>
    </row>
    <row r="657" spans="1:11" ht="12.75" customHeight="1">
      <c r="A657" s="509"/>
      <c r="B657" s="511" t="s">
        <v>2626</v>
      </c>
      <c r="C657" s="513"/>
      <c r="D657" s="1286" t="s">
        <v>1447</v>
      </c>
      <c r="E657" s="1286"/>
      <c r="F657" s="1286"/>
      <c r="I657" s="427" t="s">
        <v>2233</v>
      </c>
    </row>
    <row r="658" spans="1:11">
      <c r="A658" s="509"/>
      <c r="B658" s="510"/>
      <c r="C658" s="513"/>
      <c r="D658" s="1286"/>
      <c r="E658" s="1286"/>
      <c r="F658" s="1286"/>
    </row>
    <row r="659" spans="1:11">
      <c r="A659" s="510"/>
      <c r="B659" s="510"/>
      <c r="C659" s="513"/>
      <c r="D659" s="1286"/>
      <c r="E659" s="1286"/>
      <c r="F659" s="1286"/>
    </row>
    <row r="660" spans="1:11">
      <c r="A660" s="510"/>
      <c r="B660" s="510"/>
      <c r="C660" s="513"/>
      <c r="D660" s="1286"/>
      <c r="E660" s="1286"/>
      <c r="F660" s="1286"/>
    </row>
    <row r="661" spans="1:11">
      <c r="A661" s="510"/>
      <c r="B661" s="510"/>
      <c r="C661" s="513"/>
      <c r="D661" s="471"/>
      <c r="E661" s="471"/>
      <c r="F661" s="471"/>
    </row>
    <row r="662" spans="1:11" ht="12.75" customHeight="1">
      <c r="A662" s="509"/>
      <c r="B662" s="511" t="s">
        <v>2627</v>
      </c>
      <c r="C662" s="513"/>
      <c r="D662" s="1286" t="s">
        <v>2467</v>
      </c>
      <c r="E662" s="1286"/>
      <c r="F662" s="1286"/>
      <c r="I662" s="427" t="s">
        <v>2233</v>
      </c>
    </row>
    <row r="663" spans="1:11" ht="12.75" customHeight="1">
      <c r="A663" s="509"/>
      <c r="B663" s="510"/>
      <c r="C663" s="513"/>
      <c r="D663" s="1286"/>
      <c r="E663" s="1286"/>
      <c r="F663" s="1286"/>
    </row>
    <row r="664" spans="1:11" ht="12.75" customHeight="1">
      <c r="A664" s="509"/>
      <c r="B664" s="510"/>
      <c r="C664" s="513"/>
      <c r="D664" s="1286"/>
      <c r="E664" s="1286"/>
      <c r="F664" s="1286"/>
    </row>
    <row r="665" spans="1:11" ht="12.75" customHeight="1">
      <c r="A665" s="509"/>
      <c r="B665" s="510"/>
      <c r="C665" s="513"/>
      <c r="D665" s="1286"/>
      <c r="E665" s="1286"/>
      <c r="F665" s="1286"/>
    </row>
    <row r="666" spans="1:11" ht="12.75" customHeight="1">
      <c r="A666" s="509"/>
      <c r="B666" s="510"/>
      <c r="C666" s="513"/>
      <c r="D666" s="1286"/>
      <c r="E666" s="1286"/>
      <c r="F666" s="1286"/>
    </row>
    <row r="667" spans="1:11" ht="12.75" customHeight="1">
      <c r="A667" s="509"/>
      <c r="B667" s="510"/>
      <c r="C667" s="513"/>
      <c r="D667" s="1286"/>
      <c r="E667" s="1286"/>
      <c r="F667" s="1286"/>
    </row>
    <row r="668" spans="1:11" ht="12.75" customHeight="1">
      <c r="A668" s="509"/>
      <c r="B668" s="510"/>
      <c r="C668" s="513"/>
      <c r="D668" s="1286"/>
      <c r="E668" s="1286"/>
      <c r="F668" s="1286"/>
    </row>
    <row r="669" spans="1:11" ht="12.75" customHeight="1">
      <c r="A669" s="509"/>
      <c r="B669" s="510"/>
      <c r="C669" s="513"/>
      <c r="D669" s="1286"/>
      <c r="E669" s="1286"/>
      <c r="F669" s="1286"/>
    </row>
    <row r="670" spans="1:11" ht="12.75" customHeight="1">
      <c r="A670" s="509"/>
      <c r="B670" s="510"/>
      <c r="C670" s="513"/>
      <c r="D670" s="1286"/>
      <c r="E670" s="1286"/>
      <c r="F670" s="1286"/>
    </row>
    <row r="671" spans="1:11">
      <c r="A671" s="513"/>
      <c r="B671" s="513"/>
      <c r="C671" s="513"/>
      <c r="D671" s="472"/>
      <c r="E671" s="472"/>
      <c r="F671" s="472"/>
    </row>
    <row r="672" spans="1:11">
      <c r="A672" s="1274" t="s">
        <v>1124</v>
      </c>
      <c r="B672" s="1274"/>
      <c r="C672" s="1274"/>
      <c r="D672" s="1274"/>
      <c r="E672" s="1274"/>
      <c r="F672" s="1274"/>
      <c r="G672" s="1274"/>
      <c r="H672" s="1055"/>
      <c r="I672" s="1056"/>
      <c r="J672" s="527"/>
      <c r="K672" s="527"/>
    </row>
    <row r="673" spans="1:11">
      <c r="A673" s="474"/>
      <c r="B673" s="474"/>
      <c r="C673" s="474"/>
      <c r="D673" s="474"/>
      <c r="E673" s="474"/>
      <c r="F673" s="474"/>
      <c r="G673" s="474"/>
      <c r="H673" s="527"/>
      <c r="I673" s="1047"/>
      <c r="J673" s="527"/>
      <c r="K673" s="527"/>
    </row>
    <row r="674" spans="1:11">
      <c r="C674" s="508"/>
      <c r="D674" s="1285" t="s">
        <v>100</v>
      </c>
      <c r="E674" s="1285"/>
      <c r="F674" s="1285"/>
      <c r="H674" s="527"/>
      <c r="I674" s="1047"/>
      <c r="J674" s="527"/>
      <c r="K674" s="527"/>
    </row>
    <row r="675" spans="1:11">
      <c r="A675" s="508"/>
      <c r="B675" s="508"/>
      <c r="C675" s="508"/>
      <c r="D675" s="1285" t="s">
        <v>124</v>
      </c>
      <c r="E675" s="1285"/>
      <c r="F675" s="1285"/>
      <c r="H675" s="527"/>
      <c r="I675" s="1047"/>
      <c r="J675" s="527"/>
      <c r="K675" s="527"/>
    </row>
    <row r="676" spans="1:11">
      <c r="A676" s="509"/>
      <c r="B676" s="509"/>
      <c r="C676" s="509"/>
      <c r="D676" s="1287" t="s">
        <v>1160</v>
      </c>
      <c r="E676" s="1287"/>
      <c r="F676" s="1287"/>
      <c r="H676" s="527"/>
      <c r="I676" s="1047"/>
      <c r="J676" s="527"/>
      <c r="K676" s="527"/>
    </row>
    <row r="677" spans="1:11">
      <c r="A677" s="509"/>
      <c r="B677" s="509"/>
      <c r="C677" s="509"/>
      <c r="H677" s="527"/>
      <c r="I677" s="1047"/>
      <c r="J677" s="527"/>
      <c r="K677" s="527"/>
    </row>
    <row r="678" spans="1:11">
      <c r="A678" s="510"/>
      <c r="B678" s="511" t="s">
        <v>2626</v>
      </c>
      <c r="C678" s="509"/>
      <c r="D678" s="1287" t="s">
        <v>916</v>
      </c>
      <c r="E678" s="1287"/>
      <c r="F678" s="1287"/>
      <c r="H678" s="527"/>
      <c r="I678" s="1047" t="s">
        <v>2209</v>
      </c>
      <c r="J678" s="527"/>
      <c r="K678" s="527"/>
    </row>
    <row r="679" spans="1:11">
      <c r="A679" s="509"/>
      <c r="B679" s="509"/>
      <c r="C679" s="509"/>
      <c r="D679" s="1287" t="s">
        <v>927</v>
      </c>
      <c r="E679" s="1287"/>
      <c r="F679" s="1287"/>
      <c r="H679" s="527"/>
      <c r="I679" s="1047"/>
      <c r="J679" s="527"/>
      <c r="K679" s="527"/>
    </row>
    <row r="680" spans="1:11" ht="12.75" customHeight="1">
      <c r="A680" s="509"/>
      <c r="B680" s="509"/>
      <c r="C680" s="509"/>
      <c r="E680" s="1062" t="s">
        <v>2295</v>
      </c>
      <c r="F680" s="443"/>
      <c r="H680" s="527"/>
      <c r="I680" s="1047"/>
      <c r="J680" s="527"/>
      <c r="K680" s="527"/>
    </row>
    <row r="681" spans="1:11">
      <c r="A681" s="509"/>
      <c r="B681" s="509"/>
      <c r="C681" s="509"/>
      <c r="E681" s="527" t="s">
        <v>2294</v>
      </c>
      <c r="F681" s="443"/>
      <c r="I681" s="1047"/>
      <c r="J681" s="527"/>
      <c r="K681" s="527"/>
    </row>
    <row r="682" spans="1:11">
      <c r="A682" s="509"/>
      <c r="B682" s="509"/>
      <c r="C682" s="509"/>
      <c r="D682" s="528"/>
      <c r="E682" s="472"/>
      <c r="H682" s="527"/>
      <c r="I682" s="1047"/>
      <c r="J682" s="527"/>
      <c r="K682" s="527"/>
    </row>
    <row r="683" spans="1:11">
      <c r="A683" s="510"/>
      <c r="B683" s="511" t="s">
        <v>2627</v>
      </c>
      <c r="C683" s="509"/>
      <c r="D683" s="1286" t="s">
        <v>2468</v>
      </c>
      <c r="E683" s="1286"/>
      <c r="F683" s="1286"/>
      <c r="H683" s="527"/>
      <c r="I683" s="1047" t="s">
        <v>2231</v>
      </c>
      <c r="J683" s="527"/>
      <c r="K683" s="527"/>
    </row>
    <row r="684" spans="1:11">
      <c r="A684" s="516"/>
      <c r="B684" s="516"/>
      <c r="C684" s="509"/>
      <c r="D684" s="1286"/>
      <c r="E684" s="1286"/>
      <c r="F684" s="1286"/>
      <c r="H684" s="527"/>
      <c r="I684" s="1047"/>
      <c r="J684" s="527"/>
      <c r="K684" s="527"/>
    </row>
    <row r="685" spans="1:11">
      <c r="A685" s="509"/>
      <c r="B685" s="509"/>
      <c r="C685" s="509"/>
      <c r="D685" s="1286"/>
      <c r="E685" s="1286"/>
      <c r="F685" s="1286"/>
      <c r="H685" s="527"/>
      <c r="I685" s="1047"/>
      <c r="J685" s="527"/>
      <c r="K685" s="527"/>
    </row>
    <row r="686" spans="1:11">
      <c r="A686" s="509"/>
      <c r="B686" s="509"/>
      <c r="C686" s="509"/>
      <c r="H686" s="527"/>
      <c r="I686" s="1047" t="s">
        <v>2210</v>
      </c>
      <c r="J686" s="527"/>
      <c r="K686" s="527"/>
    </row>
    <row r="687" spans="1:11">
      <c r="A687" s="510"/>
      <c r="B687" s="511" t="s">
        <v>2626</v>
      </c>
      <c r="C687" s="509"/>
      <c r="D687" s="1287" t="s">
        <v>955</v>
      </c>
      <c r="E687" s="1287"/>
      <c r="F687" s="1287"/>
      <c r="H687" s="527"/>
      <c r="I687" s="1047"/>
      <c r="J687" s="527"/>
      <c r="K687" s="527"/>
    </row>
    <row r="688" spans="1:11">
      <c r="A688" s="510"/>
      <c r="B688" s="510"/>
      <c r="C688" s="509"/>
      <c r="D688" s="1287" t="s">
        <v>927</v>
      </c>
      <c r="E688" s="1287"/>
      <c r="F688" s="1287"/>
      <c r="H688" s="527"/>
      <c r="I688" s="1047"/>
      <c r="J688" s="527"/>
      <c r="K688" s="527"/>
    </row>
    <row r="689" spans="1:11">
      <c r="A689" s="509"/>
      <c r="B689" s="509"/>
      <c r="C689" s="509"/>
      <c r="E689" s="1062" t="s">
        <v>2296</v>
      </c>
      <c r="F689" s="427"/>
      <c r="H689" s="527"/>
      <c r="I689" s="1047"/>
      <c r="J689" s="527"/>
      <c r="K689" s="527"/>
    </row>
    <row r="690" spans="1:11">
      <c r="A690" s="509"/>
      <c r="B690" s="509"/>
      <c r="C690" s="509"/>
      <c r="D690" s="427"/>
      <c r="H690" s="527"/>
      <c r="I690" s="1047"/>
      <c r="J690" s="527"/>
      <c r="K690" s="527"/>
    </row>
    <row r="691" spans="1:11">
      <c r="A691" s="510"/>
      <c r="B691" s="511" t="s">
        <v>2626</v>
      </c>
      <c r="C691" s="509"/>
      <c r="D691" s="1286" t="s">
        <v>1173</v>
      </c>
      <c r="E691" s="1286"/>
      <c r="F691" s="1286"/>
      <c r="H691" s="527"/>
      <c r="I691" s="1047" t="s">
        <v>2182</v>
      </c>
      <c r="J691" s="527"/>
      <c r="K691" s="527"/>
    </row>
    <row r="692" spans="1:11">
      <c r="A692" s="509"/>
      <c r="B692" s="509"/>
      <c r="C692" s="509"/>
      <c r="D692" s="1286"/>
      <c r="E692" s="1286"/>
      <c r="F692" s="1286"/>
      <c r="H692" s="527"/>
      <c r="I692" s="1047"/>
      <c r="J692" s="527"/>
      <c r="K692" s="527"/>
    </row>
    <row r="693" spans="1:11">
      <c r="A693" s="509"/>
      <c r="B693" s="509"/>
      <c r="C693" s="509"/>
      <c r="D693" s="1286"/>
      <c r="E693" s="1286"/>
      <c r="F693" s="1286"/>
      <c r="H693" s="527"/>
      <c r="I693" s="1047"/>
      <c r="J693" s="527"/>
      <c r="K693" s="527"/>
    </row>
    <row r="694" spans="1:11">
      <c r="A694" s="509"/>
      <c r="B694" s="509"/>
      <c r="C694" s="509"/>
      <c r="D694" s="1286"/>
      <c r="E694" s="1286"/>
      <c r="F694" s="1286"/>
      <c r="H694" s="527"/>
      <c r="I694" s="1047"/>
      <c r="J694" s="527"/>
      <c r="K694" s="527"/>
    </row>
    <row r="695" spans="1:11">
      <c r="A695" s="509"/>
      <c r="B695" s="509"/>
      <c r="C695" s="509"/>
      <c r="D695" s="1286"/>
      <c r="E695" s="1286"/>
      <c r="F695" s="1286"/>
      <c r="H695" s="527"/>
      <c r="I695" s="1047"/>
      <c r="J695" s="527"/>
      <c r="K695" s="527"/>
    </row>
    <row r="696" spans="1:11">
      <c r="A696" s="509"/>
      <c r="B696" s="509"/>
      <c r="C696" s="509"/>
      <c r="D696" s="1286"/>
      <c r="E696" s="1286"/>
      <c r="F696" s="1286"/>
      <c r="H696" s="527"/>
      <c r="I696" s="1047"/>
      <c r="J696" s="527"/>
      <c r="K696" s="527"/>
    </row>
    <row r="697" spans="1:11">
      <c r="A697" s="509"/>
      <c r="B697" s="509"/>
      <c r="C697" s="509"/>
      <c r="D697" s="471"/>
      <c r="E697" s="471"/>
      <c r="F697" s="471"/>
      <c r="H697" s="527"/>
      <c r="I697" s="1047"/>
      <c r="J697" s="527"/>
      <c r="K697" s="527"/>
    </row>
    <row r="698" spans="1:11">
      <c r="A698" s="509"/>
      <c r="B698" s="511" t="s">
        <v>2626</v>
      </c>
      <c r="C698" s="509"/>
      <c r="D698" s="1286" t="s">
        <v>1344</v>
      </c>
      <c r="E698" s="1286"/>
      <c r="F698" s="1286"/>
      <c r="H698" s="527"/>
      <c r="I698" s="1047" t="s">
        <v>2182</v>
      </c>
      <c r="J698" s="527"/>
      <c r="K698" s="527"/>
    </row>
    <row r="699" spans="1:11">
      <c r="A699" s="509"/>
      <c r="B699" s="509"/>
      <c r="C699" s="509"/>
      <c r="D699" s="1286"/>
      <c r="E699" s="1286"/>
      <c r="F699" s="1286"/>
      <c r="H699" s="527"/>
      <c r="I699" s="1047"/>
      <c r="J699" s="527"/>
      <c r="K699" s="527"/>
    </row>
    <row r="700" spans="1:11">
      <c r="A700" s="509"/>
      <c r="B700" s="509"/>
      <c r="C700" s="509"/>
      <c r="D700" s="471"/>
      <c r="E700" s="471"/>
      <c r="F700" s="471"/>
      <c r="H700" s="527"/>
      <c r="I700" s="1047"/>
      <c r="J700" s="527"/>
      <c r="K700" s="527"/>
    </row>
    <row r="701" spans="1:11">
      <c r="A701" s="510"/>
      <c r="B701" s="511" t="s">
        <v>2627</v>
      </c>
      <c r="C701" s="509"/>
      <c r="D701" s="1286" t="s">
        <v>1164</v>
      </c>
      <c r="E701" s="1286"/>
      <c r="F701" s="1286"/>
      <c r="H701" s="527"/>
      <c r="I701" s="1047" t="s">
        <v>2182</v>
      </c>
      <c r="J701" s="527"/>
      <c r="K701" s="527"/>
    </row>
    <row r="702" spans="1:11">
      <c r="A702" s="509"/>
      <c r="B702" s="509"/>
      <c r="C702" s="509"/>
      <c r="D702" s="1286"/>
      <c r="E702" s="1286"/>
      <c r="F702" s="1286"/>
      <c r="H702" s="527"/>
      <c r="I702" s="1047"/>
      <c r="J702" s="527"/>
      <c r="K702" s="527"/>
    </row>
    <row r="703" spans="1:11">
      <c r="A703" s="509"/>
      <c r="B703" s="509"/>
      <c r="C703" s="509"/>
      <c r="D703" s="1286"/>
      <c r="E703" s="1286"/>
      <c r="F703" s="1286"/>
      <c r="H703" s="527"/>
      <c r="I703" s="1047"/>
      <c r="J703" s="527"/>
      <c r="K703" s="527"/>
    </row>
    <row r="704" spans="1:11" ht="15" customHeight="1">
      <c r="A704" s="509"/>
      <c r="B704" s="509"/>
      <c r="C704" s="509"/>
      <c r="D704" s="1286"/>
      <c r="E704" s="1286"/>
      <c r="F704" s="1286"/>
      <c r="H704" s="527"/>
      <c r="I704" s="1047"/>
      <c r="J704" s="527"/>
      <c r="K704" s="527"/>
    </row>
    <row r="705" spans="1:11" ht="15" customHeight="1">
      <c r="A705" s="509"/>
      <c r="B705" s="509"/>
      <c r="C705" s="509"/>
      <c r="D705" s="1286"/>
      <c r="E705" s="1286"/>
      <c r="F705" s="1286"/>
      <c r="H705" s="527"/>
      <c r="I705" s="1047"/>
      <c r="J705" s="527"/>
      <c r="K705" s="527"/>
    </row>
    <row r="706" spans="1:11">
      <c r="A706" s="509"/>
      <c r="B706" s="509"/>
      <c r="C706" s="509"/>
      <c r="D706" s="1286"/>
      <c r="E706" s="1286"/>
      <c r="F706" s="1286"/>
      <c r="H706" s="527"/>
      <c r="I706" s="1047"/>
      <c r="J706" s="527"/>
      <c r="K706" s="527"/>
    </row>
    <row r="707" spans="1:11">
      <c r="A707" s="509"/>
      <c r="B707" s="509"/>
      <c r="C707" s="509"/>
      <c r="D707" s="1286"/>
      <c r="E707" s="1286"/>
      <c r="F707" s="1286"/>
      <c r="H707" s="527"/>
      <c r="I707" s="1047"/>
      <c r="J707" s="527"/>
      <c r="K707" s="527"/>
    </row>
    <row r="708" spans="1:11">
      <c r="A708" s="509"/>
      <c r="B708" s="509"/>
      <c r="C708" s="509"/>
      <c r="D708" s="1286"/>
      <c r="E708" s="1286"/>
      <c r="F708" s="1286"/>
      <c r="H708" s="527"/>
      <c r="I708" s="1047"/>
      <c r="J708" s="527"/>
      <c r="K708" s="527"/>
    </row>
    <row r="709" spans="1:11" ht="15" customHeight="1">
      <c r="A709" s="509"/>
      <c r="B709" s="509"/>
      <c r="C709" s="509"/>
      <c r="D709" s="1286"/>
      <c r="E709" s="1286"/>
      <c r="F709" s="1286"/>
      <c r="H709" s="527"/>
      <c r="I709" s="1047"/>
      <c r="J709" s="527"/>
      <c r="K709" s="527"/>
    </row>
    <row r="710" spans="1:11">
      <c r="A710" s="509"/>
      <c r="B710" s="509"/>
      <c r="C710" s="509"/>
      <c r="D710" s="1286"/>
      <c r="E710" s="1286"/>
      <c r="F710" s="1286"/>
      <c r="H710" s="527"/>
      <c r="I710" s="1047"/>
      <c r="J710" s="527"/>
      <c r="K710" s="527"/>
    </row>
    <row r="711" spans="1:11">
      <c r="A711" s="509"/>
      <c r="B711" s="509"/>
      <c r="C711" s="509"/>
      <c r="D711" s="1286"/>
      <c r="E711" s="1286"/>
      <c r="F711" s="1286"/>
      <c r="H711" s="527"/>
      <c r="I711" s="1047"/>
      <c r="J711" s="527"/>
      <c r="K711" s="527"/>
    </row>
    <row r="712" spans="1:11">
      <c r="A712" s="509"/>
      <c r="B712" s="509"/>
      <c r="C712" s="509"/>
      <c r="D712" s="1286"/>
      <c r="E712" s="1286"/>
      <c r="F712" s="1286"/>
      <c r="H712" s="527"/>
      <c r="I712" s="1047"/>
      <c r="J712" s="527"/>
      <c r="K712" s="527"/>
    </row>
    <row r="713" spans="1:11">
      <c r="A713" s="509"/>
      <c r="B713" s="509"/>
      <c r="C713" s="509"/>
      <c r="D713" s="1286"/>
      <c r="E713" s="1286"/>
      <c r="F713" s="1286"/>
      <c r="H713" s="527"/>
      <c r="I713" s="1047"/>
      <c r="J713" s="527"/>
      <c r="K713" s="527"/>
    </row>
    <row r="714" spans="1:11">
      <c r="A714" s="509"/>
      <c r="B714" s="511" t="s">
        <v>2627</v>
      </c>
      <c r="C714" s="509"/>
      <c r="D714" s="1286" t="s">
        <v>1171</v>
      </c>
      <c r="E714" s="1286"/>
      <c r="F714" s="1286"/>
      <c r="H714" s="527"/>
      <c r="I714" s="1047" t="s">
        <v>2232</v>
      </c>
      <c r="J714" s="527"/>
      <c r="K714" s="527"/>
    </row>
    <row r="715" spans="1:11">
      <c r="A715" s="509"/>
      <c r="B715" s="509"/>
      <c r="C715" s="509"/>
      <c r="D715" s="1286"/>
      <c r="E715" s="1286"/>
      <c r="F715" s="1286"/>
      <c r="H715" s="527"/>
      <c r="I715" s="1047"/>
      <c r="J715" s="527"/>
      <c r="K715" s="527"/>
    </row>
    <row r="716" spans="1:11">
      <c r="A716" s="509"/>
      <c r="B716" s="509"/>
      <c r="C716" s="509"/>
      <c r="D716" s="471"/>
      <c r="E716" s="471"/>
      <c r="F716" s="471"/>
      <c r="H716" s="527"/>
      <c r="I716" s="1047"/>
      <c r="J716" s="527"/>
      <c r="K716" s="527"/>
    </row>
    <row r="717" spans="1:11">
      <c r="A717" s="509"/>
      <c r="B717" s="511" t="s">
        <v>2627</v>
      </c>
      <c r="C717" s="509"/>
      <c r="D717" s="1286" t="s">
        <v>1165</v>
      </c>
      <c r="E717" s="1286"/>
      <c r="F717" s="1286"/>
      <c r="H717" s="527"/>
      <c r="I717" s="1047" t="s">
        <v>2232</v>
      </c>
      <c r="J717" s="527"/>
      <c r="K717" s="527"/>
    </row>
    <row r="718" spans="1:11">
      <c r="A718" s="509"/>
      <c r="B718" s="509"/>
      <c r="C718" s="509"/>
      <c r="D718" s="1286"/>
      <c r="E718" s="1286"/>
      <c r="F718" s="1286"/>
      <c r="H718" s="527"/>
      <c r="I718" s="1047"/>
      <c r="J718" s="527"/>
      <c r="K718" s="527"/>
    </row>
    <row r="719" spans="1:11">
      <c r="A719" s="509"/>
      <c r="B719" s="509"/>
      <c r="C719" s="509"/>
      <c r="D719" s="1286"/>
      <c r="E719" s="1286"/>
      <c r="F719" s="1286"/>
      <c r="H719" s="527"/>
      <c r="I719" s="1047"/>
      <c r="J719" s="527"/>
      <c r="K719" s="527"/>
    </row>
    <row r="720" spans="1:11">
      <c r="A720" s="509"/>
      <c r="B720" s="509"/>
      <c r="C720" s="509"/>
      <c r="H720" s="527"/>
      <c r="I720" s="1047"/>
      <c r="J720" s="527"/>
      <c r="K720" s="527"/>
    </row>
    <row r="721" spans="1:11">
      <c r="A721" s="509"/>
      <c r="B721" s="511" t="s">
        <v>2627</v>
      </c>
      <c r="C721" s="509"/>
      <c r="D721" s="1286" t="s">
        <v>1166</v>
      </c>
      <c r="E721" s="1286"/>
      <c r="F721" s="1286"/>
      <c r="H721" s="527"/>
      <c r="I721" s="1047" t="s">
        <v>2232</v>
      </c>
      <c r="J721" s="527"/>
      <c r="K721" s="527"/>
    </row>
    <row r="722" spans="1:11">
      <c r="A722" s="509"/>
      <c r="B722" s="509"/>
      <c r="C722" s="509"/>
      <c r="D722" s="1286"/>
      <c r="E722" s="1286"/>
      <c r="F722" s="1286"/>
      <c r="H722" s="527"/>
      <c r="I722" s="1047"/>
      <c r="J722" s="527"/>
      <c r="K722" s="527"/>
    </row>
    <row r="723" spans="1:11">
      <c r="A723" s="509"/>
      <c r="B723" s="509"/>
      <c r="C723" s="509"/>
      <c r="D723" s="1286"/>
      <c r="E723" s="1286"/>
      <c r="F723" s="1286"/>
      <c r="H723" s="527"/>
      <c r="I723" s="1047"/>
      <c r="J723" s="527"/>
      <c r="K723" s="527"/>
    </row>
    <row r="724" spans="1:11">
      <c r="A724" s="509"/>
      <c r="B724" s="509"/>
      <c r="C724" s="509"/>
      <c r="H724" s="527"/>
      <c r="I724" s="1047"/>
      <c r="J724" s="527"/>
      <c r="K724" s="527"/>
    </row>
    <row r="725" spans="1:11">
      <c r="A725" s="510"/>
      <c r="B725" s="511" t="s">
        <v>2627</v>
      </c>
      <c r="C725" s="509"/>
      <c r="D725" s="1286" t="s">
        <v>1167</v>
      </c>
      <c r="E725" s="1286"/>
      <c r="F725" s="1286"/>
      <c r="H725" s="527"/>
      <c r="I725" s="1047" t="s">
        <v>2183</v>
      </c>
      <c r="J725" s="527"/>
      <c r="K725" s="527"/>
    </row>
    <row r="726" spans="1:11">
      <c r="A726" s="509"/>
      <c r="B726" s="509"/>
      <c r="C726" s="509"/>
      <c r="D726" s="1286"/>
      <c r="E726" s="1286"/>
      <c r="F726" s="1286"/>
      <c r="H726" s="527"/>
      <c r="I726" s="1047"/>
      <c r="J726" s="527"/>
      <c r="K726" s="527"/>
    </row>
    <row r="727" spans="1:11">
      <c r="A727" s="509"/>
      <c r="B727" s="509"/>
      <c r="C727" s="509"/>
      <c r="D727" s="1286"/>
      <c r="E727" s="1286"/>
      <c r="F727" s="1286"/>
      <c r="H727" s="527"/>
      <c r="I727" s="1047"/>
      <c r="J727" s="527"/>
      <c r="K727" s="527"/>
    </row>
    <row r="728" spans="1:11">
      <c r="A728" s="509"/>
      <c r="B728" s="509"/>
      <c r="C728" s="509"/>
      <c r="D728" s="1286"/>
      <c r="E728" s="1286"/>
      <c r="F728" s="1286"/>
      <c r="H728" s="527"/>
      <c r="I728" s="1047"/>
      <c r="J728" s="527"/>
      <c r="K728" s="527"/>
    </row>
    <row r="729" spans="1:11">
      <c r="A729" s="509"/>
      <c r="B729" s="509"/>
      <c r="C729" s="509"/>
      <c r="D729" s="518"/>
      <c r="H729" s="527"/>
      <c r="I729" s="1047"/>
      <c r="J729" s="527"/>
      <c r="K729" s="527"/>
    </row>
    <row r="730" spans="1:11">
      <c r="A730" s="510"/>
      <c r="B730" s="511" t="s">
        <v>2627</v>
      </c>
      <c r="C730" s="509"/>
      <c r="D730" s="1286" t="s">
        <v>2469</v>
      </c>
      <c r="E730" s="1286"/>
      <c r="F730" s="1286"/>
      <c r="H730" s="527"/>
      <c r="I730" s="1047" t="s">
        <v>2199</v>
      </c>
      <c r="J730" s="527"/>
      <c r="K730" s="527"/>
    </row>
    <row r="731" spans="1:11">
      <c r="A731" s="509"/>
      <c r="B731" s="509"/>
      <c r="C731" s="509"/>
      <c r="D731" s="1286"/>
      <c r="E731" s="1286"/>
      <c r="F731" s="1286"/>
      <c r="H731" s="527"/>
      <c r="I731" s="1047"/>
      <c r="J731" s="527"/>
      <c r="K731" s="527"/>
    </row>
    <row r="732" spans="1:11">
      <c r="A732" s="509"/>
      <c r="B732" s="509"/>
      <c r="C732" s="509"/>
      <c r="D732" s="1286"/>
      <c r="E732" s="1286"/>
      <c r="F732" s="1286"/>
      <c r="H732" s="527"/>
      <c r="I732" s="1047"/>
      <c r="J732" s="527"/>
      <c r="K732" s="527"/>
    </row>
    <row r="733" spans="1:11">
      <c r="A733" s="509"/>
      <c r="B733" s="509"/>
      <c r="C733" s="509"/>
      <c r="D733" s="1286"/>
      <c r="E733" s="1286"/>
      <c r="F733" s="1286"/>
      <c r="H733" s="527"/>
      <c r="I733" s="1047"/>
      <c r="J733" s="527"/>
      <c r="K733" s="527"/>
    </row>
    <row r="734" spans="1:11">
      <c r="A734" s="509"/>
      <c r="B734" s="509"/>
      <c r="C734" s="509"/>
      <c r="D734" s="1286"/>
      <c r="E734" s="1286"/>
      <c r="F734" s="1286"/>
      <c r="H734" s="527"/>
      <c r="I734" s="1047"/>
      <c r="J734" s="527"/>
      <c r="K734" s="527"/>
    </row>
    <row r="735" spans="1:11">
      <c r="A735" s="509"/>
      <c r="B735" s="509"/>
      <c r="C735" s="509"/>
      <c r="D735" s="1286"/>
      <c r="E735" s="1286"/>
      <c r="F735" s="1286"/>
      <c r="H735" s="527"/>
      <c r="I735" s="1047"/>
      <c r="J735" s="527"/>
      <c r="K735" s="527"/>
    </row>
    <row r="736" spans="1:11">
      <c r="A736" s="509"/>
      <c r="B736" s="509"/>
      <c r="C736" s="509"/>
      <c r="D736" s="1286"/>
      <c r="E736" s="1286"/>
      <c r="F736" s="1286"/>
      <c r="H736" s="527"/>
      <c r="I736" s="1047"/>
      <c r="J736" s="527"/>
      <c r="K736" s="527"/>
    </row>
    <row r="737" spans="1:11">
      <c r="A737" s="509"/>
      <c r="B737" s="509"/>
      <c r="C737" s="509"/>
      <c r="D737" s="1303" t="s">
        <v>2478</v>
      </c>
      <c r="E737" s="1303"/>
      <c r="F737" s="1303"/>
      <c r="H737" s="527"/>
      <c r="I737" s="1047"/>
      <c r="J737" s="527"/>
      <c r="K737" s="527"/>
    </row>
    <row r="738" spans="1:11">
      <c r="A738" s="509"/>
      <c r="B738" s="509"/>
      <c r="C738" s="509"/>
      <c r="D738" s="361"/>
      <c r="H738" s="527"/>
      <c r="I738" s="1047"/>
      <c r="J738" s="527"/>
      <c r="K738" s="527"/>
    </row>
    <row r="739" spans="1:11">
      <c r="A739" s="1305" t="s">
        <v>1125</v>
      </c>
      <c r="B739" s="1305"/>
      <c r="C739" s="1305"/>
      <c r="D739" s="1305"/>
      <c r="E739" s="1305"/>
      <c r="F739" s="1305"/>
      <c r="G739" s="1305"/>
      <c r="H739" s="1055"/>
      <c r="I739" s="1056"/>
      <c r="J739" s="527"/>
      <c r="K739" s="527"/>
    </row>
    <row r="740" spans="1:11">
      <c r="A740" s="509"/>
      <c r="B740" s="509"/>
      <c r="C740" s="509"/>
      <c r="D740" s="518"/>
      <c r="G740" s="527"/>
      <c r="H740" s="527"/>
      <c r="I740" s="1047"/>
      <c r="J740" s="527"/>
      <c r="K740" s="527"/>
    </row>
    <row r="741" spans="1:11" ht="14" customHeight="1">
      <c r="C741" s="509"/>
      <c r="D741" s="1288" t="s">
        <v>1141</v>
      </c>
      <c r="E741" s="1288"/>
      <c r="F741" s="1288"/>
      <c r="G741" s="527"/>
      <c r="H741" s="527"/>
      <c r="I741" s="1047"/>
      <c r="J741" s="527"/>
      <c r="K741" s="527"/>
    </row>
    <row r="742" spans="1:11">
      <c r="A742" s="509"/>
      <c r="B742" s="509"/>
      <c r="C742" s="509"/>
      <c r="D742" s="1289" t="s">
        <v>1142</v>
      </c>
      <c r="E742" s="1289"/>
      <c r="F742" s="1289"/>
      <c r="G742" s="527"/>
      <c r="H742" s="527"/>
      <c r="I742" s="1047"/>
      <c r="J742" s="527"/>
      <c r="K742" s="527"/>
    </row>
    <row r="743" spans="1:11">
      <c r="A743" s="509"/>
      <c r="B743" s="509"/>
      <c r="C743" s="509"/>
      <c r="G743" s="527"/>
      <c r="H743" s="527"/>
      <c r="I743" s="1047"/>
      <c r="J743" s="527"/>
      <c r="K743" s="527"/>
    </row>
    <row r="744" spans="1:11">
      <c r="A744" s="510"/>
      <c r="B744" s="511" t="s">
        <v>2626</v>
      </c>
      <c r="D744" s="1286" t="s">
        <v>1143</v>
      </c>
      <c r="E744" s="1286"/>
      <c r="F744" s="1286"/>
      <c r="G744" s="527"/>
      <c r="H744" s="527"/>
      <c r="I744" s="1047" t="s">
        <v>2184</v>
      </c>
      <c r="J744" s="527"/>
      <c r="K744" s="527"/>
    </row>
    <row r="745" spans="1:11" ht="10.5" customHeight="1">
      <c r="D745" s="1286"/>
      <c r="E745" s="1286"/>
      <c r="F745" s="1286"/>
      <c r="G745" s="527"/>
      <c r="H745" s="527"/>
      <c r="I745" s="1047"/>
      <c r="J745" s="527"/>
      <c r="K745" s="527"/>
    </row>
    <row r="746" spans="1:11">
      <c r="D746" s="1286"/>
      <c r="E746" s="1286"/>
      <c r="F746" s="1286"/>
      <c r="G746" s="527"/>
      <c r="H746" s="527"/>
      <c r="I746" s="1047"/>
      <c r="J746" s="527"/>
      <c r="K746" s="527"/>
    </row>
    <row r="747" spans="1:11">
      <c r="D747" s="1286"/>
      <c r="E747" s="1286"/>
      <c r="F747" s="1286"/>
      <c r="G747" s="527"/>
      <c r="H747" s="527"/>
      <c r="I747" s="1047"/>
      <c r="J747" s="527"/>
      <c r="K747" s="527"/>
    </row>
    <row r="748" spans="1:11">
      <c r="D748" s="1286"/>
      <c r="E748" s="1286"/>
      <c r="F748" s="1286"/>
      <c r="G748" s="527"/>
      <c r="H748" s="527"/>
      <c r="I748" s="1047"/>
      <c r="J748" s="527"/>
      <c r="K748" s="527"/>
    </row>
    <row r="749" spans="1:11" ht="15.5" customHeight="1">
      <c r="D749" s="1286"/>
      <c r="E749" s="1286"/>
      <c r="F749" s="1286"/>
      <c r="G749" s="527"/>
      <c r="H749" s="527"/>
      <c r="I749" s="1047"/>
      <c r="J749" s="527"/>
      <c r="K749" s="527"/>
    </row>
    <row r="750" spans="1:11">
      <c r="D750" s="525"/>
      <c r="E750" s="472"/>
      <c r="F750" s="472"/>
      <c r="G750" s="527"/>
      <c r="H750" s="527"/>
      <c r="I750" s="1047"/>
      <c r="J750" s="527"/>
      <c r="K750" s="527"/>
    </row>
    <row r="751" spans="1:11" s="531" customFormat="1">
      <c r="A751" s="529"/>
      <c r="B751" s="511" t="s">
        <v>2626</v>
      </c>
      <c r="C751" s="530"/>
      <c r="D751" s="1286" t="s">
        <v>1389</v>
      </c>
      <c r="E751" s="1286"/>
      <c r="F751" s="1286"/>
      <c r="I751" s="1048" t="s">
        <v>2184</v>
      </c>
    </row>
    <row r="752" spans="1:11" s="531" customFormat="1">
      <c r="A752" s="530"/>
      <c r="B752" s="530"/>
      <c r="C752" s="530"/>
      <c r="D752" s="1286"/>
      <c r="E752" s="1286"/>
      <c r="F752" s="1286"/>
      <c r="I752" s="1048"/>
    </row>
    <row r="753" spans="1:11" s="531" customFormat="1">
      <c r="A753" s="530"/>
      <c r="B753" s="530"/>
      <c r="C753" s="530"/>
      <c r="D753" s="1286"/>
      <c r="E753" s="1286"/>
      <c r="F753" s="1286"/>
      <c r="I753" s="1048"/>
    </row>
    <row r="754" spans="1:11" s="531" customFormat="1">
      <c r="A754" s="530"/>
      <c r="B754" s="530"/>
      <c r="C754" s="530"/>
      <c r="D754" s="1286"/>
      <c r="E754" s="1286"/>
      <c r="F754" s="1286"/>
      <c r="I754" s="1048"/>
    </row>
    <row r="755" spans="1:11" s="531" customFormat="1">
      <c r="A755" s="530"/>
      <c r="B755" s="530"/>
      <c r="C755" s="530"/>
      <c r="D755" s="525"/>
      <c r="I755" s="1048"/>
    </row>
    <row r="756" spans="1:11" s="531" customFormat="1">
      <c r="A756" s="510"/>
      <c r="B756" s="511" t="s">
        <v>2627</v>
      </c>
      <c r="C756" s="530"/>
      <c r="D756" s="1284" t="s">
        <v>1390</v>
      </c>
      <c r="E756" s="1284"/>
      <c r="F756" s="1284"/>
      <c r="I756" s="1048" t="s">
        <v>2185</v>
      </c>
    </row>
    <row r="757" spans="1:11" s="531" customFormat="1">
      <c r="A757" s="530"/>
      <c r="B757" s="530"/>
      <c r="C757" s="530"/>
      <c r="D757" s="1284"/>
      <c r="E757" s="1284"/>
      <c r="F757" s="1284"/>
      <c r="I757" s="1048"/>
    </row>
    <row r="758" spans="1:11" s="531" customFormat="1">
      <c r="A758" s="530"/>
      <c r="B758" s="530"/>
      <c r="C758" s="530"/>
      <c r="D758" s="1284"/>
      <c r="E758" s="1284"/>
      <c r="F758" s="1284"/>
      <c r="I758" s="1048"/>
    </row>
    <row r="759" spans="1:11">
      <c r="D759" s="525"/>
      <c r="E759" s="472"/>
      <c r="F759" s="472"/>
      <c r="G759" s="527"/>
      <c r="H759" s="527"/>
      <c r="I759" s="1047"/>
      <c r="J759" s="527"/>
      <c r="K759" s="527"/>
    </row>
    <row r="760" spans="1:11">
      <c r="A760" s="510"/>
      <c r="B760" s="511" t="s">
        <v>2627</v>
      </c>
      <c r="D760" s="1286" t="s">
        <v>1341</v>
      </c>
      <c r="E760" s="1286"/>
      <c r="F760" s="1286"/>
      <c r="G760" s="527"/>
      <c r="H760" s="527"/>
      <c r="I760" s="1047" t="s">
        <v>2184</v>
      </c>
      <c r="J760" s="527"/>
      <c r="K760" s="527"/>
    </row>
    <row r="761" spans="1:11">
      <c r="D761" s="1286"/>
      <c r="E761" s="1286"/>
      <c r="F761" s="1286"/>
      <c r="G761" s="527"/>
      <c r="H761" s="527"/>
      <c r="I761" s="1047"/>
      <c r="J761" s="527"/>
      <c r="K761" s="527"/>
    </row>
    <row r="762" spans="1:11">
      <c r="D762" s="471"/>
      <c r="E762" s="471"/>
      <c r="F762" s="471"/>
      <c r="G762" s="527"/>
      <c r="H762" s="527"/>
      <c r="I762" s="1047"/>
      <c r="J762" s="527"/>
      <c r="K762" s="527"/>
    </row>
    <row r="763" spans="1:11">
      <c r="B763" s="511" t="s">
        <v>2627</v>
      </c>
      <c r="D763" s="1286" t="s">
        <v>1358</v>
      </c>
      <c r="E763" s="1286"/>
      <c r="F763" s="1286"/>
      <c r="G763" s="527"/>
      <c r="H763" s="527"/>
      <c r="I763" s="1047" t="s">
        <v>2184</v>
      </c>
      <c r="J763" s="527"/>
      <c r="K763" s="527"/>
    </row>
    <row r="764" spans="1:11">
      <c r="D764" s="1286"/>
      <c r="E764" s="1286"/>
      <c r="F764" s="1286"/>
      <c r="G764" s="527"/>
      <c r="H764" s="527"/>
      <c r="I764" s="1047"/>
      <c r="J764" s="527"/>
      <c r="K764" s="527"/>
    </row>
    <row r="765" spans="1:11">
      <c r="D765" s="1286"/>
      <c r="E765" s="1286"/>
      <c r="F765" s="1286"/>
      <c r="G765" s="527"/>
      <c r="H765" s="527"/>
      <c r="I765" s="1047"/>
      <c r="J765" s="527"/>
      <c r="K765" s="527"/>
    </row>
    <row r="766" spans="1:11">
      <c r="D766" s="471"/>
      <c r="E766" s="471"/>
      <c r="F766" s="471"/>
      <c r="G766" s="527"/>
      <c r="H766" s="527"/>
      <c r="I766" s="1047"/>
      <c r="J766" s="527"/>
      <c r="K766" s="527"/>
    </row>
    <row r="767" spans="1:11">
      <c r="A767" s="1338" t="s">
        <v>2064</v>
      </c>
      <c r="B767" s="1338"/>
      <c r="C767" s="1338"/>
      <c r="D767" s="1338"/>
      <c r="E767" s="1338"/>
      <c r="F767" s="1338"/>
      <c r="G767" s="1338"/>
      <c r="H767" s="1053"/>
      <c r="I767" s="1054"/>
    </row>
    <row r="768" spans="1:11">
      <c r="A768" s="57"/>
      <c r="B768" s="57"/>
      <c r="C768" s="377"/>
      <c r="D768" s="3"/>
      <c r="E768" s="3"/>
      <c r="F768" s="3"/>
      <c r="G768" s="3"/>
    </row>
    <row r="769" spans="1:9">
      <c r="A769" s="57"/>
      <c r="B769" s="57"/>
      <c r="C769" s="377"/>
      <c r="D769" s="1339" t="s">
        <v>2118</v>
      </c>
      <c r="E769" s="1339"/>
      <c r="F769" s="1339"/>
      <c r="G769" s="3"/>
    </row>
    <row r="770" spans="1:9">
      <c r="A770" s="57"/>
      <c r="B770" s="57"/>
      <c r="C770" s="377"/>
      <c r="D770" s="1272" t="s">
        <v>2017</v>
      </c>
      <c r="E770" s="1272"/>
      <c r="F770" s="1272"/>
      <c r="G770" s="3"/>
    </row>
    <row r="771" spans="1:9">
      <c r="A771" s="57"/>
      <c r="B771" s="57"/>
      <c r="C771" s="377"/>
      <c r="D771" s="473"/>
      <c r="E771" s="473"/>
      <c r="F771" s="473"/>
      <c r="G771" s="3"/>
    </row>
    <row r="772" spans="1:9">
      <c r="A772" s="57"/>
      <c r="B772" s="511" t="s">
        <v>2626</v>
      </c>
      <c r="C772" s="377"/>
      <c r="D772" s="1299" t="s">
        <v>2018</v>
      </c>
      <c r="E772" s="1299"/>
      <c r="F772" s="1299"/>
      <c r="G772" s="3"/>
      <c r="I772" s="1047" t="s">
        <v>2234</v>
      </c>
    </row>
    <row r="773" spans="1:9">
      <c r="A773" s="57"/>
      <c r="B773" s="57"/>
      <c r="C773" s="377"/>
      <c r="D773" s="1299"/>
      <c r="E773" s="1299"/>
      <c r="F773" s="1299"/>
      <c r="G773" s="3"/>
    </row>
    <row r="774" spans="1:9">
      <c r="A774" s="175"/>
      <c r="B774" s="175"/>
      <c r="C774" s="175"/>
      <c r="D774" s="1299"/>
      <c r="E774" s="1299"/>
      <c r="F774" s="1299"/>
      <c r="G774" s="118"/>
    </row>
    <row r="775" spans="1:9">
      <c r="A775" s="377"/>
      <c r="B775" s="377"/>
      <c r="C775" s="377"/>
      <c r="D775" s="174"/>
      <c r="E775" s="3"/>
      <c r="F775" s="3"/>
      <c r="G775" s="3"/>
    </row>
    <row r="776" spans="1:9">
      <c r="A776" s="172"/>
      <c r="B776" s="511" t="s">
        <v>2627</v>
      </c>
      <c r="C776" s="172"/>
      <c r="D776" s="1299" t="s">
        <v>2019</v>
      </c>
      <c r="E776" s="1299"/>
      <c r="F776" s="1299"/>
      <c r="G776" s="3"/>
      <c r="I776" s="1047" t="s">
        <v>2234</v>
      </c>
    </row>
    <row r="777" spans="1:9">
      <c r="A777" s="172"/>
      <c r="B777" s="172"/>
      <c r="C777" s="172"/>
      <c r="D777" s="1299"/>
      <c r="E777" s="1299"/>
      <c r="F777" s="1299"/>
      <c r="G777" s="3"/>
    </row>
    <row r="778" spans="1:9">
      <c r="A778" s="172"/>
      <c r="B778" s="172"/>
      <c r="C778" s="172"/>
      <c r="D778" s="1299"/>
      <c r="E778" s="1299"/>
      <c r="F778" s="1299"/>
      <c r="G778" s="3"/>
    </row>
    <row r="779" spans="1:9">
      <c r="A779" s="175"/>
      <c r="B779" s="175"/>
      <c r="C779" s="175"/>
      <c r="D779" s="3"/>
      <c r="E779" s="1007"/>
      <c r="F779" s="1007"/>
      <c r="G779" s="1007"/>
    </row>
    <row r="780" spans="1:9">
      <c r="A780" s="176"/>
      <c r="B780" s="511" t="s">
        <v>2627</v>
      </c>
      <c r="C780" s="1008"/>
      <c r="D780" s="1299" t="s">
        <v>2020</v>
      </c>
      <c r="E780" s="1299"/>
      <c r="F780" s="1299"/>
      <c r="G780" s="1007"/>
      <c r="I780" s="1047" t="s">
        <v>2234</v>
      </c>
    </row>
    <row r="781" spans="1:9">
      <c r="A781" s="176"/>
      <c r="B781" s="176"/>
      <c r="C781" s="1008"/>
      <c r="D781" s="1299"/>
      <c r="E781" s="1299"/>
      <c r="F781" s="1299"/>
      <c r="G781" s="1007"/>
    </row>
    <row r="782" spans="1:9">
      <c r="A782" s="176"/>
      <c r="B782" s="176"/>
      <c r="C782" s="1008"/>
      <c r="D782" s="1299"/>
      <c r="E782" s="1299"/>
      <c r="F782" s="1299"/>
      <c r="G782" s="1007"/>
    </row>
    <row r="783" spans="1:9">
      <c r="A783" s="176"/>
      <c r="B783" s="176"/>
      <c r="C783" s="1008"/>
      <c r="D783" s="118"/>
      <c r="E783" s="3"/>
      <c r="F783" s="3"/>
      <c r="G783" s="1007"/>
    </row>
    <row r="784" spans="1:9">
      <c r="A784" s="176"/>
      <c r="B784" s="511" t="s">
        <v>2627</v>
      </c>
      <c r="C784" s="1008"/>
      <c r="D784" s="1299" t="s">
        <v>2021</v>
      </c>
      <c r="E784" s="1299"/>
      <c r="F784" s="1299"/>
      <c r="G784" s="1007"/>
      <c r="I784" s="1047" t="s">
        <v>2234</v>
      </c>
    </row>
    <row r="785" spans="1:9">
      <c r="A785" s="176"/>
      <c r="B785" s="176"/>
      <c r="C785" s="1008"/>
      <c r="D785" s="1299"/>
      <c r="E785" s="1299"/>
      <c r="F785" s="1299"/>
      <c r="G785" s="1007"/>
    </row>
    <row r="786" spans="1:9">
      <c r="A786" s="176"/>
      <c r="B786" s="176"/>
      <c r="C786" s="1008"/>
      <c r="D786" s="1299"/>
      <c r="E786" s="1299"/>
      <c r="F786" s="1299"/>
      <c r="G786" s="1007"/>
    </row>
    <row r="787" spans="1:9">
      <c r="A787" s="176"/>
      <c r="B787" s="176"/>
      <c r="C787" s="1008"/>
      <c r="D787" s="1299"/>
      <c r="E787" s="1299"/>
      <c r="F787" s="1299"/>
      <c r="G787" s="1007"/>
    </row>
    <row r="788" spans="1:9">
      <c r="A788" s="176"/>
      <c r="B788" s="176"/>
      <c r="C788" s="1008"/>
      <c r="D788" s="1299"/>
      <c r="E788" s="1299"/>
      <c r="F788" s="1299"/>
      <c r="G788" s="1007"/>
    </row>
    <row r="789" spans="1:9">
      <c r="A789" s="176"/>
      <c r="B789" s="176"/>
      <c r="C789" s="1008"/>
      <c r="D789" s="1299"/>
      <c r="E789" s="1299"/>
      <c r="F789" s="1299"/>
      <c r="G789" s="1007"/>
    </row>
    <row r="790" spans="1:9">
      <c r="A790" s="176"/>
      <c r="B790" s="176"/>
      <c r="C790" s="1008"/>
      <c r="D790" s="1299" t="s">
        <v>2065</v>
      </c>
      <c r="E790" s="1299"/>
      <c r="F790" s="1299"/>
      <c r="G790" s="1007"/>
    </row>
    <row r="791" spans="1:9">
      <c r="A791" s="176"/>
      <c r="B791" s="176"/>
      <c r="C791" s="1008"/>
      <c r="D791" s="1299"/>
      <c r="E791" s="1299"/>
      <c r="F791" s="1299"/>
      <c r="G791" s="1007"/>
    </row>
    <row r="792" spans="1:9">
      <c r="A792" s="176"/>
      <c r="B792" s="176"/>
      <c r="C792" s="1008"/>
      <c r="D792" s="1299"/>
      <c r="E792" s="1299"/>
      <c r="F792" s="1299"/>
      <c r="G792" s="1007"/>
    </row>
    <row r="793" spans="1:9">
      <c r="A793" s="176"/>
      <c r="B793" s="377"/>
      <c r="C793" s="1008"/>
      <c r="D793" s="1009"/>
      <c r="E793" s="1009"/>
      <c r="F793" s="1009"/>
      <c r="G793" s="1007"/>
    </row>
    <row r="794" spans="1:9">
      <c r="A794" s="176"/>
      <c r="B794" s="511" t="s">
        <v>2627</v>
      </c>
      <c r="C794" s="1008"/>
      <c r="D794" s="1299" t="s">
        <v>2022</v>
      </c>
      <c r="E794" s="1299"/>
      <c r="F794" s="1299"/>
      <c r="G794" s="1007"/>
      <c r="I794" s="1047" t="s">
        <v>2234</v>
      </c>
    </row>
    <row r="795" spans="1:9">
      <c r="A795" s="176"/>
      <c r="B795" s="176"/>
      <c r="C795" s="1008"/>
      <c r="D795" s="1299"/>
      <c r="E795" s="1299"/>
      <c r="F795" s="1299"/>
      <c r="G795" s="1007"/>
    </row>
    <row r="796" spans="1:9">
      <c r="A796" s="176"/>
      <c r="B796" s="176"/>
      <c r="C796" s="1008"/>
      <c r="D796" s="1299"/>
      <c r="E796" s="1299"/>
      <c r="F796" s="1299"/>
      <c r="G796" s="1007"/>
    </row>
    <row r="797" spans="1:9">
      <c r="A797" s="176"/>
      <c r="B797" s="176"/>
      <c r="C797" s="1008"/>
      <c r="D797" s="1299"/>
      <c r="E797" s="1299"/>
      <c r="F797" s="1299"/>
      <c r="G797" s="1007"/>
    </row>
    <row r="798" spans="1:9">
      <c r="A798" s="176"/>
      <c r="B798" s="176"/>
      <c r="C798" s="1008"/>
      <c r="D798" s="1299"/>
      <c r="E798" s="1299"/>
      <c r="F798" s="1299"/>
      <c r="G798" s="1007"/>
    </row>
    <row r="799" spans="1:9">
      <c r="A799" s="176"/>
      <c r="B799" s="176"/>
      <c r="C799" s="1008"/>
      <c r="D799" s="1299"/>
      <c r="E799" s="1299"/>
      <c r="F799" s="1299"/>
      <c r="G799" s="1007"/>
    </row>
    <row r="800" spans="1:9">
      <c r="A800" s="176"/>
      <c r="B800" s="176"/>
      <c r="C800" s="1008"/>
      <c r="D800" s="1001"/>
      <c r="E800" s="1001"/>
      <c r="F800" s="1001"/>
      <c r="G800" s="1007"/>
    </row>
    <row r="801" spans="1:9">
      <c r="A801" s="176"/>
      <c r="B801" s="511" t="s">
        <v>2627</v>
      </c>
      <c r="C801" s="1008"/>
      <c r="D801" s="1299" t="s">
        <v>2023</v>
      </c>
      <c r="E801" s="1299"/>
      <c r="F801" s="1299"/>
      <c r="G801" s="1007"/>
      <c r="I801" s="1047" t="s">
        <v>2234</v>
      </c>
    </row>
    <row r="802" spans="1:9">
      <c r="A802" s="176"/>
      <c r="B802" s="176"/>
      <c r="C802" s="1008"/>
      <c r="D802" s="1299"/>
      <c r="E802" s="1299"/>
      <c r="F802" s="1299"/>
      <c r="G802" s="1007"/>
    </row>
    <row r="803" spans="1:9">
      <c r="A803" s="176"/>
      <c r="B803" s="176"/>
      <c r="C803" s="1008"/>
      <c r="D803" s="1299"/>
      <c r="E803" s="1299"/>
      <c r="F803" s="1299"/>
      <c r="G803" s="1007"/>
    </row>
    <row r="804" spans="1:9">
      <c r="A804" s="176"/>
      <c r="B804" s="176"/>
      <c r="C804" s="1008"/>
      <c r="D804" s="1299"/>
      <c r="E804" s="1299"/>
      <c r="F804" s="1299"/>
      <c r="G804" s="1007"/>
    </row>
    <row r="805" spans="1:9">
      <c r="A805" s="176"/>
      <c r="B805" s="176"/>
      <c r="C805" s="1008"/>
      <c r="D805" s="1299"/>
      <c r="E805" s="1299"/>
      <c r="F805" s="1299"/>
      <c r="G805" s="1007"/>
    </row>
    <row r="806" spans="1:9">
      <c r="A806" s="176"/>
      <c r="B806" s="176"/>
      <c r="C806" s="1008"/>
      <c r="D806" s="1299"/>
      <c r="E806" s="1299"/>
      <c r="F806" s="1299"/>
      <c r="G806" s="1007"/>
    </row>
    <row r="807" spans="1:9">
      <c r="A807" s="176"/>
      <c r="B807" s="176"/>
      <c r="C807" s="1008"/>
      <c r="D807" s="1001"/>
      <c r="E807" s="1001"/>
      <c r="F807" s="1001"/>
      <c r="G807" s="1007"/>
    </row>
    <row r="808" spans="1:9">
      <c r="A808" s="176"/>
      <c r="B808" s="511" t="s">
        <v>2627</v>
      </c>
      <c r="C808" s="1008"/>
      <c r="D808" s="1296" t="s">
        <v>2024</v>
      </c>
      <c r="E808" s="1296"/>
      <c r="F808" s="1296"/>
      <c r="G808" s="1007"/>
      <c r="I808" s="1047" t="s">
        <v>2234</v>
      </c>
    </row>
    <row r="809" spans="1:9">
      <c r="A809" s="176"/>
      <c r="B809" s="176"/>
      <c r="C809" s="1008"/>
      <c r="D809" s="1296"/>
      <c r="E809" s="1296"/>
      <c r="F809" s="1296"/>
      <c r="G809" s="1007"/>
    </row>
    <row r="810" spans="1:9">
      <c r="A810" s="13"/>
      <c r="B810" s="13"/>
      <c r="C810" s="1008"/>
      <c r="D810" s="1296"/>
      <c r="E810" s="1296"/>
      <c r="F810" s="1296"/>
      <c r="G810" s="1007"/>
    </row>
    <row r="811" spans="1:9">
      <c r="A811" s="176"/>
      <c r="B811" s="13"/>
      <c r="C811" s="1008"/>
      <c r="D811" s="1296"/>
      <c r="E811" s="1296"/>
      <c r="F811" s="1296"/>
      <c r="G811" s="1007"/>
    </row>
    <row r="812" spans="1:9" ht="12.75" customHeight="1">
      <c r="A812" s="176"/>
      <c r="B812" s="13"/>
      <c r="C812" s="1008"/>
      <c r="D812" s="1296"/>
      <c r="E812" s="1296"/>
      <c r="F812" s="1296"/>
      <c r="G812" s="1007"/>
    </row>
    <row r="813" spans="1:9" ht="12.75" customHeight="1">
      <c r="A813" s="176"/>
      <c r="B813" s="13"/>
      <c r="C813" s="1008"/>
      <c r="D813" s="1296"/>
      <c r="E813" s="1296"/>
      <c r="F813" s="1296"/>
      <c r="G813" s="1007"/>
    </row>
    <row r="814" spans="1:9" ht="12.75" customHeight="1">
      <c r="A814" s="13"/>
      <c r="B814" s="13"/>
      <c r="C814" s="1008"/>
      <c r="D814" s="1007"/>
      <c r="E814" s="3"/>
      <c r="F814" s="3"/>
      <c r="G814" s="1007"/>
    </row>
    <row r="815" spans="1:9" ht="12.75" customHeight="1">
      <c r="A815" s="1304" t="s">
        <v>2025</v>
      </c>
      <c r="B815" s="1304"/>
      <c r="C815" s="1304"/>
      <c r="D815" s="1304"/>
      <c r="E815" s="1304"/>
      <c r="F815" s="1304"/>
      <c r="G815" s="1304"/>
      <c r="H815" s="1053"/>
      <c r="I815" s="1054"/>
    </row>
    <row r="816" spans="1:9" ht="12.75" customHeight="1">
      <c r="A816" s="172"/>
      <c r="B816" s="172"/>
      <c r="C816" s="1008"/>
      <c r="D816" s="1007"/>
      <c r="E816" s="1007"/>
      <c r="F816" s="1007"/>
      <c r="G816" s="1007"/>
    </row>
    <row r="817" spans="1:9" ht="12.75" customHeight="1">
      <c r="A817" s="176"/>
      <c r="B817" s="176"/>
      <c r="C817" s="377"/>
      <c r="D817" s="1292" t="s">
        <v>2066</v>
      </c>
      <c r="E817" s="1292"/>
      <c r="F817" s="1292"/>
      <c r="G817" s="3"/>
    </row>
    <row r="818" spans="1:9" ht="14.25" customHeight="1">
      <c r="A818" s="176"/>
      <c r="B818" s="176"/>
      <c r="C818" s="377"/>
      <c r="D818" s="1259" t="s">
        <v>2026</v>
      </c>
      <c r="E818" s="1259"/>
      <c r="F818" s="1259"/>
      <c r="G818" s="3"/>
    </row>
    <row r="819" spans="1:9" ht="12.75" customHeight="1">
      <c r="A819" s="176"/>
      <c r="B819" s="176"/>
      <c r="C819" s="377"/>
      <c r="D819" s="466"/>
      <c r="E819" s="466"/>
      <c r="F819" s="466"/>
      <c r="G819" s="3"/>
    </row>
    <row r="820" spans="1:9" ht="12.75" customHeight="1">
      <c r="A820" s="377"/>
      <c r="B820" s="511" t="s">
        <v>2626</v>
      </c>
      <c r="C820" s="1008"/>
      <c r="D820" s="1259" t="s">
        <v>2027</v>
      </c>
      <c r="E820" s="1259"/>
      <c r="F820" s="1259"/>
      <c r="G820" s="3"/>
      <c r="I820" s="427" t="s">
        <v>2202</v>
      </c>
    </row>
    <row r="821" spans="1:9" ht="14.25" customHeight="1">
      <c r="A821" s="13"/>
      <c r="B821" s="13"/>
      <c r="C821" s="1008"/>
      <c r="E821" s="1062" t="s">
        <v>2278</v>
      </c>
      <c r="F821" s="1064"/>
      <c r="G821" s="3"/>
    </row>
    <row r="822" spans="1:9" ht="12.75" customHeight="1">
      <c r="A822" s="13"/>
      <c r="B822" s="13"/>
      <c r="C822" s="1008"/>
      <c r="D822" s="1010"/>
      <c r="E822" s="3"/>
      <c r="F822" s="3"/>
      <c r="G822" s="3"/>
    </row>
    <row r="823" spans="1:9" ht="14.25" hidden="1" customHeight="1">
      <c r="A823" s="13"/>
      <c r="B823" s="511" t="s">
        <v>309</v>
      </c>
      <c r="C823" s="1008"/>
      <c r="D823" s="1327" t="s">
        <v>2479</v>
      </c>
      <c r="E823" s="1327"/>
      <c r="F823" s="1327"/>
      <c r="G823" s="3"/>
    </row>
    <row r="824" spans="1:9" ht="12.75" hidden="1" customHeight="1">
      <c r="A824" s="13"/>
      <c r="B824" s="13"/>
      <c r="C824" s="1008"/>
      <c r="D824" s="1327"/>
      <c r="E824" s="1327"/>
      <c r="F824" s="1327"/>
      <c r="G824" s="3"/>
    </row>
    <row r="825" spans="1:9" ht="12.75" hidden="1" customHeight="1">
      <c r="A825" s="13"/>
      <c r="B825" s="13"/>
      <c r="C825" s="1008"/>
      <c r="D825" s="1327"/>
      <c r="E825" s="1327"/>
      <c r="F825" s="1327"/>
      <c r="G825" s="3"/>
    </row>
    <row r="826" spans="1:9" ht="12.75" hidden="1" customHeight="1">
      <c r="A826" s="13"/>
      <c r="B826" s="13"/>
      <c r="C826" s="1008"/>
      <c r="D826" s="1327"/>
      <c r="E826" s="1327"/>
      <c r="F826" s="1327"/>
      <c r="G826" s="3"/>
    </row>
    <row r="827" spans="1:9" ht="12.75" hidden="1" customHeight="1">
      <c r="A827" s="13"/>
      <c r="B827" s="13"/>
      <c r="C827" s="1008"/>
      <c r="D827" s="1327"/>
      <c r="E827" s="1327"/>
      <c r="F827" s="1327"/>
      <c r="G827" s="3"/>
    </row>
    <row r="828" spans="1:9" ht="12.75" hidden="1" customHeight="1">
      <c r="A828" s="13"/>
      <c r="B828" s="13"/>
      <c r="C828" s="1008"/>
      <c r="D828" s="1327"/>
      <c r="E828" s="1327"/>
      <c r="F828" s="1327"/>
      <c r="G828" s="3"/>
    </row>
    <row r="829" spans="1:9" ht="12.75" hidden="1" customHeight="1">
      <c r="A829" s="13"/>
      <c r="B829" s="13"/>
      <c r="C829" s="1008"/>
      <c r="D829" s="1327"/>
      <c r="E829" s="1327"/>
      <c r="F829" s="1327"/>
      <c r="G829" s="3"/>
    </row>
    <row r="830" spans="1:9" ht="12.75" hidden="1" customHeight="1">
      <c r="A830" s="13"/>
      <c r="B830" s="13"/>
      <c r="C830" s="1008"/>
      <c r="D830" s="1327"/>
      <c r="E830" s="1327"/>
      <c r="F830" s="1327"/>
      <c r="G830" s="3"/>
    </row>
    <row r="831" spans="1:9" ht="12.75" hidden="1" customHeight="1">
      <c r="A831" s="13"/>
      <c r="B831" s="13"/>
      <c r="C831" s="1008"/>
      <c r="D831" s="1327"/>
      <c r="E831" s="1327"/>
      <c r="F831" s="1327"/>
      <c r="G831" s="3"/>
    </row>
    <row r="832" spans="1:9" ht="12.75" hidden="1" customHeight="1">
      <c r="A832" s="13"/>
      <c r="B832" s="13"/>
      <c r="C832" s="1008"/>
      <c r="D832" s="1327"/>
      <c r="E832" s="1327"/>
      <c r="F832" s="1327"/>
      <c r="G832" s="3"/>
    </row>
    <row r="833" spans="1:9" ht="12.75" hidden="1" customHeight="1">
      <c r="A833" s="13"/>
      <c r="B833" s="13"/>
      <c r="C833" s="1008"/>
      <c r="D833" s="1010"/>
      <c r="E833" s="3"/>
      <c r="F833" s="3"/>
      <c r="G833" s="3"/>
    </row>
    <row r="834" spans="1:9" ht="12.75" customHeight="1">
      <c r="A834" s="176"/>
      <c r="B834" s="511" t="s">
        <v>2626</v>
      </c>
      <c r="C834" s="1008"/>
      <c r="D834" s="1259" t="s">
        <v>2028</v>
      </c>
      <c r="E834" s="1259"/>
      <c r="F834" s="1259"/>
      <c r="G834" s="3"/>
      <c r="I834" s="427" t="s">
        <v>2220</v>
      </c>
    </row>
    <row r="835" spans="1:9" ht="12.75" customHeight="1">
      <c r="A835" s="176"/>
      <c r="B835" s="176"/>
      <c r="C835" s="1008"/>
      <c r="D835" s="1259"/>
      <c r="E835" s="1259"/>
      <c r="F835" s="1259"/>
      <c r="G835" s="3"/>
    </row>
    <row r="836" spans="1:9" ht="12.75" customHeight="1">
      <c r="A836" s="176"/>
      <c r="B836" s="176"/>
      <c r="C836" s="1008"/>
      <c r="D836" s="1259"/>
      <c r="E836" s="1259"/>
      <c r="F836" s="1259"/>
      <c r="G836" s="3"/>
    </row>
    <row r="837" spans="1:9" ht="12.75" customHeight="1">
      <c r="A837" s="176"/>
      <c r="B837" s="176"/>
      <c r="C837" s="1008"/>
      <c r="D837" s="118"/>
      <c r="E837" s="3"/>
      <c r="F837" s="3"/>
      <c r="G837" s="3"/>
    </row>
    <row r="838" spans="1:9" ht="12.75" customHeight="1">
      <c r="A838" s="1011"/>
      <c r="B838" s="511" t="s">
        <v>2627</v>
      </c>
      <c r="C838" s="1008"/>
      <c r="D838" s="1292" t="s">
        <v>2029</v>
      </c>
      <c r="E838" s="1292"/>
      <c r="F838" s="1292"/>
      <c r="G838" s="3"/>
    </row>
    <row r="839" spans="1:9" ht="12.75" customHeight="1">
      <c r="A839" s="377"/>
      <c r="B839" s="1011"/>
      <c r="C839" s="1008"/>
      <c r="D839" s="1292"/>
      <c r="E839" s="1292"/>
      <c r="F839" s="1292"/>
      <c r="G839" s="3"/>
    </row>
    <row r="840" spans="1:9" ht="12.75" customHeight="1">
      <c r="A840" s="176"/>
      <c r="B840" s="377"/>
      <c r="C840" s="1008"/>
      <c r="D840" s="1259" t="s">
        <v>2470</v>
      </c>
      <c r="E840" s="1259"/>
      <c r="F840" s="1259"/>
      <c r="G840" s="3"/>
    </row>
    <row r="841" spans="1:9" ht="12.75" customHeight="1">
      <c r="A841" s="176"/>
      <c r="B841" s="176"/>
      <c r="C841" s="1008"/>
      <c r="D841" s="1259"/>
      <c r="E841" s="1259"/>
      <c r="F841" s="1259"/>
      <c r="G841" s="3"/>
    </row>
    <row r="842" spans="1:9" ht="12.75" customHeight="1">
      <c r="A842" s="176"/>
      <c r="B842" s="176"/>
      <c r="C842" s="1008"/>
      <c r="D842" s="1259"/>
      <c r="E842" s="1259"/>
      <c r="F842" s="1259"/>
      <c r="G842" s="3"/>
    </row>
    <row r="843" spans="1:9" ht="12.75" customHeight="1">
      <c r="A843" s="176"/>
      <c r="B843" s="176"/>
      <c r="C843" s="1008"/>
      <c r="D843" s="1259"/>
      <c r="E843" s="1259"/>
      <c r="F843" s="1259"/>
      <c r="G843" s="3"/>
    </row>
    <row r="844" spans="1:9" ht="12.75" customHeight="1">
      <c r="A844" s="176"/>
      <c r="B844" s="176"/>
      <c r="C844" s="1008"/>
      <c r="D844" s="1259"/>
      <c r="E844" s="1259"/>
      <c r="F844" s="1259"/>
      <c r="G844" s="3"/>
    </row>
    <row r="845" spans="1:9" ht="12.75" customHeight="1">
      <c r="A845" s="176"/>
      <c r="B845" s="176"/>
      <c r="C845" s="1008"/>
      <c r="D845" s="1259"/>
      <c r="E845" s="1259"/>
      <c r="F845" s="1259"/>
      <c r="G845" s="3"/>
    </row>
    <row r="846" spans="1:9" ht="12.75" customHeight="1">
      <c r="A846" s="176"/>
      <c r="B846" s="176"/>
      <c r="C846" s="1008"/>
      <c r="D846" s="118"/>
      <c r="E846" s="3"/>
      <c r="F846" s="3"/>
      <c r="G846" s="3"/>
    </row>
    <row r="847" spans="1:9" ht="12.75" customHeight="1">
      <c r="A847" s="176"/>
      <c r="B847" s="511" t="s">
        <v>2627</v>
      </c>
      <c r="C847" s="1008"/>
      <c r="D847" s="1259" t="s">
        <v>2030</v>
      </c>
      <c r="E847" s="1259"/>
      <c r="F847" s="1259"/>
      <c r="G847" s="3"/>
      <c r="I847" s="427" t="s">
        <v>2203</v>
      </c>
    </row>
    <row r="848" spans="1:9" ht="12.75" customHeight="1">
      <c r="A848" s="176"/>
      <c r="B848" s="176"/>
      <c r="C848" s="1008"/>
      <c r="D848" s="1259" t="s">
        <v>2031</v>
      </c>
      <c r="E848" s="1259"/>
      <c r="F848" s="1259"/>
      <c r="G848" s="3"/>
    </row>
    <row r="849" spans="1:9" ht="12.75" customHeight="1">
      <c r="A849" s="176"/>
      <c r="B849" s="176"/>
      <c r="C849" s="1008"/>
      <c r="E849" s="1062" t="s">
        <v>2280</v>
      </c>
      <c r="F849" s="1064"/>
      <c r="G849" s="3"/>
    </row>
    <row r="850" spans="1:9" ht="12.75" customHeight="1">
      <c r="A850" s="176"/>
      <c r="B850" s="176"/>
      <c r="C850" s="1008"/>
      <c r="D850" s="118"/>
      <c r="E850" s="3"/>
      <c r="F850" s="3"/>
      <c r="G850" s="3"/>
    </row>
    <row r="851" spans="1:9" ht="12.75" customHeight="1">
      <c r="A851" s="176"/>
      <c r="B851" s="511" t="s">
        <v>2627</v>
      </c>
      <c r="C851" s="1008"/>
      <c r="D851" s="1259" t="s">
        <v>2032</v>
      </c>
      <c r="E851" s="1259"/>
      <c r="F851" s="1259"/>
      <c r="G851" s="3"/>
      <c r="I851" s="427" t="s">
        <v>2221</v>
      </c>
    </row>
    <row r="852" spans="1:9" ht="12.75" customHeight="1">
      <c r="A852" s="176"/>
      <c r="B852" s="176"/>
      <c r="C852" s="1008"/>
      <c r="D852" s="1259"/>
      <c r="E852" s="1259"/>
      <c r="F852" s="1259"/>
      <c r="G852" s="3"/>
    </row>
    <row r="853" spans="1:9" ht="12.75" customHeight="1">
      <c r="A853" s="176"/>
      <c r="B853" s="176"/>
      <c r="C853" s="1008"/>
      <c r="D853" s="1259"/>
      <c r="E853" s="1259"/>
      <c r="F853" s="1259"/>
      <c r="G853" s="3"/>
    </row>
    <row r="854" spans="1:9" ht="12.75" customHeight="1">
      <c r="A854" s="176"/>
      <c r="B854" s="176"/>
      <c r="C854" s="1008"/>
      <c r="D854" s="1259"/>
      <c r="E854" s="1259"/>
      <c r="F854" s="1259"/>
      <c r="G854" s="3"/>
    </row>
    <row r="855" spans="1:9" ht="12.75" customHeight="1">
      <c r="A855" s="172"/>
      <c r="B855" s="172"/>
      <c r="C855" s="172"/>
      <c r="D855" s="118"/>
      <c r="E855" s="3"/>
      <c r="F855" s="3"/>
      <c r="G855" s="3"/>
    </row>
    <row r="856" spans="1:9" ht="12.75" customHeight="1">
      <c r="A856" s="1002" t="s">
        <v>2033</v>
      </c>
      <c r="B856" s="1002"/>
      <c r="C856" s="1012"/>
      <c r="D856" s="1012"/>
      <c r="E856" s="1012"/>
      <c r="F856" s="1012"/>
      <c r="G856" s="1012"/>
      <c r="H856" s="1053"/>
      <c r="I856" s="1054"/>
    </row>
    <row r="857" spans="1:9" ht="12.75" customHeight="1">
      <c r="A857" s="172"/>
      <c r="B857" s="172"/>
      <c r="C857" s="172"/>
      <c r="D857" s="1013"/>
      <c r="E857" s="3"/>
      <c r="F857" s="3"/>
      <c r="G857" s="3"/>
    </row>
    <row r="858" spans="1:9" ht="12.75" customHeight="1">
      <c r="A858" s="377"/>
      <c r="B858" s="377"/>
      <c r="C858" s="175"/>
      <c r="D858" s="1275" t="s">
        <v>2067</v>
      </c>
      <c r="E858" s="1275"/>
      <c r="F858" s="1275"/>
      <c r="G858" s="1007"/>
    </row>
    <row r="859" spans="1:9" ht="12.75" customHeight="1">
      <c r="A859" s="377"/>
      <c r="B859" s="377"/>
      <c r="C859" s="175"/>
      <c r="D859" s="1326" t="s">
        <v>2034</v>
      </c>
      <c r="E859" s="1326"/>
      <c r="F859" s="1326"/>
      <c r="G859" s="1007"/>
    </row>
    <row r="860" spans="1:9" ht="12.75" customHeight="1">
      <c r="A860" s="377"/>
      <c r="B860" s="377"/>
      <c r="C860" s="175"/>
      <c r="D860" s="1014"/>
      <c r="E860" s="1014"/>
      <c r="F860" s="1014"/>
      <c r="G860" s="1007"/>
    </row>
    <row r="861" spans="1:9" ht="12.75" customHeight="1">
      <c r="A861" s="176"/>
      <c r="B861" s="511" t="s">
        <v>2626</v>
      </c>
      <c r="C861" s="377"/>
      <c r="D861" s="1270" t="s">
        <v>2035</v>
      </c>
      <c r="E861" s="1270"/>
      <c r="F861" s="1270"/>
      <c r="G861" s="1007"/>
      <c r="I861" s="427" t="s">
        <v>2203</v>
      </c>
    </row>
    <row r="862" spans="1:9" ht="12.75" customHeight="1">
      <c r="A862" s="377"/>
      <c r="B862" s="377"/>
      <c r="C862" s="377"/>
      <c r="D862" s="2" t="s">
        <v>2010</v>
      </c>
      <c r="E862" s="1062" t="s">
        <v>2280</v>
      </c>
      <c r="F862" s="1065"/>
      <c r="G862" s="1007"/>
    </row>
    <row r="863" spans="1:9" ht="12.75" customHeight="1">
      <c r="A863" s="377"/>
      <c r="B863" s="377"/>
      <c r="C863" s="377"/>
      <c r="D863" s="118"/>
      <c r="E863" s="1007"/>
      <c r="F863" s="1007"/>
      <c r="G863" s="1007"/>
    </row>
    <row r="864" spans="1:9" ht="12.75" customHeight="1">
      <c r="A864" s="176"/>
      <c r="B864" s="511" t="s">
        <v>2626</v>
      </c>
      <c r="C864" s="377"/>
      <c r="D864" s="1259" t="s">
        <v>2036</v>
      </c>
      <c r="E864" s="1277"/>
      <c r="F864" s="1277"/>
      <c r="G864" s="3"/>
      <c r="I864" s="427" t="s">
        <v>2221</v>
      </c>
    </row>
    <row r="865" spans="1:9" ht="12.75" customHeight="1">
      <c r="A865" s="377"/>
      <c r="B865" s="377"/>
      <c r="C865" s="377"/>
      <c r="D865" s="1277"/>
      <c r="E865" s="1277"/>
      <c r="F865" s="1277"/>
      <c r="G865" s="3"/>
    </row>
    <row r="866" spans="1:9" ht="12.75" customHeight="1">
      <c r="A866" s="377"/>
      <c r="B866" s="377"/>
      <c r="C866" s="377"/>
      <c r="D866" s="118"/>
      <c r="E866" s="3"/>
      <c r="F866" s="3"/>
      <c r="G866" s="3"/>
    </row>
    <row r="867" spans="1:9" ht="12.75" customHeight="1">
      <c r="A867" s="377"/>
      <c r="B867" s="511" t="s">
        <v>2627</v>
      </c>
      <c r="C867" s="377"/>
      <c r="D867" s="1324" t="s">
        <v>2037</v>
      </c>
      <c r="E867" s="1324"/>
      <c r="F867" s="1324"/>
      <c r="G867" s="1007"/>
    </row>
    <row r="868" spans="1:9" ht="12.75" customHeight="1">
      <c r="A868" s="377"/>
      <c r="B868" s="1015"/>
      <c r="C868" s="377"/>
      <c r="D868" s="1324"/>
      <c r="E868" s="1324"/>
      <c r="F868" s="1324"/>
      <c r="G868" s="1007"/>
    </row>
    <row r="869" spans="1:9" ht="12.75" customHeight="1">
      <c r="A869" s="176"/>
      <c r="B869"/>
      <c r="C869" s="377"/>
      <c r="D869" s="1259" t="s">
        <v>2470</v>
      </c>
      <c r="E869" s="1259"/>
      <c r="F869" s="1259"/>
      <c r="G869" s="1007"/>
    </row>
    <row r="870" spans="1:9" ht="12.75" customHeight="1">
      <c r="A870" s="176"/>
      <c r="B870" s="176"/>
      <c r="C870" s="377"/>
      <c r="D870" s="1259"/>
      <c r="E870" s="1259"/>
      <c r="F870" s="1259"/>
      <c r="G870" s="1007"/>
    </row>
    <row r="871" spans="1:9" ht="12.75" customHeight="1">
      <c r="A871" s="176"/>
      <c r="B871" s="176"/>
      <c r="C871" s="377"/>
      <c r="D871" s="1259"/>
      <c r="E871" s="1259"/>
      <c r="F871" s="1259"/>
      <c r="G871" s="1007"/>
    </row>
    <row r="872" spans="1:9" ht="12.75" customHeight="1">
      <c r="A872" s="176"/>
      <c r="B872" s="176"/>
      <c r="C872" s="377"/>
      <c r="D872" s="1259"/>
      <c r="E872" s="1259"/>
      <c r="F872" s="1259"/>
      <c r="G872" s="1007"/>
    </row>
    <row r="873" spans="1:9" ht="12.75" customHeight="1">
      <c r="A873" s="176"/>
      <c r="B873" s="176"/>
      <c r="C873" s="377"/>
      <c r="D873" s="1259"/>
      <c r="E873" s="1259"/>
      <c r="F873" s="1259"/>
      <c r="G873" s="1007"/>
    </row>
    <row r="874" spans="1:9" ht="12.75" customHeight="1">
      <c r="A874" s="176"/>
      <c r="B874" s="176"/>
      <c r="C874" s="377"/>
      <c r="D874" s="1259"/>
      <c r="E874" s="1259"/>
      <c r="F874" s="1259"/>
      <c r="G874" s="1007"/>
    </row>
    <row r="875" spans="1:9" ht="12.75" customHeight="1">
      <c r="A875" s="176"/>
      <c r="B875" s="176"/>
      <c r="C875" s="377"/>
      <c r="D875" s="118"/>
      <c r="E875" s="1007"/>
      <c r="F875" s="1007"/>
      <c r="G875" s="1007"/>
    </row>
    <row r="876" spans="1:9" ht="12.75" customHeight="1">
      <c r="A876" s="176"/>
      <c r="B876" s="511" t="s">
        <v>2627</v>
      </c>
      <c r="C876" s="377"/>
      <c r="D876" s="1302" t="s">
        <v>2030</v>
      </c>
      <c r="E876" s="1302"/>
      <c r="F876" s="1302"/>
      <c r="G876" s="1007"/>
      <c r="I876" s="427" t="s">
        <v>2203</v>
      </c>
    </row>
    <row r="877" spans="1:9" ht="12.75" customHeight="1">
      <c r="A877" s="176"/>
      <c r="B877" s="176"/>
      <c r="C877" s="377"/>
      <c r="D877" s="1302" t="s">
        <v>2031</v>
      </c>
      <c r="E877" s="1302"/>
      <c r="F877" s="1302"/>
      <c r="G877" s="1007"/>
    </row>
    <row r="878" spans="1:9" ht="12.75" customHeight="1">
      <c r="A878" s="176"/>
      <c r="B878" s="176"/>
      <c r="C878" s="377"/>
      <c r="D878" s="2" t="s">
        <v>1429</v>
      </c>
      <c r="E878" s="1062" t="s">
        <v>2280</v>
      </c>
      <c r="F878" s="1066"/>
      <c r="G878" s="1007"/>
    </row>
    <row r="879" spans="1:9" ht="12.75" customHeight="1">
      <c r="A879" s="176"/>
      <c r="B879" s="176"/>
      <c r="C879" s="377"/>
      <c r="D879" s="118"/>
      <c r="E879" s="1007"/>
      <c r="F879" s="1007"/>
      <c r="G879" s="1007"/>
    </row>
    <row r="880" spans="1:9" ht="12.75" customHeight="1">
      <c r="A880" s="176"/>
      <c r="B880" s="511" t="s">
        <v>2627</v>
      </c>
      <c r="C880" s="377"/>
      <c r="D880" s="1259" t="s">
        <v>2032</v>
      </c>
      <c r="E880" s="1259"/>
      <c r="F880" s="1259"/>
      <c r="G880" s="1007"/>
      <c r="I880" s="427" t="s">
        <v>2221</v>
      </c>
    </row>
    <row r="881" spans="1:9" ht="12.75" customHeight="1">
      <c r="A881" s="176"/>
      <c r="B881" s="176"/>
      <c r="C881" s="377"/>
      <c r="D881" s="1259"/>
      <c r="E881" s="1259"/>
      <c r="F881" s="1259"/>
      <c r="G881" s="1007"/>
    </row>
    <row r="882" spans="1:9" ht="12.75" customHeight="1">
      <c r="A882" s="176"/>
      <c r="B882" s="176"/>
      <c r="C882" s="377"/>
      <c r="D882" s="1259"/>
      <c r="E882" s="1259"/>
      <c r="F882" s="1259"/>
      <c r="G882" s="1007"/>
    </row>
    <row r="883" spans="1:9" ht="12.75" customHeight="1">
      <c r="A883" s="176"/>
      <c r="B883" s="176"/>
      <c r="C883" s="377"/>
      <c r="D883" s="1259"/>
      <c r="E883" s="1259"/>
      <c r="F883" s="1259"/>
      <c r="G883" s="1007"/>
    </row>
    <row r="884" spans="1:9" ht="12.75" customHeight="1">
      <c r="A884" s="118"/>
      <c r="B884" s="118"/>
      <c r="C884" s="1008"/>
      <c r="D884" s="1007"/>
      <c r="E884" s="1007"/>
      <c r="F884" s="1007"/>
      <c r="G884" s="1007"/>
    </row>
    <row r="885" spans="1:9" ht="12.75" customHeight="1">
      <c r="A885" s="1304" t="s">
        <v>2068</v>
      </c>
      <c r="B885" s="1304"/>
      <c r="C885" s="1304"/>
      <c r="D885" s="1304"/>
      <c r="E885" s="1304"/>
      <c r="F885" s="1304"/>
      <c r="G885" s="1304"/>
      <c r="H885" s="1053"/>
      <c r="I885" s="1054"/>
    </row>
    <row r="886" spans="1:9" ht="12.75" customHeight="1">
      <c r="A886" s="57"/>
      <c r="B886" s="57"/>
      <c r="C886" s="57"/>
      <c r="D886" s="57"/>
      <c r="E886" s="57"/>
      <c r="F886" s="57"/>
      <c r="G886" s="57"/>
    </row>
    <row r="887" spans="1:9" ht="12.75" customHeight="1">
      <c r="A887" s="57"/>
      <c r="B887" s="57"/>
      <c r="C887" s="57"/>
      <c r="D887" s="1298" t="s">
        <v>2074</v>
      </c>
      <c r="E887" s="1298"/>
      <c r="F887" s="1298"/>
      <c r="G887" s="57"/>
    </row>
    <row r="888" spans="1:9" ht="12.75" customHeight="1">
      <c r="A888" s="57"/>
      <c r="B888" s="57"/>
      <c r="C888" s="57"/>
      <c r="D888" s="1000"/>
      <c r="E888" s="1000"/>
      <c r="F888" s="1000"/>
      <c r="G888" s="57"/>
    </row>
    <row r="889" spans="1:9" ht="12.75" customHeight="1">
      <c r="A889" s="57"/>
      <c r="B889" s="511" t="s">
        <v>2626</v>
      </c>
      <c r="C889" s="57"/>
      <c r="D889" s="1003" t="s">
        <v>2075</v>
      </c>
      <c r="E889" s="1000"/>
      <c r="F889" s="1000"/>
      <c r="G889" s="57"/>
      <c r="I889" s="427" t="s">
        <v>2235</v>
      </c>
    </row>
    <row r="890" spans="1:9" ht="12.75" customHeight="1">
      <c r="A890" s="57"/>
      <c r="B890" s="57"/>
      <c r="C890" s="57"/>
      <c r="D890" s="1000"/>
      <c r="E890" s="1000"/>
      <c r="F890" s="1000"/>
      <c r="G890" s="57"/>
    </row>
    <row r="891" spans="1:9" ht="12.75" customHeight="1">
      <c r="A891" s="377"/>
      <c r="B891" s="377"/>
      <c r="C891" s="1008"/>
      <c r="D891" s="1298" t="s">
        <v>2069</v>
      </c>
      <c r="E891" s="1298"/>
      <c r="F891" s="1298"/>
      <c r="G891" s="1007"/>
    </row>
    <row r="892" spans="1:9" ht="12.75" customHeight="1">
      <c r="A892" s="172"/>
      <c r="B892" s="172"/>
      <c r="C892" s="172"/>
      <c r="D892" s="1270" t="s">
        <v>2038</v>
      </c>
      <c r="E892" s="1270"/>
      <c r="F892" s="1270"/>
      <c r="G892" s="1007"/>
    </row>
    <row r="893" spans="1:9" ht="12.75" customHeight="1">
      <c r="A893" s="1008"/>
      <c r="B893" s="1008"/>
      <c r="C893" s="1008"/>
      <c r="D893" s="2"/>
      <c r="E893" s="1007"/>
      <c r="F893" s="1007"/>
      <c r="G893" s="1007"/>
    </row>
    <row r="894" spans="1:9" ht="12.75" customHeight="1">
      <c r="A894" s="176"/>
      <c r="B894" s="511" t="s">
        <v>2626</v>
      </c>
      <c r="C894" s="377"/>
      <c r="D894" s="1259" t="s">
        <v>2042</v>
      </c>
      <c r="E894" s="1259"/>
      <c r="F894" s="1259"/>
      <c r="G894" s="3"/>
      <c r="I894" s="427" t="s">
        <v>2187</v>
      </c>
    </row>
    <row r="895" spans="1:9" ht="12.75" customHeight="1">
      <c r="A895" s="377"/>
      <c r="B895" s="377"/>
      <c r="C895" s="377"/>
      <c r="D895" s="1259"/>
      <c r="E895" s="1259"/>
      <c r="F895" s="1259"/>
      <c r="G895" s="3"/>
    </row>
    <row r="896" spans="1:9" ht="12.75" customHeight="1">
      <c r="A896" s="172"/>
      <c r="B896" s="172"/>
      <c r="C896" s="172"/>
      <c r="D896" s="1259" t="s">
        <v>2041</v>
      </c>
      <c r="E896" s="1259"/>
      <c r="F896" s="1259"/>
      <c r="G896" s="1007"/>
    </row>
    <row r="897" spans="1:9" ht="12.75" customHeight="1">
      <c r="A897" s="172"/>
      <c r="B897" s="172"/>
      <c r="C897" s="172"/>
      <c r="D897" s="1259"/>
      <c r="E897" s="1259"/>
      <c r="F897" s="1259"/>
      <c r="G897" s="1007"/>
    </row>
    <row r="898" spans="1:9" ht="12.75" customHeight="1">
      <c r="A898" s="172"/>
      <c r="B898" s="172"/>
      <c r="C898" s="172"/>
      <c r="D898" s="3"/>
      <c r="E898" s="3"/>
      <c r="F898" s="1007"/>
      <c r="G898" s="1007"/>
    </row>
    <row r="899" spans="1:9" ht="12.75" customHeight="1">
      <c r="A899" s="176"/>
      <c r="B899" s="511" t="s">
        <v>2626</v>
      </c>
      <c r="C899" s="175"/>
      <c r="D899" s="1269" t="s">
        <v>2039</v>
      </c>
      <c r="E899" s="1269"/>
      <c r="F899" s="1269"/>
      <c r="G899" s="1007"/>
      <c r="I899" s="427" t="s">
        <v>2186</v>
      </c>
    </row>
    <row r="900" spans="1:9" ht="12.75" customHeight="1">
      <c r="A900" s="176"/>
      <c r="B900" s="176"/>
      <c r="C900" s="175"/>
      <c r="D900" s="1269"/>
      <c r="E900" s="1269"/>
      <c r="F900" s="1269"/>
      <c r="G900" s="1007"/>
    </row>
    <row r="901" spans="1:9" ht="12.75" customHeight="1">
      <c r="A901" s="176"/>
      <c r="B901" s="176"/>
      <c r="C901" s="175"/>
      <c r="D901" s="1269"/>
      <c r="E901" s="1269"/>
      <c r="F901" s="1269"/>
      <c r="G901" s="1007"/>
    </row>
    <row r="902" spans="1:9" ht="12.75" customHeight="1">
      <c r="A902" s="176"/>
      <c r="B902" s="176"/>
      <c r="C902" s="175"/>
      <c r="D902" s="1269"/>
      <c r="E902" s="1269"/>
      <c r="F902" s="1269"/>
      <c r="G902" s="1007"/>
    </row>
    <row r="903" spans="1:9" ht="12.75" customHeight="1">
      <c r="A903" s="176"/>
      <c r="B903" s="176"/>
      <c r="C903" s="175"/>
      <c r="D903" s="1269"/>
      <c r="E903" s="1269"/>
      <c r="F903" s="1269"/>
      <c r="G903" s="1007"/>
    </row>
    <row r="904" spans="1:9" ht="12.75" customHeight="1">
      <c r="A904" s="175"/>
      <c r="B904" s="175"/>
      <c r="C904" s="175"/>
      <c r="D904" s="1269"/>
      <c r="E904" s="1269"/>
      <c r="F904" s="1269"/>
      <c r="G904" s="1007"/>
    </row>
    <row r="905" spans="1:9" ht="12.75" customHeight="1">
      <c r="A905" s="175"/>
      <c r="B905" s="175"/>
      <c r="C905" s="175"/>
      <c r="D905" s="1269"/>
      <c r="E905" s="1269"/>
      <c r="F905" s="1269"/>
      <c r="G905" s="1007"/>
    </row>
    <row r="906" spans="1:9" ht="12.75" customHeight="1">
      <c r="A906" s="175"/>
      <c r="B906" s="175"/>
      <c r="C906" s="175"/>
      <c r="D906" s="1269"/>
      <c r="E906" s="1269"/>
      <c r="F906" s="1269"/>
      <c r="G906" s="1007"/>
    </row>
    <row r="907" spans="1:9" ht="12.75" customHeight="1">
      <c r="A907" s="175"/>
      <c r="B907" s="175"/>
      <c r="C907" s="175"/>
      <c r="D907" s="355"/>
      <c r="E907" s="355"/>
      <c r="F907" s="355"/>
      <c r="G907" s="1007"/>
    </row>
    <row r="908" spans="1:9" ht="12.75" customHeight="1">
      <c r="A908" s="1008"/>
      <c r="B908" s="511" t="s">
        <v>2627</v>
      </c>
      <c r="C908" s="1008"/>
      <c r="D908" s="1259" t="s">
        <v>2043</v>
      </c>
      <c r="E908" s="1259"/>
      <c r="F908" s="1259"/>
      <c r="G908" s="1007"/>
    </row>
    <row r="909" spans="1:9" ht="12.75" customHeight="1">
      <c r="A909" s="1008"/>
      <c r="B909" s="1008"/>
      <c r="C909" s="1008"/>
      <c r="D909" s="1259"/>
      <c r="E909" s="1259"/>
      <c r="F909" s="1259"/>
      <c r="G909" s="1007"/>
    </row>
    <row r="910" spans="1:9" ht="12.75" customHeight="1">
      <c r="A910" s="1008"/>
      <c r="B910" s="1008"/>
      <c r="C910" s="1008"/>
      <c r="D910" s="1007"/>
      <c r="E910" s="1007"/>
      <c r="F910" s="1007"/>
      <c r="G910" s="1007"/>
    </row>
    <row r="911" spans="1:9" ht="12.75" customHeight="1">
      <c r="A911" s="1008"/>
      <c r="B911" s="511" t="s">
        <v>2627</v>
      </c>
      <c r="C911" s="1008"/>
      <c r="D911" s="1296" t="s">
        <v>2044</v>
      </c>
      <c r="E911" s="1296"/>
      <c r="F911" s="1296"/>
      <c r="G911" s="1007"/>
    </row>
    <row r="912" spans="1:9" ht="12.75" customHeight="1">
      <c r="A912" s="1008"/>
      <c r="B912" s="1008"/>
      <c r="C912" s="1008"/>
      <c r="D912" s="1296"/>
      <c r="E912" s="1296"/>
      <c r="F912" s="1296"/>
      <c r="G912" s="1007"/>
    </row>
    <row r="913" spans="1:9" ht="12.75" customHeight="1">
      <c r="A913" s="1008"/>
      <c r="B913" s="1008"/>
      <c r="C913" s="1008"/>
      <c r="D913" s="1296"/>
      <c r="E913" s="1296"/>
      <c r="F913" s="1296"/>
      <c r="G913" s="1007"/>
    </row>
    <row r="914" spans="1:9" ht="12.75" customHeight="1">
      <c r="A914" s="1008"/>
      <c r="B914" s="1008"/>
      <c r="C914" s="1008"/>
      <c r="D914" s="1296"/>
      <c r="E914" s="1296"/>
      <c r="F914" s="1296"/>
      <c r="G914" s="1007"/>
    </row>
    <row r="915" spans="1:9" ht="12.75" customHeight="1">
      <c r="A915" s="1008"/>
      <c r="B915" s="1008"/>
      <c r="C915" s="1008"/>
      <c r="D915" s="118"/>
      <c r="E915" s="1007"/>
      <c r="F915" s="1007"/>
      <c r="G915" s="1007"/>
    </row>
    <row r="916" spans="1:9" ht="12.75" customHeight="1">
      <c r="A916" s="1008"/>
      <c r="B916" s="511" t="s">
        <v>2627</v>
      </c>
      <c r="C916" s="1008"/>
      <c r="D916" s="1270" t="s">
        <v>2471</v>
      </c>
      <c r="E916" s="1270"/>
      <c r="F916" s="1270"/>
      <c r="G916" s="1007"/>
    </row>
    <row r="917" spans="1:9" ht="12.75" customHeight="1">
      <c r="A917" s="1008"/>
      <c r="B917" s="1008"/>
      <c r="C917" s="1008"/>
      <c r="D917" s="118"/>
      <c r="E917" s="1007"/>
      <c r="F917" s="1007"/>
      <c r="G917" s="1007"/>
    </row>
    <row r="918" spans="1:9" ht="12.75" customHeight="1">
      <c r="A918" s="1008"/>
      <c r="B918" s="511" t="s">
        <v>2627</v>
      </c>
      <c r="C918" s="1008"/>
      <c r="D918" s="1270" t="s">
        <v>2472</v>
      </c>
      <c r="E918" s="1270"/>
      <c r="F918" s="1270"/>
      <c r="G918" s="1007"/>
    </row>
    <row r="919" spans="1:9" ht="12.75" customHeight="1">
      <c r="A919" s="175"/>
      <c r="B919" s="175"/>
      <c r="C919" s="175"/>
      <c r="D919" s="2"/>
      <c r="E919" s="3"/>
      <c r="F919" s="1007"/>
      <c r="G919" s="1007"/>
    </row>
    <row r="920" spans="1:9" ht="12.75" customHeight="1">
      <c r="A920" s="1016"/>
      <c r="B920" s="511" t="s">
        <v>2626</v>
      </c>
      <c r="C920" s="1017"/>
      <c r="D920" s="1269" t="s">
        <v>2040</v>
      </c>
      <c r="E920" s="1269"/>
      <c r="F920" s="1269"/>
      <c r="G920" s="1018"/>
      <c r="I920" s="427" t="s">
        <v>2236</v>
      </c>
    </row>
    <row r="921" spans="1:9" ht="12.75" customHeight="1">
      <c r="A921" s="1016"/>
      <c r="B921" s="1016"/>
      <c r="C921" s="1017"/>
      <c r="D921" s="1269"/>
      <c r="E921" s="1269"/>
      <c r="F921" s="1269"/>
      <c r="G921" s="1018"/>
    </row>
    <row r="922" spans="1:9" ht="12.75" customHeight="1">
      <c r="A922" s="1016"/>
      <c r="B922" s="1016"/>
      <c r="C922" s="1017"/>
      <c r="D922" s="1269"/>
      <c r="E922" s="1269"/>
      <c r="F922" s="1269"/>
      <c r="G922" s="1018"/>
    </row>
    <row r="923" spans="1:9" ht="12.75" customHeight="1">
      <c r="A923" s="1016"/>
      <c r="B923" s="1016"/>
      <c r="C923" s="1017"/>
      <c r="D923" s="1269"/>
      <c r="E923" s="1269"/>
      <c r="F923" s="1269"/>
      <c r="G923" s="1018"/>
    </row>
    <row r="924" spans="1:9" ht="12.75" customHeight="1">
      <c r="A924" s="1016"/>
      <c r="B924" s="1016"/>
      <c r="C924" s="1017"/>
      <c r="D924" s="1269"/>
      <c r="E924" s="1269"/>
      <c r="F924" s="1269"/>
      <c r="G924" s="1018"/>
    </row>
    <row r="925" spans="1:9" ht="12.75" customHeight="1">
      <c r="A925" s="1016"/>
      <c r="B925" s="1016"/>
      <c r="C925" s="1017"/>
      <c r="D925" s="1269"/>
      <c r="E925" s="1269"/>
      <c r="F925" s="1269"/>
      <c r="G925" s="1018"/>
    </row>
    <row r="926" spans="1:9" ht="12.75" customHeight="1">
      <c r="A926" s="1016"/>
      <c r="B926" s="1016"/>
      <c r="C926" s="1017"/>
      <c r="D926" s="1269"/>
      <c r="E926" s="1269"/>
      <c r="F926" s="1269"/>
      <c r="G926" s="1018"/>
    </row>
    <row r="927" spans="1:9" ht="12.75" customHeight="1">
      <c r="A927" s="1016"/>
      <c r="B927" s="1016"/>
      <c r="C927" s="1017"/>
      <c r="D927" s="1269"/>
      <c r="E927" s="1269"/>
      <c r="F927" s="1269"/>
      <c r="G927" s="1018"/>
    </row>
    <row r="928" spans="1:9" ht="12.75" customHeight="1">
      <c r="A928" s="1016"/>
      <c r="B928" s="1016"/>
      <c r="C928" s="1017"/>
      <c r="D928" s="1269"/>
      <c r="E928" s="1269"/>
      <c r="F928" s="1269"/>
      <c r="G928" s="1018"/>
    </row>
    <row r="929" spans="1:9" ht="12.75" customHeight="1">
      <c r="A929" s="175"/>
      <c r="B929" s="175"/>
      <c r="C929" s="175"/>
      <c r="D929" s="2"/>
      <c r="E929" s="3"/>
      <c r="F929" s="1007"/>
      <c r="G929" s="1007"/>
    </row>
    <row r="930" spans="1:9" ht="12.75" customHeight="1">
      <c r="A930" s="176"/>
      <c r="B930" s="511" t="s">
        <v>2626</v>
      </c>
      <c r="C930" s="175"/>
      <c r="D930" s="1325" t="s">
        <v>2238</v>
      </c>
      <c r="E930" s="1325"/>
      <c r="F930" s="1325"/>
      <c r="G930" s="1007"/>
      <c r="I930" s="427" t="s">
        <v>2236</v>
      </c>
    </row>
    <row r="931" spans="1:9" ht="12.75" customHeight="1">
      <c r="A931" s="176"/>
      <c r="B931" s="176"/>
      <c r="C931" s="175"/>
      <c r="D931" s="1325"/>
      <c r="E931" s="1325"/>
      <c r="F931" s="1325"/>
      <c r="G931" s="1007"/>
    </row>
    <row r="932" spans="1:9" ht="12.75" customHeight="1">
      <c r="A932" s="176"/>
      <c r="B932" s="176"/>
      <c r="C932" s="175"/>
      <c r="D932" s="1325"/>
      <c r="E932" s="1325"/>
      <c r="F932" s="1325"/>
      <c r="G932" s="1007"/>
    </row>
    <row r="933" spans="1:9" ht="12.75" customHeight="1">
      <c r="A933" s="176"/>
      <c r="B933" s="176"/>
      <c r="C933" s="175"/>
      <c r="D933" s="1325"/>
      <c r="E933" s="1325"/>
      <c r="F933" s="1325"/>
      <c r="G933" s="1007"/>
    </row>
    <row r="934" spans="1:9" ht="12.75" customHeight="1">
      <c r="A934" s="176"/>
      <c r="B934" s="176"/>
      <c r="C934" s="175"/>
      <c r="D934" s="1325"/>
      <c r="E934" s="1325"/>
      <c r="F934" s="1325"/>
      <c r="G934" s="1007"/>
    </row>
    <row r="935" spans="1:9" ht="12.75" customHeight="1">
      <c r="A935" s="176"/>
      <c r="B935" s="176"/>
      <c r="C935" s="175"/>
      <c r="D935" s="1325"/>
      <c r="E935" s="1325"/>
      <c r="F935" s="1325"/>
      <c r="G935" s="1007"/>
    </row>
    <row r="936" spans="1:9" ht="12.75" customHeight="1">
      <c r="A936" s="176"/>
      <c r="B936" s="176"/>
      <c r="C936" s="175"/>
      <c r="D936" s="1325"/>
      <c r="E936" s="1325"/>
      <c r="F936" s="1325"/>
      <c r="G936" s="1007"/>
    </row>
    <row r="937" spans="1:9" ht="12.75" customHeight="1">
      <c r="A937" s="176"/>
      <c r="B937" s="176"/>
      <c r="C937" s="175"/>
      <c r="D937" s="1049"/>
      <c r="E937" s="1049"/>
      <c r="F937" s="1049"/>
      <c r="G937" s="1007"/>
    </row>
    <row r="938" spans="1:9" ht="12.75" customHeight="1">
      <c r="A938" s="176"/>
      <c r="B938" s="511" t="s">
        <v>2626</v>
      </c>
      <c r="C938" s="175"/>
      <c r="D938" s="1268" t="s">
        <v>2566</v>
      </c>
      <c r="E938" s="1268"/>
      <c r="F938" s="1268"/>
      <c r="G938" s="1007"/>
    </row>
    <row r="939" spans="1:9" ht="12.75" customHeight="1">
      <c r="A939" s="176"/>
      <c r="B939" s="176"/>
      <c r="C939" s="175"/>
      <c r="D939" s="1268"/>
      <c r="E939" s="1268"/>
      <c r="F939" s="1268"/>
      <c r="G939" s="1007"/>
    </row>
    <row r="940" spans="1:9" ht="12.75" customHeight="1">
      <c r="A940" s="176"/>
      <c r="B940" s="176"/>
      <c r="C940" s="175"/>
      <c r="D940" s="1268"/>
      <c r="E940" s="1268"/>
      <c r="F940" s="1268"/>
      <c r="G940" s="1007"/>
    </row>
    <row r="941" spans="1:9" ht="12.75" customHeight="1">
      <c r="A941" s="176"/>
      <c r="B941" s="176"/>
      <c r="C941" s="175"/>
      <c r="D941" s="1268"/>
      <c r="E941" s="1268"/>
      <c r="F941" s="1268"/>
      <c r="G941" s="1007"/>
    </row>
    <row r="942" spans="1:9" ht="12.75" customHeight="1">
      <c r="A942" s="176"/>
      <c r="B942" s="176"/>
      <c r="C942" s="175"/>
      <c r="D942" s="1268"/>
      <c r="E942" s="1268"/>
      <c r="F942" s="1268"/>
      <c r="G942" s="1007"/>
    </row>
    <row r="943" spans="1:9" ht="12.75" customHeight="1">
      <c r="A943" s="176"/>
      <c r="B943" s="176"/>
      <c r="C943" s="175"/>
      <c r="D943" s="1268"/>
      <c r="E943" s="1268"/>
      <c r="F943" s="1268"/>
      <c r="G943" s="1007"/>
    </row>
    <row r="944" spans="1:9" ht="12.75" customHeight="1">
      <c r="A944" s="176"/>
      <c r="B944" s="176"/>
      <c r="C944" s="175"/>
      <c r="D944" s="1049"/>
      <c r="E944" s="1049"/>
      <c r="F944" s="1049"/>
      <c r="G944" s="1007"/>
    </row>
    <row r="945" spans="1:9" ht="12.75" customHeight="1">
      <c r="A945" s="1008"/>
      <c r="B945" s="511" t="s">
        <v>2627</v>
      </c>
      <c r="C945" s="1008"/>
      <c r="D945" s="1296" t="s">
        <v>2045</v>
      </c>
      <c r="E945" s="1296"/>
      <c r="F945" s="1296"/>
      <c r="G945" s="1007"/>
    </row>
    <row r="946" spans="1:9" ht="12.75" customHeight="1">
      <c r="A946" s="1008"/>
      <c r="B946" s="1008"/>
      <c r="C946" s="1008"/>
      <c r="D946" s="1296"/>
      <c r="E946" s="1296"/>
      <c r="F946" s="1296"/>
      <c r="G946" s="1007"/>
    </row>
    <row r="947" spans="1:9" ht="12.75" customHeight="1">
      <c r="A947" s="1008"/>
      <c r="B947" s="1008"/>
      <c r="C947" s="1008"/>
      <c r="D947" s="1296"/>
      <c r="E947" s="1296"/>
      <c r="F947" s="1296"/>
      <c r="G947" s="1007"/>
    </row>
    <row r="948" spans="1:9" ht="12.75" customHeight="1">
      <c r="A948" s="176"/>
      <c r="B948" s="176"/>
      <c r="C948" s="175"/>
      <c r="D948" s="1049"/>
      <c r="E948" s="1049"/>
      <c r="F948" s="1049"/>
      <c r="G948" s="1007"/>
    </row>
    <row r="949" spans="1:9" ht="12.75" customHeight="1">
      <c r="A949" s="176"/>
      <c r="B949" s="176"/>
      <c r="C949" s="175"/>
      <c r="D949" s="871"/>
      <c r="E949" s="3"/>
      <c r="F949" s="1007"/>
      <c r="G949" s="1007"/>
    </row>
    <row r="950" spans="1:9" ht="12.75" customHeight="1">
      <c r="A950" s="176"/>
      <c r="B950" s="511" t="s">
        <v>2627</v>
      </c>
      <c r="C950" s="175"/>
      <c r="D950" s="1269" t="s">
        <v>2237</v>
      </c>
      <c r="E950" s="1269"/>
      <c r="F950" s="1269"/>
      <c r="G950" s="1007"/>
      <c r="I950" s="427" t="s">
        <v>2236</v>
      </c>
    </row>
    <row r="951" spans="1:9" ht="12.75" customHeight="1">
      <c r="A951" s="176"/>
      <c r="B951" s="176"/>
      <c r="C951" s="175"/>
      <c r="D951" s="1269"/>
      <c r="E951" s="1269"/>
      <c r="F951" s="1269"/>
      <c r="G951" s="1007"/>
    </row>
    <row r="952" spans="1:9" ht="12.75" customHeight="1">
      <c r="A952" s="176"/>
      <c r="B952" s="176"/>
      <c r="C952" s="175"/>
      <c r="D952" s="1269"/>
      <c r="E952" s="1269"/>
      <c r="F952" s="1269"/>
      <c r="G952" s="1007"/>
    </row>
    <row r="953" spans="1:9" ht="12.75" customHeight="1">
      <c r="A953" s="176"/>
      <c r="B953" s="176"/>
      <c r="C953" s="175"/>
      <c r="D953" s="1269"/>
      <c r="E953" s="1269"/>
      <c r="F953" s="1269"/>
      <c r="G953" s="1007"/>
    </row>
    <row r="954" spans="1:9" ht="12.75" customHeight="1">
      <c r="A954" s="1008"/>
      <c r="B954" s="1008"/>
      <c r="C954" s="1008"/>
      <c r="D954" s="999"/>
      <c r="E954" s="999"/>
      <c r="F954" s="999"/>
      <c r="G954" s="999"/>
    </row>
    <row r="955" spans="1:9" ht="12.75" customHeight="1">
      <c r="A955" s="377"/>
      <c r="B955" s="377"/>
      <c r="C955" s="377"/>
      <c r="D955" s="1275" t="s">
        <v>2046</v>
      </c>
      <c r="E955" s="1275"/>
      <c r="F955" s="1275"/>
      <c r="G955" s="3"/>
    </row>
    <row r="956" spans="1:9" ht="12.75" customHeight="1">
      <c r="A956" s="176"/>
      <c r="B956" s="511" t="s">
        <v>2627</v>
      </c>
      <c r="C956" s="377"/>
      <c r="D956" s="1270" t="s">
        <v>2070</v>
      </c>
      <c r="E956" s="1270"/>
      <c r="F956" s="1270"/>
      <c r="G956" s="3"/>
      <c r="I956" s="427" t="s">
        <v>2236</v>
      </c>
    </row>
    <row r="957" spans="1:9" ht="12.75" customHeight="1">
      <c r="A957" s="377"/>
      <c r="B957" s="377"/>
      <c r="C957" s="377"/>
      <c r="D957" s="3"/>
      <c r="E957" s="3"/>
      <c r="F957" s="3"/>
      <c r="G957" s="3"/>
    </row>
    <row r="958" spans="1:9" ht="12.75" customHeight="1">
      <c r="A958" s="377"/>
      <c r="B958" s="377"/>
      <c r="C958" s="377"/>
      <c r="D958" s="1275" t="s">
        <v>2047</v>
      </c>
      <c r="E958" s="1275"/>
      <c r="F958" s="1275"/>
      <c r="G958"/>
    </row>
    <row r="959" spans="1:9" ht="12.75" customHeight="1">
      <c r="A959" s="176"/>
      <c r="B959" s="511" t="s">
        <v>2627</v>
      </c>
      <c r="C959" s="377"/>
      <c r="D959" s="1259" t="s">
        <v>2473</v>
      </c>
      <c r="E959" s="1259"/>
      <c r="F959" s="1259"/>
      <c r="G959"/>
      <c r="I959" s="427" t="s">
        <v>2236</v>
      </c>
    </row>
    <row r="960" spans="1:9" ht="12.75" customHeight="1">
      <c r="A960" s="176"/>
      <c r="B960" s="176"/>
      <c r="C960" s="377"/>
      <c r="D960" s="1259"/>
      <c r="E960" s="1259"/>
      <c r="F960" s="1259"/>
      <c r="G960"/>
    </row>
    <row r="961" spans="1:9" ht="12.75" customHeight="1">
      <c r="A961" s="176"/>
      <c r="B961" s="176"/>
      <c r="C961" s="377"/>
      <c r="D961" s="1259"/>
      <c r="E961" s="1259"/>
      <c r="F961" s="1259"/>
      <c r="G961"/>
    </row>
    <row r="962" spans="1:9" ht="12.75" customHeight="1">
      <c r="A962" s="176"/>
      <c r="B962" s="176"/>
      <c r="C962" s="377"/>
      <c r="D962" s="1259"/>
      <c r="E962" s="1259"/>
      <c r="F962" s="1259"/>
      <c r="G962"/>
    </row>
    <row r="963" spans="1:9" ht="12.75" customHeight="1">
      <c r="A963" s="176"/>
      <c r="B963" s="176"/>
      <c r="C963" s="377"/>
      <c r="D963" s="1259"/>
      <c r="E963" s="1259"/>
      <c r="F963" s="1259"/>
      <c r="G963"/>
    </row>
    <row r="964" spans="1:9" ht="12.75" customHeight="1">
      <c r="A964" s="176"/>
      <c r="B964" s="176"/>
      <c r="C964" s="377"/>
      <c r="D964" s="1259"/>
      <c r="E964" s="1259"/>
      <c r="F964" s="1259"/>
      <c r="G964"/>
    </row>
    <row r="965" spans="1:9" ht="12.75" customHeight="1">
      <c r="A965" s="176"/>
      <c r="B965" s="176"/>
      <c r="C965" s="377"/>
      <c r="D965" s="1259"/>
      <c r="E965" s="1259"/>
      <c r="F965" s="1259"/>
      <c r="G965"/>
    </row>
    <row r="966" spans="1:9" ht="12.75" customHeight="1">
      <c r="A966" s="176"/>
      <c r="B966" s="176"/>
      <c r="C966" s="377"/>
      <c r="D966" s="1259"/>
      <c r="E966" s="1259"/>
      <c r="F966" s="1259"/>
      <c r="G966"/>
    </row>
    <row r="967" spans="1:9" ht="12.75" customHeight="1">
      <c r="A967" s="176"/>
      <c r="B967" s="176"/>
      <c r="C967" s="377"/>
      <c r="D967" s="1259"/>
      <c r="E967" s="1259"/>
      <c r="F967" s="1259"/>
      <c r="G967"/>
    </row>
    <row r="968" spans="1:9" ht="12.75" customHeight="1">
      <c r="A968" s="176"/>
      <c r="B968" s="176"/>
      <c r="C968" s="377"/>
      <c r="D968" s="1259"/>
      <c r="E968" s="1259"/>
      <c r="F968" s="1259"/>
      <c r="G968"/>
    </row>
    <row r="969" spans="1:9" ht="12.75" customHeight="1">
      <c r="A969" s="176"/>
      <c r="B969" s="176"/>
      <c r="C969" s="377"/>
      <c r="D969" s="1259"/>
      <c r="E969" s="1259"/>
      <c r="F969" s="1259"/>
      <c r="G969"/>
    </row>
    <row r="970" spans="1:9" ht="12.75" customHeight="1">
      <c r="A970" s="176"/>
      <c r="B970" s="176"/>
      <c r="C970" s="377"/>
      <c r="D970" s="1259"/>
      <c r="E970" s="1259"/>
      <c r="F970" s="1259"/>
      <c r="G970"/>
    </row>
    <row r="971" spans="1:9" ht="12.75" customHeight="1">
      <c r="A971" s="176"/>
      <c r="B971" s="176"/>
      <c r="C971" s="377"/>
      <c r="D971" s="1259"/>
      <c r="E971" s="1259"/>
      <c r="F971" s="1259"/>
      <c r="G971"/>
    </row>
    <row r="972" spans="1:9" ht="12.75" customHeight="1">
      <c r="A972" s="176"/>
      <c r="B972" s="176"/>
      <c r="C972" s="377"/>
      <c r="D972" s="1259"/>
      <c r="E972" s="1259"/>
      <c r="F972" s="1259"/>
      <c r="G972"/>
    </row>
    <row r="973" spans="1:9" ht="12.75" customHeight="1">
      <c r="A973" s="176"/>
      <c r="B973" s="176"/>
      <c r="C973" s="377"/>
      <c r="D973" s="1259"/>
      <c r="E973" s="1259"/>
      <c r="F973" s="1259"/>
      <c r="G973" s="3"/>
    </row>
    <row r="974" spans="1:9" ht="12.75" customHeight="1">
      <c r="A974" s="377"/>
      <c r="B974" s="377"/>
      <c r="C974" s="377"/>
      <c r="D974" s="3"/>
      <c r="E974" s="3"/>
      <c r="F974" s="3"/>
      <c r="G974" s="3"/>
    </row>
    <row r="975" spans="1:9" ht="12.75" customHeight="1">
      <c r="A975" s="1304" t="s">
        <v>2048</v>
      </c>
      <c r="B975" s="1304"/>
      <c r="C975" s="1304"/>
      <c r="D975" s="1304"/>
      <c r="E975" s="1304"/>
      <c r="F975" s="1304"/>
      <c r="G975" s="1304"/>
      <c r="H975" s="1053"/>
      <c r="I975" s="1054"/>
    </row>
    <row r="976" spans="1:9" ht="12.75" customHeight="1">
      <c r="A976" s="118"/>
      <c r="B976" s="118"/>
      <c r="C976" s="377"/>
      <c r="D976" s="3"/>
      <c r="E976" s="3"/>
      <c r="F976" s="3"/>
      <c r="G976" s="3"/>
    </row>
    <row r="977" spans="1:9" ht="12.75" customHeight="1">
      <c r="A977" s="377"/>
      <c r="B977" s="377"/>
      <c r="C977" s="1008"/>
      <c r="D977" s="1275" t="s">
        <v>2071</v>
      </c>
      <c r="E977" s="1275"/>
      <c r="F977" s="1275"/>
      <c r="G977" s="3"/>
    </row>
    <row r="978" spans="1:9" ht="12.75" customHeight="1">
      <c r="A978" s="172"/>
      <c r="B978" s="172"/>
      <c r="C978" s="172"/>
      <c r="D978" s="1270" t="s">
        <v>2049</v>
      </c>
      <c r="E978" s="1270"/>
      <c r="F978" s="1270"/>
      <c r="G978" s="3"/>
    </row>
    <row r="979" spans="1:9" ht="12.75" customHeight="1">
      <c r="A979" s="172"/>
      <c r="B979" s="172"/>
      <c r="C979" s="172"/>
      <c r="D979" s="3"/>
      <c r="E979" s="3"/>
      <c r="F979" s="1007"/>
      <c r="G979"/>
    </row>
    <row r="980" spans="1:9" ht="12.75" customHeight="1">
      <c r="A980" s="377"/>
      <c r="B980" s="511" t="s">
        <v>2626</v>
      </c>
      <c r="C980" s="377"/>
      <c r="D980" s="1323" t="s">
        <v>2298</v>
      </c>
      <c r="E980" s="1323"/>
      <c r="F980" s="1323"/>
      <c r="G980"/>
      <c r="I980" s="427" t="s">
        <v>2216</v>
      </c>
    </row>
    <row r="981" spans="1:9" ht="12.75" customHeight="1">
      <c r="A981" s="377"/>
      <c r="B981" s="377"/>
      <c r="C981" s="377"/>
      <c r="D981" s="1323"/>
      <c r="E981" s="1323"/>
      <c r="F981" s="1323"/>
      <c r="G981"/>
    </row>
    <row r="982" spans="1:9" ht="12.75" customHeight="1">
      <c r="A982" s="377"/>
      <c r="B982" s="377"/>
      <c r="C982" s="377"/>
      <c r="D982" s="1064"/>
      <c r="E982" s="1062" t="s">
        <v>2299</v>
      </c>
      <c r="F982" s="1064"/>
      <c r="G982"/>
    </row>
    <row r="983" spans="1:9" ht="12.75" customHeight="1">
      <c r="A983" s="377"/>
      <c r="B983" s="377"/>
      <c r="C983" s="377"/>
      <c r="D983" s="1263" t="s">
        <v>2297</v>
      </c>
      <c r="E983" s="1263"/>
      <c r="F983" s="1263"/>
      <c r="G983"/>
    </row>
    <row r="984" spans="1:9" ht="12.75" customHeight="1">
      <c r="A984" s="377"/>
      <c r="B984" s="377"/>
      <c r="C984" s="377"/>
      <c r="D984" s="1263"/>
      <c r="E984" s="1263"/>
      <c r="F984" s="1263"/>
      <c r="G984"/>
    </row>
    <row r="985" spans="1:9" ht="12.75" customHeight="1">
      <c r="A985" s="175"/>
      <c r="B985" s="175"/>
      <c r="C985" s="175"/>
      <c r="D985" s="1263"/>
      <c r="E985" s="1263"/>
      <c r="F985" s="1263"/>
      <c r="G985"/>
    </row>
    <row r="986" spans="1:9" ht="12.75" customHeight="1">
      <c r="A986" s="175"/>
      <c r="B986" s="175"/>
      <c r="C986" s="175"/>
      <c r="D986" s="1263"/>
      <c r="E986" s="1263"/>
      <c r="F986" s="1263"/>
      <c r="G986"/>
    </row>
    <row r="987" spans="1:9" ht="12.75" customHeight="1">
      <c r="A987" s="175"/>
      <c r="B987" s="175"/>
      <c r="C987" s="175"/>
      <c r="D987" s="355"/>
      <c r="E987" s="355"/>
      <c r="F987" s="355"/>
      <c r="G987"/>
    </row>
    <row r="988" spans="1:9" ht="12.75" customHeight="1">
      <c r="A988" s="175"/>
      <c r="B988" s="511" t="s">
        <v>2627</v>
      </c>
      <c r="C988" s="175"/>
      <c r="D988" s="1259" t="s">
        <v>2050</v>
      </c>
      <c r="E988" s="1259"/>
      <c r="F988" s="1259"/>
      <c r="G988"/>
    </row>
    <row r="989" spans="1:9" ht="12.75" customHeight="1">
      <c r="A989" s="175"/>
      <c r="B989" s="175"/>
      <c r="C989" s="175"/>
      <c r="D989" s="1259"/>
      <c r="E989" s="1259"/>
      <c r="F989" s="1259"/>
      <c r="G989"/>
    </row>
    <row r="990" spans="1:9" ht="12.75" customHeight="1">
      <c r="A990" s="175"/>
      <c r="B990" s="175"/>
      <c r="C990" s="175"/>
      <c r="D990" s="1259"/>
      <c r="E990" s="1259"/>
      <c r="F990" s="1259"/>
      <c r="G990"/>
    </row>
    <row r="991" spans="1:9" ht="12.75" customHeight="1">
      <c r="A991" s="175"/>
      <c r="B991" s="175"/>
      <c r="C991" s="175"/>
      <c r="D991" s="1259"/>
      <c r="E991" s="1259"/>
      <c r="F991" s="1259"/>
      <c r="G991"/>
    </row>
    <row r="992" spans="1:9" ht="12.75" customHeight="1">
      <c r="A992" s="175"/>
      <c r="B992" s="175"/>
      <c r="C992" s="175"/>
      <c r="D992" s="466"/>
      <c r="E992" s="466"/>
      <c r="F992" s="466"/>
      <c r="G992"/>
    </row>
    <row r="993" spans="1:7" ht="12.75" customHeight="1">
      <c r="A993" s="175"/>
      <c r="B993" s="511" t="s">
        <v>2627</v>
      </c>
      <c r="C993" s="175"/>
      <c r="D993" s="1259" t="s">
        <v>2051</v>
      </c>
      <c r="E993" s="1259"/>
      <c r="F993" s="1259"/>
      <c r="G993"/>
    </row>
    <row r="994" spans="1:7" ht="12.75" customHeight="1">
      <c r="A994" s="175"/>
      <c r="B994" s="175"/>
      <c r="C994" s="175"/>
      <c r="D994" s="1259"/>
      <c r="E994" s="1259"/>
      <c r="F994" s="1259"/>
      <c r="G994"/>
    </row>
    <row r="995" spans="1:7" ht="12.75" customHeight="1">
      <c r="A995" s="175"/>
      <c r="B995" s="175"/>
      <c r="C995" s="175"/>
      <c r="D995" s="466"/>
      <c r="E995" s="466"/>
      <c r="F995" s="466"/>
      <c r="G995"/>
    </row>
    <row r="996" spans="1:7" ht="12.75" customHeight="1">
      <c r="A996" s="176"/>
      <c r="B996" s="511" t="s">
        <v>2626</v>
      </c>
      <c r="C996" s="377"/>
      <c r="D996" s="1270" t="s">
        <v>2052</v>
      </c>
      <c r="E996" s="1270"/>
      <c r="F996" s="1270"/>
      <c r="G996"/>
    </row>
    <row r="997" spans="1:7" ht="12.75" customHeight="1">
      <c r="A997" s="377"/>
      <c r="B997" s="377"/>
      <c r="C997" s="377"/>
      <c r="D997" s="3"/>
      <c r="E997" s="3"/>
      <c r="F997" s="3"/>
      <c r="G997"/>
    </row>
    <row r="998" spans="1:7" ht="12.75" customHeight="1">
      <c r="A998" s="176"/>
      <c r="B998" s="511" t="s">
        <v>2627</v>
      </c>
      <c r="C998" s="377"/>
      <c r="D998" s="1270" t="s">
        <v>2053</v>
      </c>
      <c r="E998" s="1270"/>
      <c r="F998" s="1270"/>
      <c r="G998"/>
    </row>
    <row r="999" spans="1:7" ht="12.75" customHeight="1">
      <c r="A999" s="377"/>
      <c r="B999" s="377"/>
      <c r="C999" s="377"/>
      <c r="D999" s="118"/>
      <c r="E999" s="3"/>
      <c r="F999" s="3"/>
      <c r="G999"/>
    </row>
    <row r="1000" spans="1:7" ht="12.75" customHeight="1">
      <c r="A1000" s="176"/>
      <c r="B1000" s="511" t="s">
        <v>2626</v>
      </c>
      <c r="C1000" s="377"/>
      <c r="D1000" s="1270" t="s">
        <v>2054</v>
      </c>
      <c r="E1000" s="1270"/>
      <c r="F1000" s="1270"/>
      <c r="G1000"/>
    </row>
    <row r="1001" spans="1:7" ht="12.75" customHeight="1">
      <c r="A1001" s="377"/>
      <c r="B1001" s="377"/>
      <c r="C1001" s="377"/>
      <c r="D1001" s="118"/>
      <c r="E1001" s="3"/>
      <c r="F1001" s="3"/>
      <c r="G1001"/>
    </row>
    <row r="1002" spans="1:7" ht="12.75" customHeight="1">
      <c r="A1002" s="176"/>
      <c r="B1002" s="511" t="s">
        <v>2627</v>
      </c>
      <c r="C1002" s="377"/>
      <c r="D1002" s="1259" t="s">
        <v>2055</v>
      </c>
      <c r="E1002" s="1259"/>
      <c r="F1002" s="1259"/>
      <c r="G1002"/>
    </row>
    <row r="1003" spans="1:7" ht="12.75" customHeight="1">
      <c r="A1003" s="176"/>
      <c r="B1003" s="176"/>
      <c r="C1003" s="377"/>
      <c r="D1003" s="1259"/>
      <c r="E1003" s="1259"/>
      <c r="F1003" s="1259"/>
      <c r="G1003"/>
    </row>
    <row r="1004" spans="1:7" ht="12.75" customHeight="1">
      <c r="A1004" s="176"/>
      <c r="B1004" s="176"/>
      <c r="C1004" s="377"/>
      <c r="D1004" s="118"/>
      <c r="E1004" s="3"/>
      <c r="F1004" s="3"/>
      <c r="G1004" s="3"/>
    </row>
    <row r="1005" spans="1:7" ht="12.75" customHeight="1">
      <c r="A1005" s="263"/>
      <c r="B1005" s="511" t="s">
        <v>2627</v>
      </c>
      <c r="C1005" s="1019"/>
      <c r="D1005" s="1299" t="s">
        <v>2056</v>
      </c>
      <c r="E1005" s="1299"/>
      <c r="F1005" s="1299"/>
      <c r="G1005" s="1020"/>
    </row>
    <row r="1006" spans="1:7" ht="12.75" customHeight="1">
      <c r="A1006" s="1019"/>
      <c r="B1006" s="1019"/>
      <c r="C1006" s="1019"/>
      <c r="D1006" s="1299"/>
      <c r="E1006" s="1299"/>
      <c r="F1006" s="1299"/>
      <c r="G1006" s="1020"/>
    </row>
    <row r="1007" spans="1:7" ht="12.75" customHeight="1">
      <c r="A1007" s="1019"/>
      <c r="B1007" s="1019"/>
      <c r="C1007" s="1019"/>
      <c r="D1007" s="1003"/>
      <c r="E1007" s="1020"/>
      <c r="F1007" s="1020"/>
      <c r="G1007" s="1020"/>
    </row>
    <row r="1008" spans="1:7" ht="12.75" customHeight="1">
      <c r="A1008" s="263"/>
      <c r="B1008" s="511" t="s">
        <v>2627</v>
      </c>
      <c r="C1008" s="1019"/>
      <c r="D1008" s="1317" t="s">
        <v>2057</v>
      </c>
      <c r="E1008" s="1317"/>
      <c r="F1008" s="1317"/>
      <c r="G1008" s="1020"/>
    </row>
    <row r="1009" spans="1:9" ht="12.75" customHeight="1">
      <c r="A1009" s="1019"/>
      <c r="B1009" s="1019"/>
      <c r="C1009" s="1019"/>
      <c r="D1009" s="1003"/>
      <c r="E1009" s="1020"/>
      <c r="F1009" s="1020"/>
      <c r="G1009" s="1020"/>
    </row>
    <row r="1010" spans="1:9" ht="12.75" customHeight="1">
      <c r="A1010" s="176"/>
      <c r="B1010" s="511" t="s">
        <v>2627</v>
      </c>
      <c r="C1010" s="377"/>
      <c r="D1010" s="1270" t="s">
        <v>2058</v>
      </c>
      <c r="E1010" s="1270"/>
      <c r="F1010" s="1270"/>
      <c r="G1010" s="3"/>
    </row>
    <row r="1011" spans="1:9" ht="12.75" customHeight="1">
      <c r="A1011" s="176"/>
      <c r="B1011" s="176"/>
      <c r="C1011" s="377"/>
      <c r="D1011" s="118"/>
      <c r="E1011" s="3"/>
      <c r="F1011" s="3"/>
      <c r="G1011" s="3"/>
    </row>
    <row r="1012" spans="1:9" ht="12.75" customHeight="1">
      <c r="A1012" s="176"/>
      <c r="B1012" s="511" t="s">
        <v>2627</v>
      </c>
      <c r="C1012" s="377"/>
      <c r="D1012" s="1259" t="s">
        <v>2059</v>
      </c>
      <c r="E1012" s="1259"/>
      <c r="F1012" s="1259"/>
      <c r="G1012" s="3"/>
    </row>
    <row r="1013" spans="1:9" ht="12.75" customHeight="1">
      <c r="A1013" s="176"/>
      <c r="B1013" s="176"/>
      <c r="C1013" s="377"/>
      <c r="D1013" s="1259"/>
      <c r="E1013" s="1259"/>
      <c r="F1013" s="1259"/>
      <c r="G1013" s="3"/>
    </row>
    <row r="1014" spans="1:9" ht="12.75" customHeight="1">
      <c r="A1014" s="377"/>
      <c r="B1014" s="377"/>
      <c r="C1014" s="377"/>
      <c r="D1014" s="3"/>
      <c r="E1014" s="3"/>
      <c r="F1014" s="3"/>
      <c r="G1014" s="3"/>
    </row>
    <row r="1015" spans="1:9" ht="12.75" customHeight="1">
      <c r="A1015" s="1304" t="s">
        <v>2060</v>
      </c>
      <c r="B1015" s="1304"/>
      <c r="C1015" s="1304"/>
      <c r="D1015" s="1304"/>
      <c r="E1015" s="1304"/>
      <c r="F1015" s="1304"/>
      <c r="G1015" s="1304"/>
      <c r="H1015" s="1053"/>
      <c r="I1015" s="1054"/>
    </row>
    <row r="1016" spans="1:9" ht="12.75" customHeight="1">
      <c r="A1016" s="377"/>
      <c r="B1016" s="377"/>
      <c r="C1016" s="377"/>
      <c r="D1016" s="3"/>
      <c r="E1016" s="3"/>
      <c r="F1016" s="3"/>
      <c r="G1016" s="3"/>
    </row>
    <row r="1017" spans="1:9" ht="12.75" customHeight="1">
      <c r="A1017" s="377"/>
      <c r="B1017" s="377"/>
      <c r="C1017" s="377"/>
      <c r="D1017" s="1298" t="s">
        <v>2061</v>
      </c>
      <c r="E1017" s="1298"/>
      <c r="F1017" s="1298"/>
      <c r="G1017" s="3"/>
    </row>
    <row r="1018" spans="1:9" ht="12.75" customHeight="1">
      <c r="A1018" s="377"/>
      <c r="B1018" s="377"/>
      <c r="C1018" s="377"/>
      <c r="D1018" s="1317" t="s">
        <v>2062</v>
      </c>
      <c r="E1018" s="1317"/>
      <c r="F1018" s="1317"/>
      <c r="G1018" s="3"/>
    </row>
    <row r="1019" spans="1:9" ht="12.75" customHeight="1">
      <c r="A1019" s="172"/>
      <c r="B1019" s="172"/>
      <c r="C1019" s="172"/>
      <c r="D1019" s="3"/>
      <c r="E1019" s="3"/>
      <c r="F1019" s="3"/>
      <c r="G1019" s="3"/>
    </row>
    <row r="1020" spans="1:9" ht="12.75" customHeight="1">
      <c r="A1020" s="176"/>
      <c r="B1020" s="176"/>
      <c r="C1020" s="175"/>
      <c r="D1020" s="1298" t="s">
        <v>2076</v>
      </c>
      <c r="E1020" s="1298"/>
      <c r="F1020" s="1298"/>
      <c r="G1020" s="3"/>
      <c r="I1020" s="427" t="s">
        <v>2188</v>
      </c>
    </row>
    <row r="1021" spans="1:9" ht="12.75" customHeight="1">
      <c r="A1021" s="377"/>
      <c r="B1021" s="511" t="s">
        <v>2626</v>
      </c>
      <c r="C1021" s="377"/>
      <c r="D1021" s="1317" t="s">
        <v>1430</v>
      </c>
      <c r="E1021" s="1317"/>
      <c r="F1021" s="1317"/>
      <c r="G1021" s="3"/>
    </row>
    <row r="1022" spans="1:9" ht="12.75" customHeight="1">
      <c r="A1022" s="377"/>
      <c r="B1022" s="176"/>
      <c r="C1022" s="377"/>
      <c r="D1022" s="1317" t="s">
        <v>2063</v>
      </c>
      <c r="E1022" s="1317"/>
      <c r="F1022" s="1317"/>
      <c r="G1022" s="3"/>
    </row>
    <row r="1023" spans="1:9" ht="12.75" customHeight="1">
      <c r="A1023" s="377"/>
      <c r="B1023" s="377"/>
      <c r="C1023" s="377"/>
      <c r="D1023" s="1317"/>
      <c r="E1023" s="1317"/>
      <c r="F1023" s="1317"/>
      <c r="G1023" s="3"/>
    </row>
    <row r="1024" spans="1:9" ht="12.75" customHeight="1">
      <c r="A1024" s="1304" t="s">
        <v>2072</v>
      </c>
      <c r="B1024" s="1304"/>
      <c r="C1024" s="1304"/>
      <c r="D1024" s="1304"/>
      <c r="E1024" s="1304"/>
      <c r="F1024" s="1304"/>
      <c r="G1024" s="1304"/>
      <c r="H1024" s="1053"/>
      <c r="I1024" s="1054"/>
    </row>
    <row r="1025" spans="1:9" ht="12.75" customHeight="1">
      <c r="A1025" s="118"/>
      <c r="B1025" s="118"/>
      <c r="C1025" s="377"/>
      <c r="D1025" s="3"/>
      <c r="E1025" s="3"/>
      <c r="F1025" s="3"/>
      <c r="G1025" s="3"/>
    </row>
    <row r="1026" spans="1:9" ht="12.75" customHeight="1">
      <c r="A1026" s="118"/>
      <c r="B1026" s="425"/>
      <c r="D1026" s="1306" t="s">
        <v>1431</v>
      </c>
      <c r="E1026" s="1306"/>
      <c r="F1026" s="1306"/>
      <c r="G1026" s="3"/>
    </row>
    <row r="1027" spans="1:9" ht="12.75" customHeight="1">
      <c r="A1027" s="118"/>
      <c r="B1027" s="511" t="s">
        <v>2627</v>
      </c>
      <c r="D1027" s="1308" t="s">
        <v>1430</v>
      </c>
      <c r="E1027" s="1308"/>
      <c r="F1027" s="1308"/>
      <c r="G1027" s="3"/>
    </row>
    <row r="1028" spans="1:9" ht="12.75" customHeight="1">
      <c r="A1028" s="118"/>
      <c r="B1028" s="425"/>
      <c r="D1028" s="1308" t="s">
        <v>2073</v>
      </c>
      <c r="E1028" s="1308"/>
      <c r="F1028" s="1308"/>
      <c r="G1028" s="3"/>
    </row>
    <row r="1029" spans="1:9" ht="12.75" customHeight="1">
      <c r="A1029" s="118"/>
      <c r="B1029" s="425"/>
      <c r="D1029" s="470"/>
      <c r="E1029" s="470"/>
      <c r="F1029" s="470"/>
      <c r="G1029" s="3"/>
    </row>
    <row r="1030" spans="1:9" ht="12.75" customHeight="1">
      <c r="A1030" s="118"/>
      <c r="B1030" s="118"/>
      <c r="C1030" s="377"/>
      <c r="D1030" s="1318" t="s">
        <v>1132</v>
      </c>
      <c r="E1030" s="1318"/>
      <c r="F1030" s="1318"/>
      <c r="G1030" s="3"/>
      <c r="I1030" s="427" t="s">
        <v>2217</v>
      </c>
    </row>
    <row r="1031" spans="1:9" ht="12.75" customHeight="1">
      <c r="A1031" s="337"/>
      <c r="B1031" s="337"/>
      <c r="C1031" s="337"/>
      <c r="D1031" s="1302" t="s">
        <v>1149</v>
      </c>
      <c r="E1031" s="1302"/>
      <c r="F1031" s="1302"/>
      <c r="G1031" s="98"/>
    </row>
    <row r="1032" spans="1:9" ht="12.75" customHeight="1">
      <c r="A1032" s="176"/>
      <c r="B1032" s="511" t="s">
        <v>2627</v>
      </c>
      <c r="C1032" s="377"/>
      <c r="D1032" s="1302" t="s">
        <v>1026</v>
      </c>
      <c r="E1032" s="1302"/>
      <c r="F1032" s="1302"/>
      <c r="G1032" s="3"/>
    </row>
    <row r="1033" spans="1:9" ht="12.75" customHeight="1">
      <c r="A1033" s="377"/>
      <c r="B1033" s="377"/>
      <c r="C1033" s="377"/>
      <c r="D1033" s="1062" t="s">
        <v>2300</v>
      </c>
      <c r="E1033" s="96"/>
      <c r="F1033" s="96"/>
      <c r="G1033" s="3"/>
    </row>
    <row r="1034" spans="1:9">
      <c r="A1034" s="425"/>
      <c r="B1034" s="425"/>
      <c r="C1034" s="425"/>
    </row>
    <row r="1035" spans="1:9">
      <c r="A1035" s="1304" t="s">
        <v>2093</v>
      </c>
      <c r="B1035" s="1304"/>
      <c r="C1035" s="1304"/>
      <c r="D1035" s="1304"/>
      <c r="E1035" s="1304"/>
      <c r="F1035" s="1304"/>
      <c r="G1035" s="1304"/>
      <c r="H1035" s="1053"/>
      <c r="I1035" s="1054"/>
    </row>
    <row r="1036" spans="1:9">
      <c r="A1036" s="425"/>
      <c r="B1036" s="425"/>
      <c r="C1036" s="425"/>
    </row>
    <row r="1037" spans="1:9">
      <c r="A1037" s="425"/>
      <c r="B1037" s="425"/>
      <c r="C1037" s="425"/>
      <c r="D1037" s="427" t="s">
        <v>2079</v>
      </c>
    </row>
    <row r="1038" spans="1:9">
      <c r="A1038" s="425"/>
      <c r="B1038" s="425"/>
      <c r="C1038" s="425"/>
      <c r="D1038" s="425" t="s">
        <v>2078</v>
      </c>
    </row>
    <row r="1039" spans="1:9">
      <c r="A1039" s="425"/>
      <c r="B1039" s="425"/>
      <c r="C1039" s="425"/>
      <c r="D1039" s="427"/>
    </row>
    <row r="1040" spans="1:9">
      <c r="A1040" s="425"/>
      <c r="B1040" s="511" t="s">
        <v>2627</v>
      </c>
      <c r="C1040" s="425"/>
      <c r="D1040" s="1320" t="s">
        <v>2077</v>
      </c>
      <c r="E1040" s="1320"/>
      <c r="F1040" s="1320"/>
      <c r="I1040" s="427" t="s">
        <v>2189</v>
      </c>
    </row>
    <row r="1041" spans="1:9">
      <c r="A1041" s="425"/>
      <c r="B1041" s="425"/>
      <c r="C1041" s="425"/>
      <c r="D1041" s="1320"/>
      <c r="E1041" s="1320"/>
      <c r="F1041" s="1320"/>
    </row>
    <row r="1042" spans="1:9">
      <c r="A1042" s="425"/>
      <c r="B1042" s="425"/>
      <c r="C1042" s="425"/>
      <c r="D1042" s="1320"/>
      <c r="E1042" s="1320"/>
      <c r="F1042" s="1320"/>
    </row>
    <row r="1043" spans="1:9">
      <c r="A1043" s="425"/>
      <c r="B1043" s="425"/>
      <c r="C1043" s="425"/>
      <c r="D1043" s="1320"/>
      <c r="E1043" s="1320"/>
      <c r="F1043" s="1320"/>
    </row>
    <row r="1044" spans="1:9">
      <c r="A1044" s="425"/>
      <c r="B1044" s="425"/>
      <c r="C1044" s="425"/>
    </row>
    <row r="1045" spans="1:9">
      <c r="A1045" s="425"/>
      <c r="B1045" s="425"/>
      <c r="C1045" s="425"/>
      <c r="D1045" s="427" t="s">
        <v>1486</v>
      </c>
    </row>
    <row r="1046" spans="1:9">
      <c r="A1046" s="425"/>
      <c r="B1046" s="425"/>
      <c r="C1046" s="425"/>
      <c r="D1046" s="425" t="s">
        <v>2080</v>
      </c>
    </row>
    <row r="1047" spans="1:9">
      <c r="A1047" s="425"/>
      <c r="B1047" s="425"/>
      <c r="C1047" s="425"/>
    </row>
    <row r="1048" spans="1:9">
      <c r="A1048" s="425"/>
      <c r="B1048" s="511" t="s">
        <v>2626</v>
      </c>
      <c r="C1048" s="425"/>
      <c r="D1048" s="425" t="s">
        <v>2075</v>
      </c>
      <c r="I1048" s="427" t="s">
        <v>2190</v>
      </c>
    </row>
    <row r="1049" spans="1:9">
      <c r="A1049" s="425"/>
      <c r="B1049" s="425"/>
      <c r="C1049" s="425"/>
    </row>
    <row r="1050" spans="1:9">
      <c r="A1050" s="425"/>
      <c r="B1050" s="511" t="s">
        <v>2626</v>
      </c>
      <c r="C1050" s="425"/>
      <c r="D1050" s="1320" t="s">
        <v>2081</v>
      </c>
      <c r="E1050" s="1320"/>
      <c r="F1050" s="1320"/>
      <c r="I1050" s="427" t="s">
        <v>2191</v>
      </c>
    </row>
    <row r="1051" spans="1:9">
      <c r="A1051" s="425"/>
      <c r="B1051" s="425"/>
      <c r="C1051" s="425"/>
      <c r="D1051" s="1320"/>
      <c r="E1051" s="1320"/>
      <c r="F1051" s="1320"/>
    </row>
    <row r="1052" spans="1:9">
      <c r="A1052" s="425"/>
      <c r="B1052" s="425"/>
      <c r="C1052" s="425"/>
      <c r="D1052" s="1320"/>
      <c r="E1052" s="1320"/>
      <c r="F1052" s="1320"/>
    </row>
    <row r="1053" spans="1:9">
      <c r="A1053" s="425"/>
      <c r="B1053" s="425"/>
      <c r="C1053" s="425"/>
      <c r="D1053" s="1320"/>
      <c r="E1053" s="1320"/>
      <c r="F1053" s="1320"/>
    </row>
    <row r="1054" spans="1:9">
      <c r="A1054" s="425"/>
      <c r="B1054" s="425"/>
      <c r="C1054" s="425"/>
      <c r="D1054" s="1320"/>
      <c r="E1054" s="1320"/>
      <c r="F1054" s="1320"/>
    </row>
    <row r="1055" spans="1:9">
      <c r="A1055" s="425"/>
      <c r="B1055" s="425"/>
      <c r="C1055" s="425"/>
    </row>
    <row r="1056" spans="1:9">
      <c r="A1056" s="1304" t="s">
        <v>2082</v>
      </c>
      <c r="B1056" s="1304"/>
      <c r="C1056" s="1304"/>
      <c r="D1056" s="1304"/>
      <c r="E1056" s="1304"/>
      <c r="F1056" s="1304"/>
      <c r="G1056" s="1304"/>
      <c r="H1056" s="1053"/>
      <c r="I1056" s="1054"/>
    </row>
    <row r="1057" spans="1:9">
      <c r="A1057" s="425"/>
      <c r="B1057" s="425"/>
      <c r="C1057" s="425"/>
    </row>
    <row r="1058" spans="1:9">
      <c r="A1058" s="425"/>
      <c r="B1058" s="425"/>
      <c r="C1058" s="425"/>
    </row>
    <row r="1059" spans="1:9">
      <c r="A1059" s="425"/>
      <c r="B1059" s="511" t="s">
        <v>2626</v>
      </c>
      <c r="C1059" s="425"/>
      <c r="D1059" s="553" t="s">
        <v>2085</v>
      </c>
      <c r="I1059" s="427" t="s">
        <v>2192</v>
      </c>
    </row>
    <row r="1060" spans="1:9">
      <c r="A1060" s="425"/>
      <c r="B1060" s="425"/>
      <c r="C1060" s="425"/>
      <c r="D1060" s="553" t="s">
        <v>2087</v>
      </c>
    </row>
    <row r="1061" spans="1:9">
      <c r="A1061" s="425"/>
      <c r="B1061" s="425"/>
      <c r="C1061" s="425"/>
      <c r="D1061" s="553"/>
    </row>
    <row r="1062" spans="1:9">
      <c r="A1062" s="425"/>
      <c r="B1062" s="511" t="s">
        <v>2626</v>
      </c>
      <c r="C1062" s="425"/>
      <c r="D1062" s="553" t="s">
        <v>2088</v>
      </c>
      <c r="I1062" s="427" t="s">
        <v>2193</v>
      </c>
    </row>
    <row r="1063" spans="1:9">
      <c r="A1063" s="425"/>
      <c r="B1063" s="425"/>
      <c r="C1063" s="425"/>
      <c r="D1063" s="553" t="s">
        <v>2086</v>
      </c>
    </row>
    <row r="1064" spans="1:9">
      <c r="A1064" s="425"/>
      <c r="B1064" s="425"/>
      <c r="C1064" s="425"/>
      <c r="D1064" s="553"/>
    </row>
    <row r="1065" spans="1:9">
      <c r="A1065" s="425"/>
      <c r="B1065" s="511" t="s">
        <v>2627</v>
      </c>
      <c r="C1065" s="425"/>
      <c r="D1065" s="119" t="s">
        <v>2091</v>
      </c>
      <c r="I1065" s="427" t="s">
        <v>2194</v>
      </c>
    </row>
    <row r="1066" spans="1:9">
      <c r="A1066" s="425"/>
      <c r="B1066" s="425"/>
      <c r="C1066" s="425"/>
      <c r="D1066" s="1259" t="s">
        <v>2092</v>
      </c>
      <c r="E1066" s="1259"/>
      <c r="F1066" s="1259"/>
    </row>
    <row r="1067" spans="1:9">
      <c r="A1067" s="425"/>
      <c r="B1067" s="425"/>
      <c r="C1067" s="425"/>
      <c r="D1067" s="1259"/>
      <c r="E1067" s="1259"/>
      <c r="F1067" s="1259"/>
    </row>
    <row r="1068" spans="1:9">
      <c r="A1068" s="425"/>
      <c r="B1068" s="425"/>
      <c r="C1068" s="425"/>
      <c r="D1068" s="1259"/>
      <c r="E1068" s="1259"/>
      <c r="F1068" s="1259"/>
    </row>
    <row r="1069" spans="1:9">
      <c r="A1069" s="425"/>
      <c r="B1069" s="425"/>
      <c r="C1069" s="425"/>
      <c r="D1069" s="1259"/>
      <c r="E1069" s="1259"/>
      <c r="F1069" s="1259"/>
    </row>
    <row r="1070" spans="1:9">
      <c r="A1070" s="425"/>
      <c r="B1070" s="425"/>
      <c r="C1070" s="425"/>
      <c r="D1070" s="119" t="s">
        <v>2090</v>
      </c>
    </row>
    <row r="1071" spans="1:9">
      <c r="A1071" s="425"/>
      <c r="B1071" s="425"/>
      <c r="C1071" s="425"/>
      <c r="D1071" s="119"/>
    </row>
    <row r="1072" spans="1:9">
      <c r="A1072" s="425"/>
      <c r="B1072" s="425"/>
      <c r="C1072" s="425"/>
      <c r="D1072" s="553" t="s">
        <v>2083</v>
      </c>
      <c r="I1072" s="427" t="s">
        <v>2195</v>
      </c>
    </row>
    <row r="1073" spans="1:9">
      <c r="A1073" s="425"/>
      <c r="B1073" s="511" t="s">
        <v>2627</v>
      </c>
      <c r="C1073" s="425"/>
      <c r="D1073" s="1319" t="s">
        <v>2084</v>
      </c>
      <c r="E1073" s="1319"/>
      <c r="F1073" s="1319"/>
    </row>
    <row r="1074" spans="1:9">
      <c r="A1074" s="425"/>
      <c r="B1074" s="425"/>
      <c r="C1074" s="425"/>
      <c r="D1074" s="1319"/>
      <c r="E1074" s="1319"/>
      <c r="F1074" s="1319"/>
    </row>
    <row r="1075" spans="1:9">
      <c r="A1075" s="425"/>
      <c r="B1075" s="425"/>
      <c r="C1075" s="425"/>
      <c r="D1075" s="1319"/>
      <c r="E1075" s="1319"/>
      <c r="F1075" s="1319"/>
    </row>
    <row r="1076" spans="1:9">
      <c r="A1076" s="425"/>
      <c r="B1076" s="425"/>
      <c r="C1076" s="425"/>
      <c r="D1076" s="1319"/>
      <c r="E1076" s="1319"/>
      <c r="F1076" s="1319"/>
    </row>
    <row r="1077" spans="1:9">
      <c r="A1077" s="425"/>
      <c r="B1077" s="425"/>
      <c r="C1077" s="425"/>
      <c r="D1077" s="1319"/>
      <c r="E1077" s="1319"/>
      <c r="F1077" s="1319"/>
    </row>
    <row r="1078" spans="1:9">
      <c r="A1078" s="425"/>
      <c r="B1078" s="425"/>
      <c r="C1078" s="425"/>
      <c r="D1078" s="553" t="s">
        <v>2089</v>
      </c>
    </row>
    <row r="1079" spans="1:9">
      <c r="A1079" s="425"/>
      <c r="B1079" s="425"/>
      <c r="C1079" s="425"/>
    </row>
    <row r="1080" spans="1:9">
      <c r="A1080" s="1304" t="s">
        <v>2094</v>
      </c>
      <c r="B1080" s="1304"/>
      <c r="C1080" s="1304"/>
      <c r="D1080" s="1304"/>
      <c r="E1080" s="1304"/>
      <c r="F1080" s="1304"/>
      <c r="G1080" s="1304"/>
      <c r="H1080" s="1053"/>
      <c r="I1080" s="1054"/>
    </row>
    <row r="1081" spans="1:9">
      <c r="A1081" s="425"/>
      <c r="B1081" s="425"/>
      <c r="C1081" s="425"/>
    </row>
    <row r="1082" spans="1:9">
      <c r="A1082" s="425"/>
      <c r="B1082" s="425"/>
      <c r="C1082" s="425"/>
    </row>
    <row r="1083" spans="1:9" ht="12.75" customHeight="1">
      <c r="A1083" s="425"/>
      <c r="B1083" s="511" t="s">
        <v>2627</v>
      </c>
      <c r="C1083" s="425"/>
      <c r="D1083" s="1321" t="s">
        <v>2312</v>
      </c>
      <c r="E1083" s="1321"/>
      <c r="F1083" s="1321"/>
      <c r="I1083" s="427" t="s">
        <v>2196</v>
      </c>
    </row>
    <row r="1084" spans="1:9">
      <c r="A1084" s="425"/>
      <c r="B1084" s="425"/>
      <c r="C1084" s="425"/>
      <c r="D1084" s="1321"/>
      <c r="E1084" s="1321"/>
      <c r="F1084" s="1321"/>
    </row>
    <row r="1085" spans="1:9">
      <c r="A1085" s="425"/>
      <c r="B1085" s="425"/>
      <c r="C1085" s="425"/>
      <c r="D1085" s="1322" t="s">
        <v>2623</v>
      </c>
      <c r="E1085" s="1259"/>
      <c r="F1085" s="1259"/>
    </row>
    <row r="1086" spans="1:9">
      <c r="A1086" s="425"/>
      <c r="B1086" s="425"/>
      <c r="C1086" s="425"/>
      <c r="D1086" s="553"/>
    </row>
    <row r="1087" spans="1:9">
      <c r="A1087" s="425"/>
      <c r="B1087" s="511" t="s">
        <v>2627</v>
      </c>
      <c r="C1087" s="425"/>
      <c r="D1087" s="1319" t="s">
        <v>2095</v>
      </c>
      <c r="E1087" s="1319"/>
      <c r="F1087" s="1319"/>
      <c r="I1087" s="427" t="s">
        <v>2197</v>
      </c>
    </row>
    <row r="1088" spans="1:9">
      <c r="A1088" s="425"/>
      <c r="B1088" s="425"/>
      <c r="C1088" s="425"/>
      <c r="D1088" s="1319"/>
      <c r="E1088" s="1319"/>
      <c r="F1088" s="1319"/>
    </row>
    <row r="1089" spans="1:9">
      <c r="A1089" s="425"/>
      <c r="B1089" s="425"/>
      <c r="C1089" s="425"/>
      <c r="D1089" s="553"/>
    </row>
    <row r="1090" spans="1:9">
      <c r="A1090" s="425"/>
      <c r="B1090" s="511" t="s">
        <v>2627</v>
      </c>
      <c r="C1090" s="425"/>
      <c r="D1090" s="1319" t="s">
        <v>2241</v>
      </c>
      <c r="E1090" s="1319"/>
      <c r="F1090" s="1319"/>
      <c r="I1090" s="427" t="s">
        <v>2239</v>
      </c>
    </row>
    <row r="1091" spans="1:9">
      <c r="A1091" s="425"/>
      <c r="B1091" s="425"/>
      <c r="C1091" s="425"/>
      <c r="D1091" s="1319"/>
      <c r="E1091" s="1319"/>
      <c r="F1091" s="1319"/>
    </row>
    <row r="1092" spans="1:9">
      <c r="A1092" s="425"/>
      <c r="B1092" s="425"/>
      <c r="C1092" s="425"/>
      <c r="D1092" s="1319"/>
      <c r="E1092" s="1319"/>
      <c r="F1092" s="1319"/>
    </row>
    <row r="1093" spans="1:9">
      <c r="A1093" s="425"/>
      <c r="B1093" s="425"/>
      <c r="C1093" s="425"/>
      <c r="D1093" s="1319"/>
      <c r="E1093" s="1319"/>
      <c r="F1093" s="1319"/>
    </row>
    <row r="1094" spans="1:9">
      <c r="A1094" s="425"/>
      <c r="B1094" s="425"/>
      <c r="C1094" s="425"/>
      <c r="D1094" s="1319"/>
      <c r="E1094" s="1319"/>
      <c r="F1094" s="1319"/>
    </row>
    <row r="1095" spans="1:9">
      <c r="A1095" s="425"/>
      <c r="B1095" s="425"/>
      <c r="C1095" s="425"/>
      <c r="D1095" s="1319"/>
      <c r="E1095" s="1319"/>
      <c r="F1095" s="1319"/>
    </row>
    <row r="1096" spans="1:9" ht="12.5">
      <c r="A1096" s="425"/>
      <c r="B1096" s="425"/>
      <c r="C1096" s="425"/>
      <c r="D1096" s="553" t="s">
        <v>2240</v>
      </c>
      <c r="I1096" s="425"/>
    </row>
    <row r="1097" spans="1:9">
      <c r="A1097" s="425"/>
      <c r="B1097" s="511" t="s">
        <v>2627</v>
      </c>
      <c r="C1097" s="425"/>
      <c r="D1097" s="1319" t="s">
        <v>2096</v>
      </c>
      <c r="E1097" s="1319"/>
      <c r="F1097" s="1319"/>
      <c r="I1097" s="427" t="s">
        <v>2198</v>
      </c>
    </row>
    <row r="1098" spans="1:9">
      <c r="A1098" s="425"/>
      <c r="B1098" s="425"/>
      <c r="C1098" s="425"/>
      <c r="D1098" s="1319"/>
      <c r="E1098" s="1319"/>
      <c r="F1098" s="1319"/>
    </row>
    <row r="1099" spans="1:9">
      <c r="A1099" s="425"/>
      <c r="B1099" s="425"/>
      <c r="C1099" s="425"/>
      <c r="D1099" s="1319"/>
      <c r="E1099" s="1319"/>
      <c r="F1099" s="1319"/>
    </row>
    <row r="1100" spans="1:9">
      <c r="A1100" s="425"/>
      <c r="B1100" s="425"/>
      <c r="C1100" s="425"/>
      <c r="D1100" s="553"/>
    </row>
    <row r="1101" spans="1:9">
      <c r="A1101" s="425"/>
      <c r="B1101" s="511" t="s">
        <v>2626</v>
      </c>
      <c r="C1101" s="425"/>
      <c r="D1101" s="1263" t="s">
        <v>2242</v>
      </c>
      <c r="E1101" s="1263"/>
      <c r="F1101" s="1263"/>
      <c r="I1101" s="427" t="s">
        <v>2199</v>
      </c>
    </row>
    <row r="1102" spans="1:9">
      <c r="A1102" s="425"/>
      <c r="B1102" s="425"/>
      <c r="C1102" s="425"/>
      <c r="D1102" s="1263"/>
      <c r="E1102" s="1263"/>
      <c r="F1102" s="1263"/>
    </row>
    <row r="1103" spans="1:9">
      <c r="A1103" s="425"/>
      <c r="B1103" s="425"/>
      <c r="C1103" s="425"/>
      <c r="D1103" s="1263"/>
      <c r="E1103" s="1263"/>
      <c r="F1103" s="1263"/>
    </row>
    <row r="1104" spans="1:9">
      <c r="A1104" s="425"/>
      <c r="B1104" s="425"/>
      <c r="C1104" s="425"/>
      <c r="D1104" s="999"/>
      <c r="E1104" s="999"/>
      <c r="F1104" s="999"/>
    </row>
    <row r="1105" spans="1:9" ht="15.75" customHeight="1">
      <c r="A1105" s="425"/>
      <c r="B1105" s="511" t="s">
        <v>2626</v>
      </c>
      <c r="C1105" s="425"/>
      <c r="D1105" s="1259" t="s">
        <v>2244</v>
      </c>
      <c r="E1105" s="1259"/>
      <c r="F1105" s="1259"/>
      <c r="I1105" s="427" t="s">
        <v>2243</v>
      </c>
    </row>
    <row r="1106" spans="1:9">
      <c r="A1106" s="425"/>
      <c r="B1106" s="425"/>
      <c r="C1106" s="425"/>
      <c r="D1106" s="1259"/>
      <c r="E1106" s="1259"/>
      <c r="F1106" s="1259"/>
    </row>
    <row r="1107" spans="1:9">
      <c r="A1107" s="425"/>
      <c r="B1107" s="425"/>
      <c r="C1107" s="425"/>
      <c r="D1107" s="1259"/>
      <c r="E1107" s="1259"/>
      <c r="F1107" s="1259"/>
    </row>
    <row r="1108" spans="1:9">
      <c r="A1108" s="425"/>
      <c r="B1108" s="425"/>
      <c r="C1108" s="425"/>
      <c r="D1108" s="1259"/>
      <c r="E1108" s="1259"/>
      <c r="F1108" s="1259"/>
    </row>
    <row r="1109" spans="1:9">
      <c r="A1109" s="425"/>
      <c r="B1109" s="425"/>
      <c r="C1109" s="425"/>
      <c r="D1109" s="999"/>
      <c r="E1109" s="999"/>
      <c r="F1109" s="999"/>
    </row>
    <row r="1110" spans="1:9" ht="37.5">
      <c r="A1110" s="425"/>
      <c r="B1110" s="425"/>
      <c r="C1110" s="425"/>
      <c r="I1110" s="439" t="s">
        <v>2474</v>
      </c>
    </row>
    <row r="1111" spans="1:9">
      <c r="A1111" s="425"/>
      <c r="B1111" s="425"/>
      <c r="C1111" s="425"/>
    </row>
    <row r="1112" spans="1:9">
      <c r="A1112" s="425"/>
      <c r="B1112" s="425"/>
      <c r="C1112" s="425"/>
    </row>
    <row r="1113" spans="1:9">
      <c r="A1113" s="425"/>
      <c r="B1113" s="425"/>
      <c r="C1113" s="425"/>
    </row>
    <row r="1114" spans="1:9">
      <c r="A1114" s="425"/>
      <c r="B1114" s="425"/>
      <c r="C1114" s="425"/>
    </row>
    <row r="1115" spans="1:9">
      <c r="A1115" s="425"/>
      <c r="B1115" s="425"/>
      <c r="C1115" s="425"/>
    </row>
    <row r="1116" spans="1:9">
      <c r="A1116" s="425"/>
      <c r="B1116" s="425"/>
      <c r="C1116" s="425"/>
    </row>
    <row r="1117" spans="1:9">
      <c r="A1117" s="425"/>
      <c r="B1117" s="425"/>
      <c r="C1117" s="425"/>
    </row>
    <row r="1118" spans="1:9">
      <c r="A1118" s="425"/>
      <c r="B1118" s="425"/>
      <c r="C1118" s="425"/>
    </row>
    <row r="1119" spans="1:9">
      <c r="A1119" s="425"/>
      <c r="B1119" s="425"/>
      <c r="C1119" s="425"/>
    </row>
    <row r="1120" spans="1:9">
      <c r="A1120" s="425"/>
      <c r="B1120" s="425"/>
      <c r="C1120" s="425"/>
    </row>
    <row r="1121" spans="1:3">
      <c r="A1121" s="425"/>
      <c r="B1121" s="425"/>
      <c r="C1121" s="425"/>
    </row>
    <row r="1122" spans="1:3">
      <c r="A1122" s="425"/>
      <c r="B1122" s="425"/>
      <c r="C1122" s="425"/>
    </row>
    <row r="1123" spans="1:3">
      <c r="A1123" s="425"/>
      <c r="B1123" s="425"/>
      <c r="C1123" s="425"/>
    </row>
    <row r="1124" spans="1:3">
      <c r="A1124" s="425"/>
      <c r="B1124" s="425"/>
      <c r="C1124" s="425"/>
    </row>
    <row r="1125" spans="1:3">
      <c r="A1125" s="425"/>
      <c r="B1125" s="425"/>
      <c r="C1125" s="425"/>
    </row>
    <row r="1126" spans="1:3">
      <c r="A1126" s="425"/>
      <c r="B1126" s="425"/>
      <c r="C1126" s="425"/>
    </row>
    <row r="1127" spans="1:3">
      <c r="A1127" s="425"/>
      <c r="B1127" s="425"/>
      <c r="C1127" s="425"/>
    </row>
    <row r="1128" spans="1:3"/>
    <row r="1129" spans="1:3"/>
    <row r="1130" spans="1:3"/>
    <row r="1131" spans="1:3"/>
    <row r="1132" spans="1:3"/>
    <row r="1133" spans="1:3"/>
    <row r="1134" spans="1:3"/>
    <row r="1135" spans="1:3">
      <c r="A1135" s="425"/>
      <c r="B1135" s="425"/>
      <c r="C1135" s="425"/>
    </row>
    <row r="1136" spans="1:3">
      <c r="A1136" s="425"/>
      <c r="B1136" s="425"/>
      <c r="C1136" s="425"/>
    </row>
    <row r="1137" spans="1:3">
      <c r="A1137" s="425"/>
      <c r="B1137" s="425"/>
      <c r="C1137" s="425"/>
    </row>
    <row r="1138" spans="1:3">
      <c r="A1138" s="425"/>
      <c r="B1138" s="425"/>
      <c r="C1138" s="425"/>
    </row>
    <row r="1139" spans="1:3">
      <c r="A1139" s="425"/>
      <c r="B1139" s="425"/>
      <c r="C1139" s="425"/>
    </row>
    <row r="1140" spans="1:3">
      <c r="A1140" s="425"/>
      <c r="B1140" s="425"/>
      <c r="C1140" s="425"/>
    </row>
    <row r="1141" spans="1:3">
      <c r="A1141" s="425"/>
      <c r="B1141" s="425"/>
      <c r="C1141" s="425"/>
    </row>
    <row r="1142" spans="1:3">
      <c r="A1142" s="425"/>
      <c r="B1142" s="425"/>
      <c r="C1142" s="425"/>
    </row>
    <row r="1143" spans="1:3">
      <c r="A1143" s="425"/>
      <c r="B1143" s="425"/>
      <c r="C1143" s="425"/>
    </row>
    <row r="1144" spans="1:3">
      <c r="A1144" s="425"/>
      <c r="B1144" s="425"/>
      <c r="C1144" s="425"/>
    </row>
    <row r="1145" spans="1:3">
      <c r="A1145" s="425"/>
      <c r="B1145" s="425"/>
      <c r="C1145" s="425"/>
    </row>
    <row r="1146" spans="1:3">
      <c r="A1146" s="425"/>
      <c r="B1146" s="425"/>
      <c r="C1146" s="425"/>
    </row>
    <row r="1147" spans="1:3">
      <c r="A1147" s="425"/>
      <c r="B1147" s="425"/>
      <c r="C1147" s="425"/>
    </row>
    <row r="1148" spans="1:3">
      <c r="A1148" s="425"/>
      <c r="B1148" s="425"/>
      <c r="C1148" s="425"/>
    </row>
    <row r="1149" spans="1:3">
      <c r="A1149" s="425"/>
      <c r="B1149" s="425"/>
      <c r="C1149" s="425"/>
    </row>
    <row r="1150" spans="1:3">
      <c r="A1150" s="425"/>
      <c r="B1150" s="425"/>
      <c r="C1150" s="425"/>
    </row>
    <row r="1151" spans="1:3">
      <c r="A1151" s="425"/>
      <c r="B1151" s="425"/>
      <c r="C1151" s="425"/>
    </row>
    <row r="1152" spans="1:3">
      <c r="A1152" s="425"/>
      <c r="B1152" s="425"/>
      <c r="C1152" s="425"/>
    </row>
    <row r="1153" spans="1:3">
      <c r="A1153" s="425"/>
      <c r="B1153" s="425"/>
      <c r="C1153" s="425"/>
    </row>
    <row r="1154" spans="1:3">
      <c r="A1154" s="425"/>
      <c r="B1154" s="425"/>
      <c r="C1154" s="425"/>
    </row>
    <row r="1155" spans="1:3">
      <c r="A1155" s="425"/>
      <c r="B1155" s="425"/>
      <c r="C1155" s="425"/>
    </row>
    <row r="1156" spans="1:3">
      <c r="A1156" s="425"/>
      <c r="B1156" s="425"/>
      <c r="C1156" s="425"/>
    </row>
    <row r="1157" spans="1:3">
      <c r="A1157" s="425"/>
      <c r="B1157" s="425"/>
      <c r="C1157" s="425"/>
    </row>
    <row r="1158" spans="1:3">
      <c r="A1158" s="425"/>
      <c r="B1158" s="425"/>
      <c r="C1158" s="425"/>
    </row>
    <row r="1159" spans="1:3">
      <c r="A1159" s="425"/>
      <c r="B1159" s="425"/>
      <c r="C1159" s="425"/>
    </row>
    <row r="1160" spans="1:3">
      <c r="A1160" s="425"/>
      <c r="B1160" s="425"/>
      <c r="C1160" s="425"/>
    </row>
    <row r="1161" spans="1:3">
      <c r="A1161" s="425"/>
      <c r="B1161" s="425"/>
      <c r="C1161" s="425"/>
    </row>
    <row r="1162" spans="1:3">
      <c r="A1162" s="425"/>
      <c r="B1162" s="425"/>
      <c r="C1162" s="425"/>
    </row>
    <row r="1163" spans="1:3">
      <c r="A1163" s="425"/>
      <c r="B1163" s="425"/>
      <c r="C1163" s="425"/>
    </row>
    <row r="1164" spans="1:3">
      <c r="A1164" s="425"/>
      <c r="B1164" s="425"/>
      <c r="C1164" s="425"/>
    </row>
    <row r="1165" spans="1:3">
      <c r="A1165" s="425"/>
      <c r="B1165" s="425"/>
      <c r="C1165" s="425"/>
    </row>
    <row r="1166" spans="1:3">
      <c r="A1166" s="425"/>
      <c r="B1166" s="425"/>
      <c r="C1166" s="425"/>
    </row>
    <row r="1167" spans="1:3">
      <c r="A1167" s="425"/>
      <c r="B1167" s="425"/>
      <c r="C1167" s="425"/>
    </row>
    <row r="1168" spans="1:3">
      <c r="A1168" s="425"/>
      <c r="B1168" s="425"/>
      <c r="C1168" s="425"/>
    </row>
    <row r="1169" spans="1:3">
      <c r="A1169" s="425"/>
      <c r="B1169" s="425"/>
      <c r="C1169" s="425"/>
    </row>
    <row r="1170" spans="1:3">
      <c r="A1170" s="425"/>
      <c r="B1170" s="425"/>
      <c r="C1170" s="425"/>
    </row>
    <row r="1171" spans="1:3">
      <c r="A1171" s="425"/>
      <c r="B1171" s="425"/>
      <c r="C1171" s="425"/>
    </row>
    <row r="1172" spans="1:3">
      <c r="A1172" s="425"/>
      <c r="B1172" s="425"/>
      <c r="C1172" s="425"/>
    </row>
    <row r="1173" spans="1:3">
      <c r="A1173" s="425"/>
      <c r="B1173" s="425"/>
      <c r="C1173" s="425"/>
    </row>
    <row r="1174" spans="1:3">
      <c r="A1174" s="425"/>
      <c r="B1174" s="425"/>
      <c r="C1174" s="425"/>
    </row>
    <row r="1175" spans="1:3">
      <c r="A1175" s="425"/>
      <c r="B1175" s="425"/>
      <c r="C1175" s="425"/>
    </row>
    <row r="1176" spans="1:3">
      <c r="A1176" s="425"/>
      <c r="B1176" s="425"/>
      <c r="C1176" s="425"/>
    </row>
    <row r="1177" spans="1:3">
      <c r="A1177" s="425"/>
      <c r="B1177" s="425"/>
      <c r="C1177" s="425"/>
    </row>
    <row r="1178" spans="1:3">
      <c r="A1178" s="425"/>
      <c r="B1178" s="425"/>
      <c r="C1178" s="425"/>
    </row>
    <row r="1179" spans="1:3">
      <c r="A1179" s="425"/>
      <c r="B1179" s="425"/>
      <c r="C1179" s="425"/>
    </row>
    <row r="1180" spans="1:3">
      <c r="A1180" s="425"/>
      <c r="B1180" s="425"/>
      <c r="C1180" s="425"/>
    </row>
    <row r="1181" spans="1:3">
      <c r="A1181" s="425"/>
      <c r="B1181" s="425"/>
      <c r="C1181" s="425"/>
    </row>
    <row r="1182" spans="1:3">
      <c r="A1182" s="425"/>
      <c r="B1182" s="425"/>
      <c r="C1182" s="425"/>
    </row>
    <row r="1183" spans="1:3">
      <c r="A1183" s="425"/>
      <c r="B1183" s="425"/>
      <c r="C1183" s="425"/>
    </row>
    <row r="1184" spans="1:3">
      <c r="A1184" s="425"/>
      <c r="B1184" s="425"/>
      <c r="C1184" s="425"/>
    </row>
    <row r="1185" spans="1:3">
      <c r="A1185" s="425"/>
      <c r="B1185" s="425"/>
      <c r="C1185" s="425"/>
    </row>
    <row r="1186" spans="1:3">
      <c r="A1186" s="425"/>
      <c r="B1186" s="425"/>
      <c r="C1186" s="425"/>
    </row>
    <row r="1187" spans="1:3">
      <c r="A1187" s="425"/>
      <c r="B1187" s="425"/>
      <c r="C1187" s="425"/>
    </row>
    <row r="1188" spans="1:3">
      <c r="A1188" s="425"/>
      <c r="B1188" s="425"/>
      <c r="C1188" s="425"/>
    </row>
    <row r="1189" spans="1:3">
      <c r="A1189" s="425"/>
      <c r="B1189" s="425"/>
      <c r="C1189" s="425"/>
    </row>
    <row r="1190" spans="1:3">
      <c r="A1190" s="425"/>
      <c r="B1190" s="425"/>
      <c r="C1190" s="425"/>
    </row>
    <row r="1191" spans="1:3">
      <c r="A1191" s="425"/>
      <c r="B1191" s="425"/>
      <c r="C1191" s="425"/>
    </row>
    <row r="1192" spans="1:3">
      <c r="A1192" s="425"/>
      <c r="B1192" s="425"/>
      <c r="C1192" s="425"/>
    </row>
    <row r="1193" spans="1:3">
      <c r="A1193" s="425"/>
      <c r="B1193" s="425"/>
      <c r="C1193" s="425"/>
    </row>
    <row r="1194" spans="1:3">
      <c r="A1194" s="425"/>
      <c r="B1194" s="425"/>
      <c r="C1194" s="425"/>
    </row>
    <row r="1195" spans="1:3">
      <c r="A1195" s="425"/>
      <c r="B1195" s="425"/>
      <c r="C1195" s="425"/>
    </row>
    <row r="1196" spans="1:3">
      <c r="A1196" s="425"/>
      <c r="B1196" s="425"/>
      <c r="C1196" s="425"/>
    </row>
    <row r="1197" spans="1:3">
      <c r="A1197" s="425"/>
      <c r="B1197" s="425"/>
      <c r="C1197" s="425"/>
    </row>
    <row r="1198" spans="1:3">
      <c r="A1198" s="425"/>
      <c r="B1198" s="425"/>
      <c r="C1198" s="425"/>
    </row>
    <row r="1199" spans="1:3">
      <c r="A1199" s="425"/>
      <c r="B1199" s="425"/>
      <c r="C1199" s="425"/>
    </row>
    <row r="1200" spans="1:3">
      <c r="A1200" s="425"/>
      <c r="B1200" s="425"/>
      <c r="C1200" s="425"/>
    </row>
    <row r="1201" spans="1:3">
      <c r="A1201" s="425"/>
      <c r="B1201" s="425"/>
      <c r="C1201" s="425"/>
    </row>
    <row r="1202" spans="1:3">
      <c r="A1202" s="425"/>
      <c r="B1202" s="425"/>
      <c r="C1202" s="425"/>
    </row>
    <row r="1203" spans="1:3">
      <c r="A1203" s="425"/>
      <c r="B1203" s="425"/>
      <c r="C1203" s="425"/>
    </row>
    <row r="1204" spans="1:3">
      <c r="A1204" s="425"/>
      <c r="B1204" s="425"/>
      <c r="C1204" s="425"/>
    </row>
    <row r="1205" spans="1:3">
      <c r="A1205" s="425"/>
      <c r="B1205" s="425"/>
      <c r="C1205" s="425"/>
    </row>
    <row r="1206" spans="1:3">
      <c r="A1206" s="425"/>
      <c r="B1206" s="425"/>
      <c r="C1206" s="425"/>
    </row>
    <row r="1207" spans="1:3">
      <c r="A1207" s="425"/>
      <c r="B1207" s="425"/>
      <c r="C1207" s="425"/>
    </row>
    <row r="1208" spans="1:3">
      <c r="A1208" s="425"/>
      <c r="B1208" s="425"/>
      <c r="C1208" s="425"/>
    </row>
    <row r="1209" spans="1:3">
      <c r="A1209" s="425"/>
      <c r="B1209" s="425"/>
      <c r="C1209" s="425"/>
    </row>
    <row r="1210" spans="1:3">
      <c r="A1210" s="425"/>
      <c r="B1210" s="425"/>
      <c r="C1210" s="425"/>
    </row>
    <row r="1211" spans="1:3">
      <c r="A1211" s="425"/>
      <c r="B1211" s="425"/>
      <c r="C1211" s="425"/>
    </row>
    <row r="1212" spans="1:3">
      <c r="A1212" s="425"/>
      <c r="B1212" s="425"/>
      <c r="C1212" s="425"/>
    </row>
    <row r="1213" spans="1:3">
      <c r="A1213" s="425"/>
      <c r="B1213" s="425"/>
      <c r="C1213" s="425"/>
    </row>
    <row r="1214" spans="1:3">
      <c r="A1214" s="425"/>
      <c r="B1214" s="425"/>
      <c r="C1214" s="425"/>
    </row>
    <row r="1215" spans="1:3">
      <c r="A1215" s="425"/>
      <c r="B1215" s="425"/>
      <c r="C1215" s="425"/>
    </row>
    <row r="1216" spans="1:3">
      <c r="A1216" s="425"/>
      <c r="B1216" s="425"/>
      <c r="C1216" s="425"/>
    </row>
    <row r="1217" spans="1:3">
      <c r="A1217" s="425"/>
      <c r="B1217" s="425"/>
      <c r="C1217" s="425"/>
    </row>
    <row r="1218" spans="1:3">
      <c r="A1218" s="425"/>
      <c r="B1218" s="425"/>
      <c r="C1218" s="425"/>
    </row>
    <row r="1219" spans="1:3">
      <c r="A1219" s="425"/>
      <c r="B1219" s="425"/>
      <c r="C1219" s="425"/>
    </row>
    <row r="1220" spans="1:3">
      <c r="A1220" s="425"/>
      <c r="B1220" s="425"/>
      <c r="C1220" s="425"/>
    </row>
    <row r="1221" spans="1:3">
      <c r="A1221" s="425"/>
      <c r="B1221" s="425"/>
      <c r="C1221" s="425"/>
    </row>
    <row r="1222" spans="1:3">
      <c r="A1222" s="425"/>
      <c r="B1222" s="425"/>
      <c r="C1222" s="425"/>
    </row>
    <row r="1223" spans="1:3">
      <c r="A1223" s="425"/>
      <c r="B1223" s="425"/>
      <c r="C1223" s="425"/>
    </row>
    <row r="1224" spans="1:3">
      <c r="A1224" s="425"/>
      <c r="B1224" s="425"/>
      <c r="C1224" s="425"/>
    </row>
    <row r="1225" spans="1:3">
      <c r="A1225" s="425"/>
      <c r="B1225" s="425"/>
      <c r="C1225" s="425"/>
    </row>
    <row r="1226" spans="1:3">
      <c r="A1226" s="425"/>
      <c r="B1226" s="425"/>
      <c r="C1226" s="425"/>
    </row>
    <row r="1227" spans="1:3">
      <c r="A1227" s="425"/>
      <c r="B1227" s="425"/>
      <c r="C1227" s="425"/>
    </row>
    <row r="1228" spans="1:3">
      <c r="A1228" s="425"/>
      <c r="B1228" s="425"/>
      <c r="C1228" s="425"/>
    </row>
    <row r="1229" spans="1:3">
      <c r="A1229" s="425"/>
      <c r="B1229" s="425"/>
      <c r="C1229" s="425"/>
    </row>
    <row r="1230" spans="1:3">
      <c r="A1230" s="425"/>
      <c r="B1230" s="425"/>
      <c r="C1230" s="425"/>
    </row>
    <row r="1231" spans="1:3">
      <c r="A1231" s="425"/>
      <c r="B1231" s="425"/>
      <c r="C1231" s="425"/>
    </row>
    <row r="1232" spans="1:3">
      <c r="A1232" s="425"/>
      <c r="B1232" s="425"/>
      <c r="C1232" s="425"/>
    </row>
    <row r="1233" spans="1:3">
      <c r="A1233" s="425"/>
      <c r="B1233" s="425"/>
      <c r="C1233" s="425"/>
    </row>
    <row r="1234" spans="1:3">
      <c r="A1234" s="425"/>
      <c r="B1234" s="425"/>
      <c r="C1234" s="425"/>
    </row>
    <row r="1235" spans="1:3">
      <c r="A1235" s="425"/>
      <c r="B1235" s="425"/>
      <c r="C1235" s="425"/>
    </row>
    <row r="1236" spans="1:3">
      <c r="A1236" s="425"/>
      <c r="B1236" s="425"/>
      <c r="C1236" s="425"/>
    </row>
    <row r="1237" spans="1:3">
      <c r="A1237" s="425"/>
      <c r="B1237" s="425"/>
      <c r="C1237" s="425"/>
    </row>
    <row r="1238" spans="1:3">
      <c r="A1238" s="425"/>
      <c r="B1238" s="425"/>
      <c r="C1238" s="425"/>
    </row>
    <row r="1239" spans="1:3">
      <c r="A1239" s="425"/>
      <c r="B1239" s="425"/>
      <c r="C1239" s="425"/>
    </row>
    <row r="1240" spans="1:3">
      <c r="A1240" s="425"/>
      <c r="B1240" s="425"/>
      <c r="C1240" s="425"/>
    </row>
    <row r="1241" spans="1:3">
      <c r="A1241" s="425"/>
      <c r="B1241" s="425"/>
      <c r="C1241" s="425"/>
    </row>
    <row r="1242" spans="1:3">
      <c r="A1242" s="425"/>
      <c r="B1242" s="425"/>
      <c r="C1242" s="425"/>
    </row>
    <row r="1243" spans="1:3">
      <c r="A1243" s="425"/>
      <c r="B1243" s="425"/>
      <c r="C1243" s="425"/>
    </row>
    <row r="1244" spans="1:3">
      <c r="A1244" s="425"/>
      <c r="B1244" s="425"/>
      <c r="C1244" s="425"/>
    </row>
    <row r="1245" spans="1:3">
      <c r="A1245" s="425"/>
      <c r="B1245" s="425"/>
      <c r="C1245" s="425"/>
    </row>
    <row r="1246" spans="1:3">
      <c r="A1246" s="425"/>
      <c r="B1246" s="425"/>
      <c r="C1246" s="425"/>
    </row>
    <row r="1247" spans="1:3">
      <c r="A1247" s="425"/>
      <c r="B1247" s="425"/>
      <c r="C1247" s="425"/>
    </row>
    <row r="1248" spans="1:3">
      <c r="A1248" s="425"/>
      <c r="B1248" s="425"/>
      <c r="C1248" s="425"/>
    </row>
    <row r="1249" spans="1:3">
      <c r="A1249" s="425"/>
      <c r="B1249" s="425"/>
      <c r="C1249" s="425"/>
    </row>
    <row r="1250" spans="1:3">
      <c r="A1250" s="425"/>
      <c r="B1250" s="425"/>
      <c r="C1250" s="425"/>
    </row>
    <row r="1251" spans="1:3">
      <c r="A1251" s="425"/>
      <c r="B1251" s="425"/>
      <c r="C1251" s="425"/>
    </row>
    <row r="1252" spans="1:3">
      <c r="A1252" s="425"/>
      <c r="B1252" s="425"/>
      <c r="C1252" s="425"/>
    </row>
    <row r="1253" spans="1:3">
      <c r="A1253" s="425"/>
      <c r="B1253" s="425"/>
      <c r="C1253" s="425"/>
    </row>
    <row r="1254" spans="1:3">
      <c r="A1254" s="425"/>
      <c r="B1254" s="425"/>
      <c r="C1254" s="425"/>
    </row>
    <row r="1255" spans="1:3">
      <c r="A1255" s="425"/>
      <c r="B1255" s="425"/>
      <c r="C1255" s="425"/>
    </row>
    <row r="1256" spans="1:3">
      <c r="A1256" s="425"/>
      <c r="B1256" s="425"/>
      <c r="C1256" s="425"/>
    </row>
    <row r="1257" spans="1:3">
      <c r="A1257" s="425"/>
      <c r="B1257" s="425"/>
      <c r="C1257" s="425"/>
    </row>
    <row r="1258" spans="1:3">
      <c r="A1258" s="425"/>
      <c r="B1258" s="425"/>
      <c r="C1258" s="425"/>
    </row>
    <row r="1259" spans="1:3">
      <c r="A1259" s="425"/>
      <c r="B1259" s="425"/>
      <c r="C1259" s="425"/>
    </row>
    <row r="1260" spans="1:3">
      <c r="A1260" s="425"/>
      <c r="B1260" s="425"/>
      <c r="C1260" s="425"/>
    </row>
    <row r="1261" spans="1:3">
      <c r="A1261" s="425"/>
      <c r="B1261" s="425"/>
      <c r="C1261" s="425"/>
    </row>
    <row r="1262" spans="1:3">
      <c r="A1262" s="425"/>
      <c r="B1262" s="425"/>
      <c r="C1262" s="425"/>
    </row>
    <row r="1263" spans="1:3">
      <c r="A1263" s="425"/>
      <c r="B1263" s="425"/>
      <c r="C1263" s="425"/>
    </row>
    <row r="1264" spans="1:3">
      <c r="A1264" s="425"/>
      <c r="B1264" s="425"/>
      <c r="C1264" s="425"/>
    </row>
    <row r="1265" spans="1:3">
      <c r="A1265" s="425"/>
      <c r="B1265" s="425"/>
      <c r="C1265" s="425"/>
    </row>
    <row r="1266" spans="1:3">
      <c r="A1266" s="425"/>
      <c r="B1266" s="425"/>
      <c r="C1266" s="425"/>
    </row>
    <row r="1267" spans="1:3">
      <c r="A1267" s="425"/>
      <c r="B1267" s="425"/>
      <c r="C1267" s="425"/>
    </row>
    <row r="1268" spans="1:3">
      <c r="A1268" s="425"/>
      <c r="B1268" s="425"/>
      <c r="C1268" s="425"/>
    </row>
    <row r="1269" spans="1:3">
      <c r="A1269" s="425"/>
      <c r="B1269" s="425"/>
      <c r="C1269" s="425"/>
    </row>
    <row r="1270" spans="1:3">
      <c r="A1270" s="425"/>
      <c r="B1270" s="425"/>
      <c r="C1270" s="425"/>
    </row>
    <row r="1271" spans="1:3">
      <c r="A1271" s="425"/>
      <c r="B1271" s="425"/>
      <c r="C1271" s="425"/>
    </row>
    <row r="1272" spans="1:3">
      <c r="A1272" s="425"/>
      <c r="B1272" s="425"/>
      <c r="C1272" s="425"/>
    </row>
    <row r="1273" spans="1:3">
      <c r="A1273" s="425"/>
      <c r="B1273" s="425"/>
      <c r="C1273" s="425"/>
    </row>
    <row r="1274" spans="1:3">
      <c r="A1274" s="425"/>
      <c r="B1274" s="425"/>
      <c r="C1274" s="425"/>
    </row>
    <row r="1275" spans="1:3">
      <c r="A1275" s="425"/>
      <c r="B1275" s="425"/>
      <c r="C1275" s="425"/>
    </row>
    <row r="1276" spans="1:3">
      <c r="A1276" s="425"/>
      <c r="B1276" s="425"/>
      <c r="C1276" s="425"/>
    </row>
    <row r="1277" spans="1:3">
      <c r="A1277" s="425"/>
      <c r="B1277" s="425"/>
      <c r="C1277" s="425"/>
    </row>
    <row r="1278" spans="1:3">
      <c r="A1278" s="425"/>
      <c r="B1278" s="425"/>
      <c r="C1278" s="425"/>
    </row>
    <row r="1279" spans="1:3">
      <c r="A1279" s="425"/>
      <c r="B1279" s="425"/>
      <c r="C1279" s="425"/>
    </row>
    <row r="1280" spans="1:3">
      <c r="A1280" s="425"/>
      <c r="B1280" s="425"/>
      <c r="C1280" s="425"/>
    </row>
    <row r="1281" spans="1:3">
      <c r="A1281" s="425"/>
      <c r="B1281" s="425"/>
      <c r="C1281" s="425"/>
    </row>
    <row r="1282" spans="1:3">
      <c r="A1282" s="425"/>
      <c r="B1282" s="425"/>
      <c r="C1282" s="425"/>
    </row>
    <row r="1283" spans="1:3">
      <c r="A1283" s="425"/>
      <c r="B1283" s="425"/>
      <c r="C1283" s="425"/>
    </row>
    <row r="1284" spans="1:3">
      <c r="A1284" s="425"/>
      <c r="B1284" s="425"/>
      <c r="C1284" s="425"/>
    </row>
    <row r="1285" spans="1:3">
      <c r="A1285" s="425"/>
      <c r="B1285" s="425"/>
      <c r="C1285" s="425"/>
    </row>
    <row r="1286" spans="1:3">
      <c r="A1286" s="425"/>
      <c r="B1286" s="425"/>
      <c r="C1286" s="425"/>
    </row>
    <row r="1287" spans="1:3">
      <c r="A1287" s="425"/>
      <c r="B1287" s="425"/>
      <c r="C1287" s="425"/>
    </row>
    <row r="1288" spans="1:3">
      <c r="A1288" s="425"/>
      <c r="B1288" s="425"/>
      <c r="C1288" s="425"/>
    </row>
    <row r="1289" spans="1:3">
      <c r="A1289" s="425"/>
      <c r="B1289" s="425"/>
      <c r="C1289" s="425"/>
    </row>
    <row r="1290" spans="1:3">
      <c r="A1290" s="425"/>
      <c r="B1290" s="425"/>
      <c r="C1290" s="425"/>
    </row>
    <row r="1291" spans="1:3">
      <c r="A1291" s="425"/>
      <c r="B1291" s="425"/>
      <c r="C1291" s="425"/>
    </row>
    <row r="1292" spans="1:3">
      <c r="A1292" s="425"/>
      <c r="B1292" s="425"/>
      <c r="C1292" s="425"/>
    </row>
    <row r="1293" spans="1:3">
      <c r="A1293" s="425"/>
      <c r="B1293" s="425"/>
      <c r="C1293" s="425"/>
    </row>
    <row r="1294" spans="1:3">
      <c r="A1294" s="425"/>
      <c r="B1294" s="425"/>
      <c r="C1294" s="425"/>
    </row>
    <row r="1295" spans="1:3">
      <c r="A1295" s="425"/>
      <c r="B1295" s="425"/>
      <c r="C1295" s="425"/>
    </row>
    <row r="1296" spans="1:3">
      <c r="A1296" s="425"/>
      <c r="B1296" s="425"/>
      <c r="C1296" s="425"/>
    </row>
    <row r="1297" spans="1:3">
      <c r="A1297" s="425"/>
      <c r="B1297" s="425"/>
      <c r="C1297" s="425"/>
    </row>
    <row r="1298" spans="1:3">
      <c r="A1298" s="425"/>
      <c r="B1298" s="425"/>
      <c r="C1298" s="425"/>
    </row>
    <row r="1299" spans="1:3">
      <c r="A1299" s="425"/>
      <c r="B1299" s="425"/>
      <c r="C1299" s="425"/>
    </row>
    <row r="1300" spans="1:3">
      <c r="A1300" s="425"/>
      <c r="B1300" s="425"/>
      <c r="C1300" s="425"/>
    </row>
    <row r="1301" spans="1:3">
      <c r="A1301" s="425"/>
      <c r="B1301" s="425"/>
      <c r="C1301" s="425"/>
    </row>
    <row r="1302" spans="1:3">
      <c r="A1302" s="425"/>
      <c r="B1302" s="425"/>
      <c r="C1302" s="425"/>
    </row>
    <row r="1303" spans="1:3">
      <c r="A1303" s="425"/>
      <c r="B1303" s="425"/>
      <c r="C1303" s="425"/>
    </row>
    <row r="1304" spans="1:3">
      <c r="A1304" s="425"/>
      <c r="B1304" s="425"/>
      <c r="C1304" s="425"/>
    </row>
    <row r="1305" spans="1:3">
      <c r="A1305" s="425"/>
      <c r="B1305" s="425"/>
      <c r="C1305" s="425"/>
    </row>
    <row r="1306" spans="1:3">
      <c r="A1306" s="425"/>
      <c r="B1306" s="425"/>
      <c r="C1306" s="425"/>
    </row>
    <row r="1307" spans="1:3">
      <c r="A1307" s="425"/>
      <c r="B1307" s="425"/>
      <c r="C1307" s="425"/>
    </row>
    <row r="1308" spans="1:3">
      <c r="A1308" s="425"/>
      <c r="B1308" s="425"/>
      <c r="C1308" s="425"/>
    </row>
    <row r="1309" spans="1:3">
      <c r="A1309" s="425"/>
      <c r="B1309" s="425"/>
      <c r="C1309" s="425"/>
    </row>
    <row r="1310" spans="1:3">
      <c r="A1310" s="425"/>
      <c r="B1310" s="425"/>
      <c r="C1310" s="425"/>
    </row>
    <row r="1311" spans="1:3">
      <c r="A1311" s="425"/>
      <c r="B1311" s="425"/>
      <c r="C1311" s="425"/>
    </row>
    <row r="1312" spans="1:3">
      <c r="A1312" s="425"/>
      <c r="B1312" s="425"/>
      <c r="C1312" s="425"/>
    </row>
    <row r="1313" spans="1:3">
      <c r="A1313" s="425"/>
      <c r="B1313" s="425"/>
      <c r="C1313" s="425"/>
    </row>
    <row r="1314" spans="1:3">
      <c r="A1314" s="425"/>
      <c r="B1314" s="425"/>
      <c r="C1314" s="425"/>
    </row>
    <row r="1315" spans="1:3">
      <c r="A1315" s="425"/>
      <c r="B1315" s="425"/>
      <c r="C1315" s="425"/>
    </row>
    <row r="1316" spans="1:3">
      <c r="A1316" s="425"/>
      <c r="B1316" s="425"/>
      <c r="C1316" s="425"/>
    </row>
    <row r="1317" spans="1:3">
      <c r="A1317" s="425"/>
      <c r="B1317" s="425"/>
      <c r="C1317" s="425"/>
    </row>
    <row r="1318" spans="1:3">
      <c r="A1318" s="425"/>
      <c r="B1318" s="425"/>
      <c r="C1318" s="425"/>
    </row>
    <row r="1319" spans="1:3">
      <c r="A1319" s="425"/>
      <c r="B1319" s="425"/>
      <c r="C1319" s="425"/>
    </row>
    <row r="1320" spans="1:3">
      <c r="A1320" s="425"/>
      <c r="B1320" s="425"/>
      <c r="C1320" s="425"/>
    </row>
    <row r="1321" spans="1:3">
      <c r="A1321" s="425"/>
      <c r="B1321" s="425"/>
      <c r="C1321" s="425"/>
    </row>
    <row r="1322" spans="1:3">
      <c r="A1322" s="425"/>
      <c r="B1322" s="425"/>
      <c r="C1322" s="425"/>
    </row>
    <row r="1323" spans="1:3">
      <c r="A1323" s="425"/>
      <c r="B1323" s="425"/>
      <c r="C1323" s="425"/>
    </row>
    <row r="1324" spans="1:3">
      <c r="A1324" s="425"/>
      <c r="B1324" s="425"/>
      <c r="C1324" s="425"/>
    </row>
    <row r="1325" spans="1:3">
      <c r="A1325" s="425"/>
      <c r="B1325" s="425"/>
      <c r="C1325" s="425"/>
    </row>
    <row r="1326" spans="1:3">
      <c r="A1326" s="425"/>
      <c r="B1326" s="425"/>
      <c r="C1326" s="425"/>
    </row>
    <row r="1327" spans="1:3">
      <c r="A1327" s="425"/>
      <c r="B1327" s="425"/>
      <c r="C1327" s="425"/>
    </row>
    <row r="1328" spans="1:3">
      <c r="A1328" s="425"/>
      <c r="B1328" s="425"/>
      <c r="C1328" s="425"/>
    </row>
    <row r="1329" spans="1:3">
      <c r="A1329" s="425"/>
      <c r="B1329" s="425"/>
      <c r="C1329" s="425"/>
    </row>
    <row r="1330" spans="1:3">
      <c r="A1330" s="425"/>
      <c r="B1330" s="425"/>
      <c r="C1330" s="425"/>
    </row>
    <row r="1331" spans="1:3">
      <c r="A1331" s="425"/>
      <c r="B1331" s="425"/>
      <c r="C1331" s="425"/>
    </row>
    <row r="1332" spans="1:3">
      <c r="A1332" s="425"/>
      <c r="B1332" s="425"/>
      <c r="C1332" s="425"/>
    </row>
    <row r="1333" spans="1:3">
      <c r="A1333" s="425"/>
      <c r="B1333" s="425"/>
      <c r="C1333" s="425"/>
    </row>
    <row r="1334" spans="1:3">
      <c r="A1334" s="425"/>
      <c r="B1334" s="425"/>
      <c r="C1334" s="425"/>
    </row>
    <row r="1335" spans="1:3">
      <c r="A1335" s="425"/>
      <c r="B1335" s="425"/>
      <c r="C1335" s="425"/>
    </row>
    <row r="1336" spans="1:3">
      <c r="A1336" s="425"/>
      <c r="B1336" s="425"/>
      <c r="C1336" s="425"/>
    </row>
    <row r="1337" spans="1:3">
      <c r="A1337" s="425"/>
      <c r="B1337" s="425"/>
      <c r="C1337" s="425"/>
    </row>
    <row r="1338" spans="1:3">
      <c r="A1338" s="425"/>
      <c r="B1338" s="425"/>
      <c r="C1338" s="425"/>
    </row>
    <row r="1339" spans="1:3">
      <c r="A1339" s="425"/>
      <c r="B1339" s="425"/>
      <c r="C1339" s="425"/>
    </row>
    <row r="1340" spans="1:3">
      <c r="A1340" s="425"/>
      <c r="B1340" s="425"/>
      <c r="C1340" s="425"/>
    </row>
    <row r="1341" spans="1:3">
      <c r="A1341" s="425"/>
      <c r="B1341" s="425"/>
      <c r="C1341" s="425"/>
    </row>
    <row r="1342" spans="1:3">
      <c r="A1342" s="425"/>
      <c r="B1342" s="425"/>
      <c r="C1342" s="425"/>
    </row>
    <row r="1343" spans="1:3">
      <c r="A1343" s="425"/>
      <c r="B1343" s="425"/>
      <c r="C1343" s="425"/>
    </row>
    <row r="1344" spans="1:3">
      <c r="A1344" s="425"/>
      <c r="B1344" s="425"/>
      <c r="C1344" s="425"/>
    </row>
    <row r="1345" spans="1:3">
      <c r="A1345" s="425"/>
      <c r="B1345" s="425"/>
      <c r="C1345" s="425"/>
    </row>
    <row r="1346" spans="1:3">
      <c r="A1346" s="425"/>
      <c r="B1346" s="425"/>
      <c r="C1346" s="425"/>
    </row>
    <row r="1347" spans="1:3">
      <c r="A1347" s="425"/>
      <c r="B1347" s="425"/>
      <c r="C1347" s="425"/>
    </row>
    <row r="1348" spans="1:3">
      <c r="A1348" s="425"/>
      <c r="B1348" s="425"/>
      <c r="C1348" s="425"/>
    </row>
    <row r="1349" spans="1:3">
      <c r="A1349" s="425"/>
      <c r="B1349" s="425"/>
      <c r="C1349" s="425"/>
    </row>
    <row r="1350" spans="1:3">
      <c r="A1350" s="425"/>
      <c r="B1350" s="425"/>
      <c r="C1350" s="425"/>
    </row>
    <row r="1351" spans="1:3">
      <c r="A1351" s="425"/>
      <c r="B1351" s="425"/>
      <c r="C1351" s="425"/>
    </row>
    <row r="1352" spans="1:3">
      <c r="A1352" s="425"/>
      <c r="B1352" s="425"/>
      <c r="C1352" s="425"/>
    </row>
    <row r="1353" spans="1:3">
      <c r="A1353" s="425"/>
      <c r="B1353" s="425"/>
      <c r="C1353" s="425"/>
    </row>
    <row r="1354" spans="1:3">
      <c r="A1354" s="425"/>
      <c r="B1354" s="425"/>
      <c r="C1354" s="425"/>
    </row>
    <row r="1355" spans="1:3">
      <c r="A1355" s="425"/>
      <c r="B1355" s="425"/>
      <c r="C1355" s="425"/>
    </row>
    <row r="1356" spans="1:3">
      <c r="A1356" s="425"/>
      <c r="B1356" s="425"/>
      <c r="C1356" s="425"/>
    </row>
    <row r="1357" spans="1:3">
      <c r="A1357" s="425"/>
      <c r="B1357" s="425"/>
      <c r="C1357" s="425"/>
    </row>
    <row r="1358" spans="1:3">
      <c r="A1358" s="425"/>
      <c r="B1358" s="425"/>
      <c r="C1358" s="425"/>
    </row>
    <row r="1359" spans="1:3">
      <c r="A1359" s="425"/>
      <c r="B1359" s="425"/>
      <c r="C1359" s="425"/>
    </row>
    <row r="1360" spans="1:3">
      <c r="A1360" s="425"/>
      <c r="B1360" s="425"/>
      <c r="C1360" s="425"/>
    </row>
    <row r="1361" spans="1:3">
      <c r="A1361" s="425"/>
      <c r="B1361" s="425"/>
      <c r="C1361" s="425"/>
    </row>
    <row r="1362" spans="1:3">
      <c r="A1362" s="425"/>
      <c r="B1362" s="425"/>
      <c r="C1362" s="425"/>
    </row>
    <row r="1363" spans="1:3">
      <c r="A1363" s="425"/>
      <c r="B1363" s="425"/>
      <c r="C1363" s="425"/>
    </row>
    <row r="1364" spans="1:3">
      <c r="A1364" s="425"/>
      <c r="B1364" s="425"/>
      <c r="C1364" s="425"/>
    </row>
    <row r="1365" spans="1:3">
      <c r="A1365" s="425"/>
      <c r="B1365" s="425"/>
      <c r="C1365" s="425"/>
    </row>
    <row r="1366" spans="1:3">
      <c r="A1366" s="425"/>
      <c r="B1366" s="425"/>
      <c r="C1366" s="425"/>
    </row>
    <row r="1367" spans="1:3">
      <c r="A1367" s="425"/>
      <c r="B1367" s="425"/>
      <c r="C1367" s="425"/>
    </row>
    <row r="1368" spans="1:3">
      <c r="A1368" s="425"/>
      <c r="B1368" s="425"/>
      <c r="C1368" s="425"/>
    </row>
    <row r="1369" spans="1:3">
      <c r="A1369" s="425"/>
      <c r="B1369" s="425"/>
      <c r="C1369" s="425"/>
    </row>
    <row r="1370" spans="1:3">
      <c r="A1370" s="425"/>
      <c r="B1370" s="425"/>
      <c r="C1370" s="425"/>
    </row>
    <row r="1371" spans="1:3">
      <c r="A1371" s="425"/>
      <c r="B1371" s="425"/>
      <c r="C1371" s="425"/>
    </row>
    <row r="1372" spans="1:3">
      <c r="A1372" s="425"/>
      <c r="B1372" s="425"/>
      <c r="C1372" s="425"/>
    </row>
    <row r="1373" spans="1:3">
      <c r="A1373" s="425"/>
      <c r="B1373" s="425"/>
      <c r="C1373" s="425"/>
    </row>
    <row r="1374" spans="1:3">
      <c r="A1374" s="425"/>
      <c r="B1374" s="425"/>
      <c r="C1374" s="425"/>
    </row>
    <row r="1375" spans="1:3"/>
    <row r="1376" spans="1:3"/>
    <row r="1377" spans="1:3">
      <c r="A1377" s="425"/>
      <c r="B1377" s="425"/>
      <c r="C1377" s="425"/>
    </row>
    <row r="1378" spans="1:3">
      <c r="A1378" s="425"/>
      <c r="B1378" s="425"/>
      <c r="C1378" s="425"/>
    </row>
    <row r="1379" spans="1:3">
      <c r="A1379" s="425"/>
      <c r="B1379" s="425"/>
      <c r="C1379" s="425"/>
    </row>
    <row r="1380" spans="1:3">
      <c r="A1380" s="425"/>
      <c r="B1380" s="425"/>
      <c r="C1380" s="425"/>
    </row>
    <row r="1381" spans="1:3">
      <c r="A1381" s="425"/>
      <c r="B1381" s="425"/>
      <c r="C1381" s="425"/>
    </row>
    <row r="1382" spans="1:3">
      <c r="A1382" s="425"/>
      <c r="B1382" s="425"/>
      <c r="C1382" s="425"/>
    </row>
    <row r="1383" spans="1:3">
      <c r="A1383" s="425"/>
      <c r="B1383" s="425"/>
      <c r="C1383" s="425"/>
    </row>
    <row r="1384" spans="1:3">
      <c r="A1384" s="425"/>
      <c r="B1384" s="425"/>
      <c r="C1384" s="425"/>
    </row>
    <row r="1385" spans="1:3">
      <c r="A1385" s="425"/>
      <c r="B1385" s="425"/>
      <c r="C1385" s="425"/>
    </row>
    <row r="1386" spans="1:3">
      <c r="A1386" s="425"/>
      <c r="B1386" s="425"/>
      <c r="C1386" s="425"/>
    </row>
    <row r="1387" spans="1:3">
      <c r="A1387" s="425"/>
      <c r="B1387" s="425"/>
      <c r="C1387" s="425"/>
    </row>
    <row r="1388" spans="1:3">
      <c r="A1388" s="425"/>
      <c r="B1388" s="425"/>
      <c r="C1388" s="425"/>
    </row>
    <row r="1389" spans="1:3">
      <c r="A1389" s="425"/>
      <c r="B1389" s="425"/>
      <c r="C1389" s="425"/>
    </row>
    <row r="1390" spans="1:3">
      <c r="A1390" s="425"/>
      <c r="B1390" s="425"/>
      <c r="C1390" s="425"/>
    </row>
    <row r="1391" spans="1:3">
      <c r="A1391" s="425"/>
      <c r="B1391" s="425"/>
      <c r="C1391" s="425"/>
    </row>
    <row r="1392" spans="1:3">
      <c r="A1392" s="425"/>
      <c r="B1392" s="425"/>
      <c r="C1392" s="425"/>
    </row>
    <row r="1393" spans="1:3">
      <c r="A1393" s="425"/>
      <c r="B1393" s="425"/>
      <c r="C1393" s="425"/>
    </row>
    <row r="1394" spans="1:3">
      <c r="A1394" s="425"/>
      <c r="B1394" s="425"/>
      <c r="C1394" s="425"/>
    </row>
    <row r="1395" spans="1:3">
      <c r="A1395" s="425"/>
      <c r="B1395" s="425"/>
      <c r="C1395" s="425"/>
    </row>
    <row r="1396" spans="1:3">
      <c r="A1396" s="425"/>
      <c r="B1396" s="425"/>
      <c r="C1396" s="425"/>
    </row>
    <row r="1397" spans="1:3">
      <c r="A1397" s="425"/>
      <c r="B1397" s="425"/>
      <c r="C1397" s="425"/>
    </row>
    <row r="1398" spans="1:3">
      <c r="A1398" s="425"/>
      <c r="B1398" s="425"/>
      <c r="C1398" s="425"/>
    </row>
    <row r="1399" spans="1:3">
      <c r="A1399" s="425"/>
      <c r="B1399" s="425"/>
      <c r="C1399" s="425"/>
    </row>
    <row r="1400" spans="1:3">
      <c r="A1400" s="425"/>
      <c r="B1400" s="425"/>
      <c r="C1400" s="425"/>
    </row>
    <row r="1401" spans="1:3">
      <c r="A1401" s="425"/>
      <c r="B1401" s="425"/>
      <c r="C1401" s="425"/>
    </row>
    <row r="1402" spans="1:3">
      <c r="A1402" s="425"/>
      <c r="B1402" s="425"/>
      <c r="C1402" s="425"/>
    </row>
    <row r="1403" spans="1:3">
      <c r="A1403" s="425"/>
      <c r="B1403" s="425"/>
      <c r="C1403" s="425"/>
    </row>
    <row r="1404" spans="1:3">
      <c r="A1404" s="425"/>
      <c r="B1404" s="425"/>
      <c r="C1404" s="425"/>
    </row>
    <row r="1405" spans="1:3">
      <c r="A1405" s="425"/>
      <c r="B1405" s="425"/>
      <c r="C1405" s="425"/>
    </row>
    <row r="1406" spans="1:3">
      <c r="A1406" s="425"/>
      <c r="B1406" s="425"/>
      <c r="C1406" s="425"/>
    </row>
    <row r="1407" spans="1:3">
      <c r="A1407" s="425"/>
      <c r="B1407" s="425"/>
      <c r="C1407" s="425"/>
    </row>
    <row r="1408" spans="1:3">
      <c r="A1408" s="425"/>
      <c r="B1408" s="425"/>
      <c r="C1408" s="425"/>
    </row>
    <row r="1409" spans="1:3">
      <c r="A1409" s="425"/>
      <c r="B1409" s="425"/>
      <c r="C1409" s="425"/>
    </row>
    <row r="1410" spans="1:3">
      <c r="A1410" s="425"/>
      <c r="B1410" s="425"/>
      <c r="C1410" s="425"/>
    </row>
    <row r="1411" spans="1:3">
      <c r="A1411" s="425"/>
      <c r="B1411" s="425"/>
      <c r="C1411" s="425"/>
    </row>
    <row r="1412" spans="1:3">
      <c r="A1412" s="425"/>
      <c r="B1412" s="425"/>
      <c r="C1412" s="425"/>
    </row>
    <row r="1413" spans="1:3">
      <c r="A1413" s="425"/>
      <c r="B1413" s="425"/>
      <c r="C1413" s="425"/>
    </row>
    <row r="1414" spans="1:3">
      <c r="A1414" s="425"/>
      <c r="B1414" s="425"/>
      <c r="C1414" s="425"/>
    </row>
    <row r="1415" spans="1:3">
      <c r="A1415" s="425"/>
      <c r="B1415" s="425"/>
      <c r="C1415" s="425"/>
    </row>
    <row r="1416" spans="1:3">
      <c r="A1416" s="425"/>
      <c r="B1416" s="425"/>
      <c r="C1416" s="425"/>
    </row>
    <row r="1417" spans="1:3">
      <c r="A1417" s="425"/>
      <c r="B1417" s="425"/>
      <c r="C1417" s="425"/>
    </row>
    <row r="1418" spans="1:3">
      <c r="A1418" s="425"/>
      <c r="B1418" s="425"/>
      <c r="C1418" s="425"/>
    </row>
    <row r="1419" spans="1:3">
      <c r="A1419" s="425"/>
      <c r="B1419" s="425"/>
      <c r="C1419" s="425"/>
    </row>
    <row r="1420" spans="1:3">
      <c r="A1420" s="425"/>
      <c r="B1420" s="425"/>
      <c r="C1420" s="425"/>
    </row>
    <row r="1421" spans="1:3">
      <c r="A1421" s="425"/>
      <c r="B1421" s="425"/>
      <c r="C1421" s="425"/>
    </row>
    <row r="1422" spans="1:3">
      <c r="A1422" s="425"/>
      <c r="B1422" s="425"/>
      <c r="C1422" s="425"/>
    </row>
    <row r="1423" spans="1:3">
      <c r="A1423" s="425"/>
      <c r="B1423" s="425"/>
      <c r="C1423" s="425"/>
    </row>
    <row r="1424" spans="1:3">
      <c r="A1424" s="425"/>
      <c r="B1424" s="425"/>
      <c r="C1424" s="425"/>
    </row>
    <row r="1425" spans="1:3">
      <c r="A1425" s="425"/>
      <c r="B1425" s="425"/>
      <c r="C1425" s="425"/>
    </row>
    <row r="1426" spans="1:3">
      <c r="A1426" s="425"/>
      <c r="B1426" s="425"/>
      <c r="C1426" s="425"/>
    </row>
    <row r="1427" spans="1:3">
      <c r="A1427" s="425"/>
      <c r="B1427" s="425"/>
      <c r="C1427" s="425"/>
    </row>
    <row r="1428" spans="1:3">
      <c r="A1428" s="425"/>
      <c r="B1428" s="425"/>
      <c r="C1428" s="425"/>
    </row>
    <row r="1429" spans="1:3">
      <c r="A1429" s="425"/>
      <c r="B1429" s="425"/>
      <c r="C1429" s="425"/>
    </row>
    <row r="1430" spans="1:3">
      <c r="A1430" s="425"/>
      <c r="B1430" s="425"/>
      <c r="C1430" s="425"/>
    </row>
    <row r="1431" spans="1:3">
      <c r="A1431" s="425"/>
      <c r="B1431" s="425"/>
      <c r="C1431" s="425"/>
    </row>
    <row r="1432" spans="1:3">
      <c r="A1432" s="425"/>
      <c r="B1432" s="425"/>
      <c r="C1432" s="425"/>
    </row>
    <row r="1433" spans="1:3">
      <c r="A1433" s="425"/>
      <c r="B1433" s="425"/>
      <c r="C1433" s="425"/>
    </row>
    <row r="1434" spans="1:3">
      <c r="A1434" s="425"/>
      <c r="B1434" s="425"/>
      <c r="C1434" s="425"/>
    </row>
    <row r="1435" spans="1:3">
      <c r="A1435" s="425"/>
      <c r="B1435" s="425"/>
      <c r="C1435" s="425"/>
    </row>
    <row r="1436" spans="1:3">
      <c r="A1436" s="425"/>
      <c r="B1436" s="425"/>
      <c r="C1436" s="425"/>
    </row>
    <row r="1437" spans="1:3">
      <c r="A1437" s="425"/>
      <c r="B1437" s="425"/>
      <c r="C1437" s="425"/>
    </row>
    <row r="1438" spans="1:3">
      <c r="A1438" s="425"/>
      <c r="B1438" s="425"/>
      <c r="C1438" s="425"/>
    </row>
    <row r="1439" spans="1:3">
      <c r="A1439" s="425"/>
      <c r="B1439" s="425"/>
      <c r="C1439" s="425"/>
    </row>
    <row r="1440" spans="1:3">
      <c r="A1440" s="425"/>
      <c r="B1440" s="425"/>
      <c r="C1440" s="425"/>
    </row>
    <row r="1441" spans="1:3">
      <c r="A1441" s="425"/>
      <c r="B1441" s="425"/>
      <c r="C1441" s="425"/>
    </row>
    <row r="1442" spans="1:3">
      <c r="A1442" s="425"/>
      <c r="B1442" s="425"/>
      <c r="C1442" s="425"/>
    </row>
    <row r="1443" spans="1:3">
      <c r="A1443" s="425"/>
      <c r="B1443" s="425"/>
      <c r="C1443" s="425"/>
    </row>
    <row r="1444" spans="1:3">
      <c r="A1444" s="425"/>
      <c r="B1444" s="425"/>
      <c r="C1444" s="425"/>
    </row>
    <row r="1445" spans="1:3">
      <c r="A1445" s="425"/>
      <c r="B1445" s="425"/>
      <c r="C1445" s="425"/>
    </row>
    <row r="1446" spans="1:3">
      <c r="A1446" s="425"/>
      <c r="B1446" s="425"/>
      <c r="C1446" s="425"/>
    </row>
    <row r="1447" spans="1:3">
      <c r="A1447" s="425"/>
      <c r="B1447" s="425"/>
      <c r="C1447" s="425"/>
    </row>
    <row r="1448" spans="1:3">
      <c r="A1448" s="425"/>
      <c r="B1448" s="425"/>
      <c r="C1448" s="425"/>
    </row>
    <row r="1449" spans="1:3">
      <c r="A1449" s="425"/>
      <c r="B1449" s="425"/>
      <c r="C1449" s="425"/>
    </row>
    <row r="1450" spans="1:3">
      <c r="A1450" s="425"/>
      <c r="B1450" s="425"/>
      <c r="C1450" s="425"/>
    </row>
    <row r="1451" spans="1:3">
      <c r="A1451" s="425"/>
      <c r="B1451" s="425"/>
      <c r="C1451" s="425"/>
    </row>
    <row r="1452" spans="1:3">
      <c r="A1452" s="425"/>
      <c r="B1452" s="425"/>
      <c r="C1452" s="425"/>
    </row>
    <row r="1453" spans="1:3">
      <c r="A1453" s="425"/>
      <c r="B1453" s="425"/>
      <c r="C1453" s="425"/>
    </row>
    <row r="1454" spans="1:3">
      <c r="A1454" s="425"/>
      <c r="B1454" s="425"/>
      <c r="C1454" s="425"/>
    </row>
    <row r="1455" spans="1:3">
      <c r="A1455" s="425"/>
      <c r="B1455" s="425"/>
      <c r="C1455" s="425"/>
    </row>
    <row r="1456" spans="1:3">
      <c r="A1456" s="425"/>
      <c r="B1456" s="425"/>
      <c r="C1456" s="425"/>
    </row>
    <row r="1457" spans="1:3">
      <c r="A1457" s="425"/>
      <c r="B1457" s="425"/>
      <c r="C1457" s="425"/>
    </row>
    <row r="1458" spans="1:3">
      <c r="A1458" s="425"/>
      <c r="B1458" s="425"/>
      <c r="C1458" s="425"/>
    </row>
    <row r="1459" spans="1:3">
      <c r="A1459" s="425"/>
      <c r="B1459" s="425"/>
      <c r="C1459" s="425"/>
    </row>
    <row r="1460" spans="1:3">
      <c r="A1460" s="425"/>
      <c r="B1460" s="425"/>
      <c r="C1460" s="425"/>
    </row>
    <row r="1461" spans="1:3">
      <c r="A1461" s="425"/>
      <c r="B1461" s="425"/>
      <c r="C1461" s="425"/>
    </row>
    <row r="1462" spans="1:3">
      <c r="A1462" s="425"/>
      <c r="B1462" s="425"/>
      <c r="C1462" s="425"/>
    </row>
    <row r="1463" spans="1:3">
      <c r="A1463" s="425"/>
      <c r="B1463" s="425"/>
      <c r="C1463" s="425"/>
    </row>
    <row r="1464" spans="1:3">
      <c r="A1464" s="425"/>
      <c r="B1464" s="425"/>
      <c r="C1464" s="425"/>
    </row>
    <row r="1465" spans="1:3">
      <c r="A1465" s="425"/>
      <c r="B1465" s="425"/>
      <c r="C1465" s="425"/>
    </row>
    <row r="1466" spans="1:3">
      <c r="A1466" s="425"/>
      <c r="B1466" s="425"/>
      <c r="C1466" s="425"/>
    </row>
    <row r="1467" spans="1:3">
      <c r="A1467" s="425"/>
      <c r="B1467" s="425"/>
      <c r="C1467" s="425"/>
    </row>
    <row r="1468" spans="1:3">
      <c r="A1468" s="425"/>
      <c r="B1468" s="425"/>
      <c r="C1468" s="425"/>
    </row>
    <row r="1469" spans="1:3">
      <c r="A1469" s="425"/>
      <c r="B1469" s="425"/>
      <c r="C1469" s="425"/>
    </row>
    <row r="1470" spans="1:3">
      <c r="A1470" s="425"/>
      <c r="B1470" s="425"/>
      <c r="C1470" s="425"/>
    </row>
    <row r="1471" spans="1:3">
      <c r="A1471" s="425"/>
      <c r="B1471" s="425"/>
      <c r="C1471" s="425"/>
    </row>
    <row r="1472" spans="1:3">
      <c r="A1472" s="425"/>
      <c r="B1472" s="425"/>
      <c r="C1472" s="425"/>
    </row>
    <row r="1473" spans="1:3">
      <c r="A1473" s="425"/>
      <c r="B1473" s="425"/>
      <c r="C1473" s="425"/>
    </row>
    <row r="1474" spans="1:3">
      <c r="A1474" s="425"/>
      <c r="B1474" s="425"/>
      <c r="C1474" s="425"/>
    </row>
    <row r="1475" spans="1:3">
      <c r="A1475" s="425"/>
      <c r="B1475" s="425"/>
      <c r="C1475" s="425"/>
    </row>
    <row r="1476" spans="1:3">
      <c r="A1476" s="425"/>
      <c r="B1476" s="425"/>
      <c r="C1476" s="425"/>
    </row>
    <row r="1477" spans="1:3">
      <c r="A1477" s="425"/>
      <c r="B1477" s="425"/>
      <c r="C1477" s="425"/>
    </row>
    <row r="1478" spans="1:3">
      <c r="A1478" s="425"/>
      <c r="B1478" s="425"/>
      <c r="C1478" s="425"/>
    </row>
    <row r="1479" spans="1:3">
      <c r="A1479" s="425"/>
      <c r="B1479" s="425"/>
      <c r="C1479" s="425"/>
    </row>
    <row r="1480" spans="1:3">
      <c r="A1480" s="425"/>
      <c r="B1480" s="425"/>
      <c r="C1480" s="425"/>
    </row>
    <row r="1481" spans="1:3">
      <c r="A1481" s="425"/>
      <c r="B1481" s="425"/>
      <c r="C1481" s="425"/>
    </row>
    <row r="1482" spans="1:3">
      <c r="A1482" s="425"/>
      <c r="B1482" s="425"/>
      <c r="C1482" s="425"/>
    </row>
    <row r="1483" spans="1:3">
      <c r="A1483" s="425"/>
      <c r="B1483" s="425"/>
      <c r="C1483" s="425"/>
    </row>
    <row r="1484" spans="1:3">
      <c r="A1484" s="425"/>
      <c r="B1484" s="425"/>
      <c r="C1484" s="425"/>
    </row>
    <row r="1485" spans="1:3">
      <c r="A1485" s="425"/>
      <c r="B1485" s="425"/>
      <c r="C1485" s="425"/>
    </row>
    <row r="1486" spans="1:3">
      <c r="A1486" s="425"/>
      <c r="B1486" s="425"/>
      <c r="C1486" s="425"/>
    </row>
    <row r="1487" spans="1:3">
      <c r="A1487" s="425"/>
      <c r="B1487" s="425"/>
      <c r="C1487" s="425"/>
    </row>
    <row r="1488" spans="1:3">
      <c r="A1488" s="425"/>
      <c r="B1488" s="425"/>
      <c r="C1488" s="425"/>
    </row>
    <row r="1489" spans="1:3">
      <c r="A1489" s="425"/>
      <c r="B1489" s="425"/>
      <c r="C1489" s="425"/>
    </row>
    <row r="1490" spans="1:3">
      <c r="A1490" s="425"/>
      <c r="B1490" s="425"/>
      <c r="C1490" s="425"/>
    </row>
    <row r="1491" spans="1:3">
      <c r="A1491" s="425"/>
      <c r="B1491" s="425"/>
      <c r="C1491" s="425"/>
    </row>
    <row r="1492" spans="1:3">
      <c r="A1492" s="425"/>
      <c r="B1492" s="425"/>
      <c r="C1492" s="425"/>
    </row>
    <row r="1493" spans="1:3">
      <c r="A1493" s="425"/>
      <c r="B1493" s="425"/>
      <c r="C1493" s="425"/>
    </row>
    <row r="1494" spans="1:3">
      <c r="A1494" s="425"/>
      <c r="B1494" s="425"/>
      <c r="C1494" s="425"/>
    </row>
    <row r="1495" spans="1:3">
      <c r="A1495" s="425"/>
      <c r="B1495" s="425"/>
      <c r="C1495" s="425"/>
    </row>
    <row r="1496" spans="1:3">
      <c r="A1496" s="425"/>
      <c r="B1496" s="425"/>
      <c r="C1496" s="425"/>
    </row>
    <row r="1497" spans="1:3">
      <c r="A1497" s="425"/>
      <c r="B1497" s="425"/>
      <c r="C1497" s="425"/>
    </row>
    <row r="1498" spans="1:3">
      <c r="A1498" s="425"/>
      <c r="B1498" s="425"/>
      <c r="C1498" s="425"/>
    </row>
    <row r="1499" spans="1:3">
      <c r="A1499" s="425"/>
      <c r="B1499" s="425"/>
      <c r="C1499" s="425"/>
    </row>
    <row r="1500" spans="1:3">
      <c r="A1500" s="425"/>
      <c r="B1500" s="425"/>
      <c r="C1500" s="425"/>
    </row>
    <row r="1501" spans="1:3">
      <c r="A1501" s="425"/>
      <c r="B1501" s="425"/>
      <c r="C1501" s="425"/>
    </row>
    <row r="1502" spans="1:3">
      <c r="A1502" s="425"/>
      <c r="B1502" s="425"/>
      <c r="C1502" s="425"/>
    </row>
    <row r="1503" spans="1:3">
      <c r="A1503" s="425"/>
      <c r="B1503" s="425"/>
      <c r="C1503" s="425"/>
    </row>
    <row r="1504" spans="1:3">
      <c r="A1504" s="425"/>
      <c r="B1504" s="425"/>
      <c r="C1504" s="425"/>
    </row>
    <row r="1505" spans="1:3">
      <c r="A1505" s="425"/>
      <c r="B1505" s="425"/>
      <c r="C1505" s="425"/>
    </row>
    <row r="1506" spans="1:3">
      <c r="A1506" s="425"/>
      <c r="B1506" s="425"/>
      <c r="C1506" s="425"/>
    </row>
    <row r="1507" spans="1:3">
      <c r="A1507" s="425"/>
      <c r="B1507" s="425"/>
      <c r="C1507" s="425"/>
    </row>
    <row r="1508" spans="1:3">
      <c r="A1508" s="425"/>
      <c r="B1508" s="425"/>
      <c r="C1508" s="425"/>
    </row>
    <row r="1509" spans="1:3">
      <c r="A1509" s="425"/>
      <c r="B1509" s="425"/>
      <c r="C1509" s="425"/>
    </row>
    <row r="1510" spans="1:3">
      <c r="A1510" s="425"/>
      <c r="B1510" s="425"/>
      <c r="C1510" s="425"/>
    </row>
    <row r="1511" spans="1:3">
      <c r="A1511" s="425"/>
      <c r="B1511" s="425"/>
      <c r="C1511" s="425"/>
    </row>
    <row r="1512" spans="1:3">
      <c r="A1512" s="425"/>
      <c r="B1512" s="425"/>
      <c r="C1512" s="425"/>
    </row>
    <row r="1513" spans="1:3">
      <c r="A1513" s="425"/>
      <c r="B1513" s="425"/>
      <c r="C1513" s="425"/>
    </row>
    <row r="1514" spans="1:3">
      <c r="A1514" s="425"/>
      <c r="B1514" s="425"/>
      <c r="C1514" s="425"/>
    </row>
    <row r="1515" spans="1:3">
      <c r="A1515" s="425"/>
      <c r="B1515" s="425"/>
      <c r="C1515" s="425"/>
    </row>
    <row r="1516" spans="1:3">
      <c r="A1516" s="425"/>
      <c r="B1516" s="425"/>
      <c r="C1516" s="425"/>
    </row>
    <row r="1517" spans="1:3">
      <c r="A1517" s="425"/>
      <c r="B1517" s="425"/>
      <c r="C1517" s="425"/>
    </row>
    <row r="1518" spans="1:3">
      <c r="A1518" s="425"/>
      <c r="B1518" s="425"/>
      <c r="C1518" s="425"/>
    </row>
    <row r="1519" spans="1:3">
      <c r="A1519" s="425"/>
      <c r="B1519" s="425"/>
      <c r="C1519" s="425"/>
    </row>
    <row r="1520" spans="1:3"/>
    <row r="1521" spans="7:9"/>
    <row r="1522" spans="7:9"/>
    <row r="1523" spans="7:9">
      <c r="G1523" s="1285"/>
      <c r="H1523" s="1285"/>
      <c r="I1523" s="128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G396" zoomScale="110" zoomScaleNormal="110" zoomScaleSheetLayoutView="80" workbookViewId="0">
      <selection activeCell="AI411" sqref="AI411"/>
    </sheetView>
  </sheetViews>
  <sheetFormatPr defaultColWidth="0" defaultRowHeight="13.25" customHeight="1" zeroHeight="1"/>
  <cols>
    <col min="1" max="36" width="2.453125" customWidth="1"/>
    <col min="37" max="37" width="2.6328125" customWidth="1"/>
    <col min="38" max="45" width="2.453125" customWidth="1"/>
    <col min="46" max="46" width="3.6328125" customWidth="1"/>
    <col min="16384" max="16384" width="3.6328125" hidden="1"/>
  </cols>
  <sheetData>
    <row r="1" spans="1:51" ht="13.25" customHeight="1">
      <c r="J1" s="100"/>
      <c r="AS1" s="1057">
        <v>4</v>
      </c>
    </row>
    <row r="2" spans="1:51" ht="13.25" customHeight="1"/>
    <row r="3" spans="1:51" ht="13.25" customHeight="1"/>
    <row r="4" spans="1:51" ht="13.25" customHeight="1"/>
    <row r="5" spans="1:51" ht="13.25" customHeight="1"/>
    <row r="6" spans="1:51" ht="13.25" customHeight="1"/>
    <row r="7" spans="1:51" ht="13.25"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26"/>
      <c r="AN8" s="926"/>
      <c r="AO8" s="926"/>
      <c r="AP8" s="926"/>
      <c r="AQ8" s="926"/>
      <c r="AR8" s="926"/>
      <c r="AS8" s="926"/>
      <c r="AT8" s="926"/>
      <c r="AU8" s="926"/>
      <c r="AV8" s="926"/>
      <c r="AW8" s="926"/>
      <c r="AX8" s="926"/>
      <c r="AY8" s="926"/>
    </row>
    <row r="9" spans="1:51" ht="13.25" customHeight="1">
      <c r="A9" s="1295" t="s">
        <v>2480</v>
      </c>
      <c r="B9" s="1295"/>
      <c r="C9" s="1295"/>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5"/>
      <c r="AB9" s="1295"/>
      <c r="AC9" s="1295"/>
      <c r="AD9" s="1295"/>
      <c r="AE9" s="1295"/>
      <c r="AF9" s="1295"/>
      <c r="AG9" s="1295"/>
      <c r="AH9" s="1295"/>
      <c r="AI9" s="1295"/>
      <c r="AJ9" s="1295"/>
      <c r="AK9" s="1295"/>
      <c r="AL9" s="1295"/>
      <c r="AM9" s="13"/>
      <c r="AN9" s="13"/>
      <c r="AO9" s="13"/>
      <c r="AP9" s="13"/>
      <c r="AQ9" s="13"/>
      <c r="AR9" s="13"/>
      <c r="AS9" s="13"/>
      <c r="AT9" s="13"/>
      <c r="AU9" s="13"/>
      <c r="AV9" s="13"/>
      <c r="AW9" s="13"/>
      <c r="AX9" s="13"/>
      <c r="AY9" s="13"/>
    </row>
    <row r="10" spans="1:51" ht="13.25" customHeight="1">
      <c r="A10" s="1295" t="s">
        <v>2614</v>
      </c>
      <c r="B10" s="1295"/>
      <c r="C10" s="1295"/>
      <c r="D10" s="1295"/>
      <c r="E10" s="1295"/>
      <c r="F10" s="1295"/>
      <c r="G10" s="1295"/>
      <c r="H10" s="1295"/>
      <c r="I10" s="1295"/>
      <c r="J10" s="1295"/>
      <c r="K10" s="1295"/>
      <c r="L10" s="1295"/>
      <c r="M10" s="1295"/>
      <c r="N10" s="1295"/>
      <c r="O10" s="1295"/>
      <c r="P10" s="1295"/>
      <c r="Q10" s="1295"/>
      <c r="R10" s="1295"/>
      <c r="S10" s="1295"/>
      <c r="T10" s="1295"/>
      <c r="U10" s="1295"/>
      <c r="V10" s="1295"/>
      <c r="W10" s="1295"/>
      <c r="X10" s="1295"/>
      <c r="Y10" s="1295"/>
      <c r="Z10" s="1295"/>
      <c r="AA10" s="1295"/>
      <c r="AB10" s="1295"/>
      <c r="AC10" s="1295"/>
      <c r="AD10" s="1295"/>
      <c r="AE10" s="1295"/>
      <c r="AF10" s="1295"/>
      <c r="AG10" s="1295"/>
      <c r="AH10" s="1295"/>
      <c r="AI10" s="1295"/>
      <c r="AJ10" s="1295"/>
      <c r="AK10" s="1295"/>
      <c r="AL10" s="1295"/>
      <c r="AM10" s="13"/>
      <c r="AN10" s="13"/>
      <c r="AO10" s="13"/>
      <c r="AP10" s="13"/>
      <c r="AQ10" s="13"/>
      <c r="AR10" s="13"/>
      <c r="AS10" s="13"/>
      <c r="AT10" s="13"/>
      <c r="AU10" s="13"/>
      <c r="AV10" s="13"/>
      <c r="AW10" s="13"/>
      <c r="AX10" s="13"/>
      <c r="AY10" s="13"/>
    </row>
    <row r="11" spans="1:51" ht="13.25" customHeight="1">
      <c r="A11" s="1295" t="s">
        <v>1839</v>
      </c>
      <c r="B11" s="1295"/>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c r="AL11" s="1295"/>
      <c r="AM11" s="13"/>
      <c r="AN11" s="13"/>
      <c r="AO11" s="13"/>
      <c r="AP11" s="13"/>
      <c r="AQ11" s="13"/>
      <c r="AR11" s="13"/>
      <c r="AS11" s="13"/>
      <c r="AT11" s="13"/>
      <c r="AU11" s="13"/>
      <c r="AV11" s="13"/>
      <c r="AW11" s="13"/>
      <c r="AX11" s="13"/>
      <c r="AY11" s="13"/>
    </row>
    <row r="12" spans="1:51" ht="13.25" customHeight="1">
      <c r="A12" s="1775" t="s">
        <v>2625</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3.25" customHeight="1">
      <c r="A13" s="1257" t="s">
        <v>2481</v>
      </c>
      <c r="B13" s="1257"/>
      <c r="C13" s="1257"/>
      <c r="D13" s="1257"/>
      <c r="E13" s="1257"/>
      <c r="F13" s="1257"/>
      <c r="G13" s="1257"/>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c r="AG13" s="1257"/>
      <c r="AH13" s="1257"/>
      <c r="AI13" s="1257"/>
      <c r="AJ13" s="1257"/>
      <c r="AK13" s="1257"/>
      <c r="AL13" s="1257"/>
      <c r="AM13" s="927"/>
      <c r="AN13" s="927"/>
      <c r="AO13" s="927"/>
      <c r="AP13" s="927"/>
      <c r="AQ13" s="927"/>
      <c r="AR13" s="927"/>
      <c r="AS13" s="927"/>
      <c r="AT13" s="927"/>
      <c r="AU13" s="927"/>
      <c r="AV13" s="927"/>
      <c r="AW13" s="927"/>
      <c r="AX13" s="927"/>
      <c r="AY13" s="927"/>
    </row>
    <row r="14" spans="1:51" ht="13.25" customHeight="1" thickBot="1">
      <c r="A14" s="1258"/>
      <c r="B14" s="1258"/>
      <c r="C14" s="1258"/>
      <c r="D14" s="1258"/>
      <c r="E14" s="1258"/>
      <c r="F14" s="1258"/>
      <c r="G14" s="1258"/>
      <c r="H14" s="1258"/>
      <c r="I14" s="1258"/>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927"/>
      <c r="AN14" s="927"/>
      <c r="AO14" s="927"/>
      <c r="AP14" s="927"/>
      <c r="AQ14" s="927"/>
      <c r="AR14" s="927"/>
      <c r="AS14" s="927"/>
      <c r="AT14" s="927"/>
      <c r="AU14" s="927"/>
      <c r="AV14" s="927"/>
      <c r="AW14" s="927"/>
      <c r="AX14" s="927"/>
      <c r="AY14" s="927"/>
    </row>
    <row r="15" spans="1:51" ht="13.2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25" customHeight="1">
      <c r="A16" s="57" t="s">
        <v>2482</v>
      </c>
      <c r="C16" s="4"/>
      <c r="D16" s="4"/>
      <c r="E16" s="4"/>
      <c r="F16" s="4"/>
      <c r="G16" s="4"/>
      <c r="H16" s="1760" t="s">
        <v>2628</v>
      </c>
      <c r="I16" s="1760"/>
      <c r="J16" s="1760"/>
      <c r="K16" s="1760"/>
      <c r="L16" s="1760"/>
      <c r="M16" s="1760"/>
      <c r="N16" s="1760"/>
      <c r="O16" s="1760"/>
      <c r="P16" s="1760"/>
      <c r="Q16" s="1760"/>
      <c r="R16" s="1760"/>
      <c r="S16" s="1760"/>
      <c r="T16" s="1760"/>
      <c r="U16" s="1760"/>
      <c r="V16" s="1760"/>
      <c r="W16" s="1760"/>
      <c r="X16" s="1760"/>
      <c r="Y16" s="1760"/>
      <c r="Z16" s="1760"/>
      <c r="AA16" s="1760"/>
      <c r="AB16" s="1760"/>
      <c r="AC16" s="1760"/>
      <c r="AD16" s="1760"/>
      <c r="AE16" s="1760"/>
      <c r="AF16" s="1760"/>
      <c r="AG16" s="1760"/>
      <c r="AH16" s="1760"/>
      <c r="AI16" s="1760"/>
      <c r="AJ16" s="1760"/>
    </row>
    <row r="17" spans="1:52" ht="13.25" customHeight="1"/>
    <row r="18" spans="1:52" ht="13.25" customHeight="1">
      <c r="A18" s="57" t="s">
        <v>102</v>
      </c>
      <c r="C18" s="4"/>
      <c r="D18" s="4"/>
      <c r="E18" s="4"/>
      <c r="F18" s="4"/>
      <c r="G18" s="4"/>
      <c r="H18" s="1349" t="s">
        <v>2629</v>
      </c>
      <c r="I18" s="1349"/>
      <c r="J18" s="1349"/>
      <c r="K18" s="1349"/>
      <c r="L18" s="1349"/>
      <c r="M18" s="1349"/>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row>
    <row r="19" spans="1:52" ht="13.25" customHeight="1"/>
    <row r="20" spans="1:52" ht="13.25" customHeight="1">
      <c r="A20" s="1770" t="s">
        <v>902</v>
      </c>
      <c r="B20" s="1770"/>
      <c r="C20" s="1770"/>
      <c r="D20" s="1770"/>
      <c r="E20" s="1770"/>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928"/>
      <c r="AN20" s="928"/>
      <c r="AO20" s="928"/>
      <c r="AP20" s="928"/>
      <c r="AQ20" s="928"/>
      <c r="AR20" s="928"/>
      <c r="AS20" s="928"/>
      <c r="AT20" s="928"/>
      <c r="AU20" s="928"/>
      <c r="AV20" s="928"/>
      <c r="AW20" s="928"/>
      <c r="AX20" s="928"/>
      <c r="AY20" s="928"/>
    </row>
    <row r="21" spans="1:52" ht="13.25" customHeight="1">
      <c r="A21" s="1761" t="s">
        <v>1066</v>
      </c>
      <c r="B21" s="1761"/>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1761"/>
      <c r="AM21" s="929"/>
      <c r="AN21" s="929"/>
      <c r="AO21" s="929"/>
      <c r="AP21" s="929"/>
      <c r="AQ21" s="929"/>
      <c r="AR21" s="929"/>
      <c r="AS21" s="929"/>
      <c r="AT21" s="929"/>
      <c r="AU21" s="929"/>
      <c r="AV21" s="929"/>
      <c r="AW21" s="929"/>
      <c r="AX21" s="929"/>
      <c r="AY21" s="929"/>
    </row>
    <row r="22" spans="1:52" ht="13.2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2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2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2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25" customHeight="1">
      <c r="A26" s="4"/>
      <c r="C26" s="4"/>
      <c r="D26" s="4"/>
      <c r="E26" s="4"/>
      <c r="F26" s="4"/>
      <c r="G26" s="4"/>
      <c r="H26" s="4"/>
      <c r="I26" s="4"/>
      <c r="J26" s="4"/>
      <c r="K26" s="4"/>
      <c r="L26" s="4"/>
      <c r="M26" s="1759">
        <f>'Basis &amp; Credits'!AB56</f>
        <v>6660543</v>
      </c>
      <c r="N26" s="1759"/>
      <c r="O26" s="1759"/>
      <c r="P26" s="1759"/>
      <c r="Q26" s="1759"/>
      <c r="R26" s="4" t="s">
        <v>784</v>
      </c>
      <c r="S26" s="4"/>
      <c r="T26" s="4"/>
      <c r="U26" s="4"/>
      <c r="V26" s="4"/>
      <c r="W26" s="4"/>
      <c r="X26" s="4"/>
      <c r="Y26" s="4"/>
      <c r="Z26" s="4"/>
      <c r="AF26" s="4"/>
      <c r="AG26" s="4"/>
      <c r="AH26" s="4"/>
      <c r="AI26" s="4"/>
      <c r="AJ26" s="4"/>
      <c r="AK26" s="4"/>
    </row>
    <row r="27" spans="1:52" ht="13.25" customHeight="1">
      <c r="A27" s="4"/>
      <c r="C27" s="4"/>
      <c r="D27" s="4"/>
      <c r="E27" s="4"/>
      <c r="F27" s="4"/>
      <c r="G27" s="4"/>
      <c r="H27" s="4"/>
      <c r="I27" s="4"/>
      <c r="J27" s="4"/>
      <c r="K27" s="4"/>
      <c r="L27" s="4"/>
      <c r="M27" s="1391">
        <f>'Basis &amp; Credits'!AB77</f>
        <v>0</v>
      </c>
      <c r="N27" s="1391"/>
      <c r="O27" s="1391"/>
      <c r="P27" s="1391"/>
      <c r="Q27" s="1391"/>
      <c r="R27" s="3" t="s">
        <v>1425</v>
      </c>
      <c r="S27" s="4"/>
      <c r="T27" s="4"/>
      <c r="U27" s="4"/>
      <c r="V27" s="4"/>
      <c r="W27" s="4"/>
      <c r="X27" s="4"/>
      <c r="Y27" s="4"/>
      <c r="Z27" s="4"/>
      <c r="AF27" s="4"/>
      <c r="AG27" s="4"/>
      <c r="AH27" s="4"/>
      <c r="AI27" s="4"/>
      <c r="AJ27" s="4"/>
      <c r="AK27" s="4"/>
    </row>
    <row r="28" spans="1:52" ht="13.2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2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2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2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2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25" customHeight="1">
      <c r="A33" s="545" t="s">
        <v>1437</v>
      </c>
      <c r="C33" s="545"/>
      <c r="D33" s="545"/>
      <c r="E33" s="545"/>
      <c r="F33" s="545"/>
      <c r="G33" s="545"/>
      <c r="H33" s="545"/>
      <c r="I33" s="545"/>
      <c r="J33" s="545"/>
      <c r="K33" s="545"/>
      <c r="L33" s="545"/>
      <c r="M33" s="545"/>
      <c r="N33" s="545"/>
      <c r="O33" s="1351" t="s">
        <v>679</v>
      </c>
      <c r="P33" s="1351"/>
      <c r="Q33" s="545" t="s">
        <v>1438</v>
      </c>
      <c r="S33" s="545"/>
      <c r="T33" s="545"/>
      <c r="U33" s="545"/>
      <c r="V33" s="545"/>
      <c r="W33" s="545"/>
      <c r="X33" s="545"/>
      <c r="Y33" s="545"/>
      <c r="Z33" s="545"/>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25" customHeight="1">
      <c r="A34" s="3" t="s">
        <v>1440</v>
      </c>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25" customHeight="1">
      <c r="A35" s="3" t="s">
        <v>1439</v>
      </c>
      <c r="C35" s="545"/>
      <c r="D35" s="545"/>
      <c r="E35" s="545"/>
      <c r="F35" s="545"/>
      <c r="G35" s="545"/>
      <c r="H35" s="545"/>
      <c r="I35" s="545"/>
      <c r="J35" s="545"/>
      <c r="K35" s="545"/>
      <c r="L35" s="545"/>
      <c r="M35" s="545"/>
      <c r="N35" s="545"/>
      <c r="O35" s="545"/>
      <c r="P35" s="545"/>
      <c r="Q35" s="545"/>
      <c r="R35" s="545"/>
      <c r="S35" s="545"/>
      <c r="T35" s="545"/>
      <c r="U35" s="545"/>
      <c r="V35" s="545"/>
      <c r="W35" s="545"/>
      <c r="X35" s="545"/>
      <c r="Y35" s="545"/>
      <c r="Z35" s="545"/>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25" customHeight="1">
      <c r="A36" s="3" t="s">
        <v>1441</v>
      </c>
      <c r="C36" s="545"/>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25" customHeight="1">
      <c r="A37" s="3" t="s">
        <v>1442</v>
      </c>
      <c r="AZ37" s="20"/>
    </row>
    <row r="38" spans="1:52" ht="13.25" customHeight="1">
      <c r="A38" s="3" t="s">
        <v>1443</v>
      </c>
      <c r="AZ38" s="20"/>
    </row>
    <row r="39" spans="1:52" ht="13.25" customHeight="1">
      <c r="AZ39" s="20"/>
    </row>
    <row r="40" spans="1:52" ht="13.25" customHeight="1">
      <c r="A40" s="545"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25" customHeight="1">
      <c r="A41" s="545"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25" customHeight="1">
      <c r="A42" s="545"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25" customHeight="1">
      <c r="A43" s="545"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25" customHeight="1">
      <c r="A44" s="545"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25" customHeight="1">
      <c r="A45" s="545"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25" customHeight="1">
      <c r="A46" s="545"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2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25" customHeight="1">
      <c r="A48" s="553"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25" customHeight="1">
      <c r="A49" s="545"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25" customHeight="1">
      <c r="A50" s="545"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25" customHeight="1">
      <c r="A51" s="545"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25" customHeight="1">
      <c r="A52" s="545"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2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25" customHeight="1">
      <c r="A54" s="545"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2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2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2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2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2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2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2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2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2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2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2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2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2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2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2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2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2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2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2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2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2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2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2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2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2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2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2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2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2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2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2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2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2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2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2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2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2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2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2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2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2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2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2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2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2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25" customHeight="1">
      <c r="A100" s="543"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2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2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25" customHeight="1">
      <c r="A103" s="543"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2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25" customHeight="1">
      <c r="A105" s="543"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25" customHeight="1">
      <c r="A106" s="543"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25" customHeight="1">
      <c r="A107" s="543"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25" customHeight="1">
      <c r="A108" s="543"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2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25" customHeight="1">
      <c r="A110" s="302"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25" customHeight="1">
      <c r="A111" s="302"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25" customHeight="1">
      <c r="A112" s="302"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25" customHeight="1">
      <c r="A113" s="302"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2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2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2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25" customHeight="1">
      <c r="A117" s="91" t="s">
        <v>781</v>
      </c>
      <c r="B117" s="22"/>
      <c r="C117" s="22"/>
    </row>
    <row r="118" spans="1:51" ht="13.25" customHeight="1"/>
    <row r="119" spans="1:51" ht="13.2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5" customHeight="1">
      <c r="A122" s="3"/>
      <c r="B122" s="3"/>
      <c r="C122" s="3" t="s">
        <v>182</v>
      </c>
      <c r="G122" s="1768"/>
      <c r="H122" s="1768"/>
      <c r="I122" s="3" t="s">
        <v>183</v>
      </c>
      <c r="L122" s="1768"/>
      <c r="M122" s="1768"/>
      <c r="N122" s="1768"/>
      <c r="O122" s="1767" t="s">
        <v>1426</v>
      </c>
      <c r="P122" s="1767"/>
      <c r="Q122" s="1767"/>
      <c r="R122" s="1767"/>
      <c r="S122" s="3"/>
      <c r="T122" s="3"/>
      <c r="U122" s="3"/>
      <c r="V122" s="3"/>
      <c r="W122" s="3"/>
      <c r="AL122" s="3"/>
      <c r="AM122" s="3"/>
      <c r="AN122" s="3"/>
      <c r="AO122" s="3"/>
      <c r="AP122" s="3"/>
      <c r="AQ122" s="3"/>
      <c r="AR122" s="3"/>
      <c r="AS122" s="3"/>
      <c r="AT122" s="3"/>
      <c r="AU122" s="3"/>
      <c r="AV122" s="3"/>
      <c r="AW122" s="3"/>
      <c r="AX122" s="3"/>
      <c r="AY122" s="3"/>
    </row>
    <row r="123" spans="1:51" ht="13.2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5" customHeight="1">
      <c r="A124" s="3"/>
      <c r="B124" s="3"/>
      <c r="C124" s="1824"/>
      <c r="D124" s="1824"/>
      <c r="E124" s="1824"/>
      <c r="F124" s="1824"/>
      <c r="G124" s="1824"/>
      <c r="H124" s="1824"/>
      <c r="I124" s="1824"/>
      <c r="J124" s="1824"/>
      <c r="K124" s="1824"/>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5" customHeight="1">
      <c r="X126" s="3" t="s">
        <v>638</v>
      </c>
      <c r="Y126" s="1768"/>
      <c r="Z126" s="1768"/>
      <c r="AA126" s="1768"/>
      <c r="AB126" s="1768"/>
      <c r="AC126" s="1768"/>
      <c r="AD126" s="1768"/>
      <c r="AE126" s="1768"/>
      <c r="AF126" s="1768"/>
      <c r="AG126" s="1768"/>
      <c r="AH126" s="1768"/>
      <c r="AI126" s="1768"/>
      <c r="AJ126" s="1768"/>
      <c r="AK126" s="1768"/>
    </row>
    <row r="127" spans="1:51" ht="13.2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5" customHeight="1">
      <c r="A128" s="377"/>
      <c r="X128" s="3"/>
      <c r="AL128" s="377"/>
      <c r="AM128" s="377"/>
      <c r="AN128" s="377"/>
      <c r="AO128" s="377"/>
      <c r="AP128" s="377"/>
      <c r="AQ128" s="377"/>
      <c r="AR128" s="377"/>
      <c r="AS128" s="377"/>
      <c r="AT128" s="377"/>
      <c r="AU128" s="377"/>
      <c r="AV128" s="377"/>
      <c r="AW128" s="377"/>
      <c r="AX128" s="377"/>
      <c r="AY128" s="377"/>
    </row>
    <row r="129" spans="1:51" ht="13.25" customHeight="1">
      <c r="A129" s="377"/>
      <c r="B129" s="4"/>
      <c r="R129" s="6"/>
      <c r="S129" s="6"/>
      <c r="T129" s="6"/>
      <c r="U129" s="6"/>
      <c r="V129" s="6"/>
      <c r="W129" s="6"/>
      <c r="X129" s="3"/>
      <c r="Y129" s="1768"/>
      <c r="Z129" s="1768"/>
      <c r="AA129" s="1768"/>
      <c r="AB129" s="1768"/>
      <c r="AC129" s="1768"/>
      <c r="AD129" s="1768"/>
      <c r="AE129" s="1768"/>
      <c r="AF129" s="1768"/>
      <c r="AG129" s="1768"/>
      <c r="AH129" s="1768"/>
      <c r="AI129" s="1768"/>
      <c r="AJ129" s="1768"/>
      <c r="AK129" s="1768"/>
      <c r="AL129" s="377"/>
      <c r="AM129" s="377"/>
      <c r="AN129" s="377"/>
      <c r="AO129" s="377"/>
      <c r="AP129" s="377"/>
      <c r="AQ129" s="377"/>
      <c r="AR129" s="377"/>
      <c r="AS129" s="377"/>
      <c r="AT129" s="377"/>
      <c r="AU129" s="377"/>
      <c r="AV129" s="377"/>
      <c r="AW129" s="377"/>
      <c r="AX129" s="377"/>
      <c r="AY129" s="377"/>
    </row>
    <row r="130" spans="1:51" ht="13.2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25" customHeight="1">
      <c r="A131" s="3"/>
      <c r="AL131" s="3"/>
      <c r="AM131" s="3"/>
      <c r="AN131" s="3"/>
      <c r="AO131" s="3"/>
      <c r="AP131" s="3"/>
      <c r="AQ131" s="3"/>
      <c r="AR131" s="3"/>
      <c r="AS131" s="3"/>
      <c r="AT131" s="3"/>
      <c r="AU131" s="3"/>
      <c r="AV131" s="3"/>
      <c r="AW131" s="3"/>
      <c r="AX131" s="3"/>
      <c r="AY131" s="3"/>
    </row>
    <row r="132" spans="1:51" ht="13.25" customHeight="1">
      <c r="A132" s="3"/>
      <c r="B132" s="3"/>
      <c r="C132" s="3"/>
      <c r="D132" s="3"/>
      <c r="F132" s="216"/>
      <c r="G132" s="216"/>
      <c r="H132" s="216"/>
      <c r="I132" s="216"/>
      <c r="J132" s="216"/>
      <c r="K132" s="216"/>
      <c r="L132" s="216"/>
      <c r="M132" s="216"/>
      <c r="N132" s="3"/>
      <c r="P132" s="3"/>
      <c r="Q132" s="3"/>
      <c r="U132" s="3"/>
      <c r="V132" s="3"/>
      <c r="W132" s="3"/>
      <c r="X132" s="3"/>
      <c r="Y132" s="1768"/>
      <c r="Z132" s="1768"/>
      <c r="AA132" s="1768"/>
      <c r="AB132" s="1768"/>
      <c r="AC132" s="1768"/>
      <c r="AD132" s="1768"/>
      <c r="AE132" s="1768"/>
      <c r="AF132" s="1768"/>
      <c r="AG132" s="1768"/>
      <c r="AH132" s="1768"/>
      <c r="AI132" s="1768"/>
      <c r="AJ132" s="1768"/>
      <c r="AK132" s="1768"/>
      <c r="AL132" s="3"/>
      <c r="AM132" s="3"/>
      <c r="AN132" s="3"/>
      <c r="AO132" s="3"/>
      <c r="AP132" s="3"/>
      <c r="AQ132" s="3"/>
      <c r="AR132" s="3"/>
      <c r="AS132" s="3"/>
      <c r="AT132" s="3"/>
      <c r="AU132" s="3"/>
      <c r="AV132" s="3"/>
      <c r="AW132" s="3"/>
      <c r="AX132" s="3"/>
      <c r="AY132" s="3"/>
    </row>
    <row r="133" spans="1:51" ht="13.2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2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customHeight="1">
      <c r="A135" s="3"/>
      <c r="M135" s="3"/>
      <c r="N135" s="3"/>
      <c r="O135" s="3"/>
      <c r="AK135" s="3"/>
      <c r="AL135" s="3"/>
      <c r="AM135" s="3"/>
      <c r="AN135" s="3"/>
      <c r="AO135" s="3"/>
      <c r="AP135" s="3"/>
      <c r="AQ135" s="3"/>
      <c r="AR135" s="3"/>
      <c r="AS135" s="3"/>
      <c r="AT135" s="3"/>
      <c r="AU135" s="3"/>
      <c r="AV135" s="3"/>
      <c r="AW135" s="3"/>
      <c r="AX135" s="3"/>
      <c r="AY135" s="3"/>
    </row>
    <row r="136" spans="1:51" ht="13.2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customHeight="1">
      <c r="A139" s="3"/>
      <c r="B139" s="3"/>
      <c r="C139" s="3"/>
      <c r="D139" s="3"/>
      <c r="E139" s="3"/>
      <c r="F139" s="3"/>
      <c r="G139" s="3"/>
      <c r="H139" s="3"/>
      <c r="I139" s="3"/>
      <c r="J139" s="3"/>
      <c r="K139" s="3"/>
      <c r="L139" s="3"/>
      <c r="M139" s="3"/>
      <c r="N139" s="3"/>
      <c r="O139" s="3"/>
      <c r="P139" s="3"/>
      <c r="Q139" s="3"/>
      <c r="R139" s="3"/>
      <c r="S139" s="118"/>
      <c r="T139" s="481"/>
      <c r="U139" s="481"/>
      <c r="V139" s="481"/>
      <c r="W139" s="481"/>
      <c r="X139" s="481"/>
      <c r="Y139" s="481"/>
      <c r="Z139" s="481"/>
      <c r="AA139" s="481"/>
      <c r="AB139" s="481"/>
      <c r="AC139" s="481"/>
      <c r="AD139" s="481"/>
      <c r="AE139" s="481"/>
      <c r="AF139" s="481"/>
      <c r="AG139" s="481"/>
      <c r="AH139" s="481"/>
      <c r="AI139" s="481"/>
      <c r="AJ139" s="481"/>
      <c r="AK139" s="3"/>
      <c r="AL139" s="3"/>
      <c r="AM139" s="3"/>
      <c r="AN139" s="3"/>
      <c r="AO139" s="3"/>
      <c r="AP139" s="3"/>
      <c r="AQ139" s="3"/>
      <c r="AR139" s="3"/>
      <c r="AS139" s="3"/>
      <c r="AT139" s="3"/>
      <c r="AU139" s="3"/>
      <c r="AV139" s="3"/>
      <c r="AW139" s="3"/>
      <c r="AX139" s="3"/>
      <c r="AY139" s="3"/>
    </row>
    <row r="140" spans="1:51" ht="13.25" customHeight="1">
      <c r="A140" s="3"/>
      <c r="B140" s="119"/>
      <c r="C140" s="481"/>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c r="AA140" s="481"/>
      <c r="AB140" s="481"/>
      <c r="AC140" s="481"/>
      <c r="AD140" s="481"/>
      <c r="AE140" s="481"/>
      <c r="AF140" s="481"/>
      <c r="AG140" s="481"/>
      <c r="AH140" s="481"/>
      <c r="AI140" s="481"/>
      <c r="AJ140" s="481"/>
      <c r="AK140" s="3"/>
      <c r="AL140" s="3"/>
      <c r="AM140" s="3"/>
      <c r="AN140" s="3"/>
      <c r="AO140" s="3"/>
      <c r="AP140" s="3"/>
      <c r="AQ140" s="3"/>
      <c r="AR140" s="3"/>
      <c r="AS140" s="3"/>
      <c r="AT140" s="3"/>
      <c r="AU140" s="3"/>
      <c r="AV140" s="3"/>
      <c r="AW140" s="3"/>
      <c r="AX140" s="3"/>
      <c r="AY140" s="3"/>
    </row>
    <row r="141" spans="1:51" ht="13.25" customHeight="1">
      <c r="A141" s="3"/>
      <c r="B141" s="119"/>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c r="AA141" s="481"/>
      <c r="AB141" s="481"/>
      <c r="AC141" s="481"/>
      <c r="AD141" s="481"/>
      <c r="AE141" s="481"/>
      <c r="AF141" s="481"/>
      <c r="AG141" s="481"/>
      <c r="AH141" s="481"/>
      <c r="AI141" s="481"/>
      <c r="AJ141" s="481"/>
      <c r="AK141" s="3"/>
      <c r="AL141" s="3"/>
      <c r="AM141" s="3"/>
      <c r="AN141" s="3"/>
      <c r="AO141" s="3"/>
      <c r="AP141" s="3"/>
      <c r="AQ141" s="3"/>
      <c r="AR141" s="3"/>
      <c r="AS141" s="3"/>
      <c r="AT141" s="3"/>
      <c r="AU141" s="3"/>
      <c r="AV141" s="3"/>
      <c r="AW141" s="3"/>
      <c r="AX141" s="3"/>
      <c r="AY141" s="3"/>
    </row>
    <row r="142" spans="1:51" ht="13.25" customHeight="1">
      <c r="A142" s="3"/>
      <c r="B142" s="119"/>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E142" s="466"/>
      <c r="AF142" s="466"/>
      <c r="AG142" s="466"/>
      <c r="AH142" s="466"/>
      <c r="AI142" s="466"/>
      <c r="AJ142" s="466"/>
      <c r="AK142" s="3"/>
      <c r="AL142" s="3"/>
      <c r="AM142" s="3"/>
      <c r="AN142" s="3"/>
      <c r="AO142" s="3"/>
      <c r="AP142" s="3"/>
      <c r="AQ142" s="3"/>
      <c r="AR142" s="3"/>
      <c r="AS142" s="3"/>
      <c r="AT142" s="3"/>
      <c r="AU142" s="3"/>
      <c r="AV142" s="3"/>
      <c r="AW142" s="3"/>
      <c r="AX142" s="3"/>
      <c r="AY142" s="3"/>
    </row>
    <row r="143" spans="1:51" ht="13.25" customHeight="1">
      <c r="A143" s="3"/>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3"/>
      <c r="AL143" s="3"/>
      <c r="AM143" s="3"/>
      <c r="AN143" s="3"/>
      <c r="AO143" s="3"/>
      <c r="AP143" s="3"/>
      <c r="AQ143" s="3"/>
      <c r="AR143" s="3"/>
      <c r="AS143" s="3"/>
      <c r="AT143" s="3"/>
      <c r="AU143" s="3"/>
      <c r="AV143" s="3"/>
      <c r="AW143" s="3"/>
      <c r="AX143" s="3"/>
      <c r="AY143" s="3"/>
    </row>
    <row r="144" spans="1:51" ht="13.25" customHeight="1">
      <c r="A144" s="3"/>
      <c r="B144" s="545"/>
      <c r="C144" s="466"/>
      <c r="D144" s="466"/>
      <c r="E144" s="466"/>
      <c r="F144" s="466"/>
      <c r="G144" s="466"/>
      <c r="H144" s="466"/>
      <c r="I144" s="466"/>
      <c r="J144" s="46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66"/>
      <c r="AJ144" s="466"/>
      <c r="AK144" s="3"/>
      <c r="AL144" s="3"/>
      <c r="AM144" s="3"/>
      <c r="AN144" s="3"/>
      <c r="AO144" s="3"/>
      <c r="AP144" s="3"/>
      <c r="AQ144" s="3"/>
      <c r="AR144" s="3"/>
      <c r="AS144" s="3"/>
      <c r="AT144" s="3"/>
      <c r="AU144" s="3"/>
      <c r="AV144" s="3"/>
      <c r="AW144" s="3"/>
      <c r="AX144" s="3"/>
      <c r="AY144" s="3"/>
    </row>
    <row r="145" spans="1:72" ht="13.25" customHeight="1">
      <c r="A145" s="3"/>
      <c r="B145" s="3"/>
      <c r="C145" s="466"/>
      <c r="D145" s="466"/>
      <c r="E145" s="466"/>
      <c r="F145" s="466"/>
      <c r="G145" s="466"/>
      <c r="H145" s="466"/>
      <c r="I145" s="466"/>
      <c r="J145" s="46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66"/>
      <c r="AJ145" s="466"/>
      <c r="AK145" s="3"/>
      <c r="AL145" s="3"/>
      <c r="AM145" s="3"/>
      <c r="AN145" s="3"/>
      <c r="AO145" s="3"/>
      <c r="AP145" s="3"/>
      <c r="AQ145" s="3"/>
      <c r="AR145" s="3"/>
      <c r="AS145" s="3"/>
      <c r="AT145" s="3"/>
      <c r="AU145" s="3"/>
      <c r="AV145" s="3"/>
      <c r="AW145" s="3"/>
      <c r="AX145" s="3"/>
      <c r="AY145" s="3"/>
    </row>
    <row r="146" spans="1:72" ht="13.25" customHeight="1">
      <c r="A146" s="3"/>
      <c r="D146" s="466"/>
      <c r="E146" s="466"/>
      <c r="F146" s="466"/>
      <c r="G146" s="466"/>
      <c r="H146" s="466"/>
      <c r="I146" s="466"/>
      <c r="J146" s="46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66"/>
      <c r="AJ146" s="466"/>
      <c r="AK146" s="3"/>
      <c r="AL146" s="3"/>
      <c r="AM146" s="3"/>
      <c r="AN146" s="3"/>
      <c r="AO146" s="3"/>
      <c r="AP146" s="3"/>
      <c r="AQ146" s="3"/>
      <c r="AR146" s="3"/>
      <c r="AS146" s="3"/>
      <c r="AT146" s="3"/>
      <c r="AU146" s="3"/>
      <c r="AV146" s="3"/>
      <c r="AW146" s="3"/>
      <c r="AX146" s="3"/>
      <c r="AY146" s="3"/>
    </row>
    <row r="147" spans="1:72" ht="13.25" customHeight="1">
      <c r="A147" s="3"/>
      <c r="B147" s="545"/>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5" customHeight="1">
      <c r="A150" s="3"/>
      <c r="B150" s="3"/>
      <c r="D150" s="3"/>
      <c r="E150" s="3"/>
      <c r="F150" s="1294"/>
      <c r="G150" s="1294"/>
      <c r="H150" s="1294"/>
      <c r="I150" s="1294"/>
      <c r="J150" s="1294"/>
      <c r="K150" s="1294"/>
      <c r="L150" s="1294"/>
      <c r="M150" s="1294"/>
      <c r="N150" s="1294"/>
      <c r="O150" s="1294"/>
      <c r="P150" s="1294"/>
      <c r="Q150" s="1294"/>
      <c r="R150" s="1294"/>
      <c r="S150" s="1294"/>
      <c r="T150" s="129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5" customHeight="1"/>
    <row r="153" spans="1:72" ht="13.25" customHeight="1">
      <c r="D153" t="s">
        <v>655</v>
      </c>
      <c r="O153" s="1349" t="s">
        <v>2630</v>
      </c>
      <c r="P153" s="1349"/>
      <c r="Q153" s="1349"/>
      <c r="R153" s="1349"/>
      <c r="S153" s="1349"/>
      <c r="T153" s="1349"/>
      <c r="U153" s="1349"/>
      <c r="V153" s="1349"/>
      <c r="W153" s="1349"/>
      <c r="X153" s="1349"/>
      <c r="Y153" s="1349"/>
      <c r="Z153" s="1349"/>
      <c r="AA153" s="1349"/>
      <c r="AB153" s="1349"/>
      <c r="AC153" s="1349"/>
      <c r="AD153" s="1349"/>
      <c r="AE153" s="1349"/>
      <c r="AF153" s="1349"/>
      <c r="AG153" s="1349"/>
      <c r="AH153" s="1349"/>
    </row>
    <row r="154" spans="1:72" ht="13.25" customHeight="1">
      <c r="D154" s="316" t="s">
        <v>443</v>
      </c>
      <c r="O154" s="1358" t="s">
        <v>2631</v>
      </c>
      <c r="P154" s="1358"/>
      <c r="Q154" s="1358"/>
      <c r="R154" s="1358"/>
      <c r="S154" s="1358"/>
      <c r="T154" s="1358"/>
      <c r="U154" s="1358"/>
      <c r="V154" s="1358"/>
      <c r="W154" s="1358"/>
      <c r="X154" s="1358"/>
      <c r="Y154" s="1358"/>
      <c r="Z154" s="1358"/>
      <c r="AA154" s="1358"/>
      <c r="AB154" s="1358"/>
      <c r="AC154" s="1358"/>
      <c r="AD154" s="1358"/>
      <c r="AE154" s="1358"/>
      <c r="AF154" s="1358"/>
      <c r="AG154" s="1358"/>
      <c r="AH154" s="1358"/>
    </row>
    <row r="155" spans="1:72" ht="13.25" customHeight="1">
      <c r="D155" s="8" t="s">
        <v>445</v>
      </c>
      <c r="F155" s="8"/>
      <c r="G155" s="8"/>
      <c r="H155" s="8"/>
      <c r="I155" s="8"/>
      <c r="J155" s="8"/>
      <c r="K155" s="8"/>
      <c r="L155" s="8"/>
      <c r="M155" s="8"/>
      <c r="N155" s="8"/>
      <c r="O155" s="1763" t="s">
        <v>444</v>
      </c>
      <c r="P155" s="1763"/>
      <c r="Q155" s="1763"/>
      <c r="R155" s="1763"/>
      <c r="S155" s="1763"/>
      <c r="T155" s="1763"/>
      <c r="U155" s="1763"/>
      <c r="V155" s="1763"/>
      <c r="W155" s="1763"/>
      <c r="X155" s="1763"/>
      <c r="Y155" s="1763"/>
      <c r="Z155" s="1763"/>
      <c r="AA155" s="1763"/>
      <c r="AB155" s="1763"/>
      <c r="AC155" s="1763"/>
      <c r="AD155" s="1763"/>
      <c r="AE155" s="1763"/>
      <c r="AF155" s="1763"/>
      <c r="AG155" s="1763"/>
      <c r="AH155" s="1763"/>
    </row>
    <row r="156" spans="1:72" ht="13.25" customHeight="1">
      <c r="D156" t="s">
        <v>315</v>
      </c>
      <c r="O156" s="1349" t="s">
        <v>2632</v>
      </c>
      <c r="P156" s="1350"/>
      <c r="Q156" s="1350"/>
      <c r="R156" s="1350"/>
      <c r="S156" s="1350"/>
      <c r="T156" s="1350"/>
      <c r="U156" s="1350"/>
      <c r="V156" s="1350"/>
      <c r="W156" s="1350"/>
      <c r="X156" s="1350"/>
      <c r="Y156" s="1350"/>
      <c r="Z156" s="1350"/>
      <c r="AA156" s="1350"/>
      <c r="AB156" s="1350"/>
      <c r="AC156" s="1350"/>
      <c r="AD156" s="1350"/>
      <c r="AE156" s="1350"/>
      <c r="AF156" s="1350"/>
      <c r="AG156" s="1350"/>
      <c r="AH156" s="1350"/>
      <c r="BT156" t="s">
        <v>309</v>
      </c>
    </row>
    <row r="157" spans="1:72" ht="13.25" customHeight="1">
      <c r="D157" t="s">
        <v>316</v>
      </c>
      <c r="O157" s="1349" t="s">
        <v>2633</v>
      </c>
      <c r="P157" s="1349"/>
      <c r="Q157" s="1349"/>
      <c r="R157" s="1349"/>
      <c r="S157" s="1349"/>
      <c r="T157" s="1349"/>
      <c r="U157" s="1349"/>
      <c r="V157" s="1349"/>
      <c r="W157" s="1349"/>
      <c r="X157" s="1349"/>
      <c r="Y157" s="8"/>
      <c r="Z157" s="8"/>
      <c r="AA157" s="8"/>
      <c r="AB157" s="8"/>
      <c r="AC157" s="8"/>
      <c r="AD157" s="8"/>
      <c r="AE157" s="8"/>
      <c r="AF157" s="8"/>
      <c r="BN157" s="23" t="s">
        <v>646</v>
      </c>
      <c r="BT157" t="s">
        <v>486</v>
      </c>
    </row>
    <row r="158" spans="1:72" ht="13.25" customHeight="1">
      <c r="D158" t="s">
        <v>317</v>
      </c>
      <c r="O158" s="1764">
        <v>94303</v>
      </c>
      <c r="P158" s="1764"/>
      <c r="Q158" s="1764"/>
      <c r="R158" s="1764"/>
      <c r="S158" s="9"/>
      <c r="T158" s="9"/>
      <c r="U158" s="9"/>
      <c r="V158" s="9"/>
      <c r="W158" s="9"/>
      <c r="X158" s="9"/>
      <c r="Y158" s="9"/>
      <c r="Z158" s="9"/>
      <c r="AA158" s="9"/>
      <c r="AB158" s="9"/>
      <c r="AC158" s="9"/>
      <c r="AD158" s="9"/>
      <c r="AE158" s="9"/>
      <c r="AF158" s="9"/>
      <c r="BN158" s="23" t="s">
        <v>647</v>
      </c>
      <c r="BT158" t="s">
        <v>487</v>
      </c>
    </row>
    <row r="159" spans="1:72" ht="13.25" customHeight="1">
      <c r="D159" t="s">
        <v>318</v>
      </c>
      <c r="O159" s="1647" t="s">
        <v>2634</v>
      </c>
      <c r="P159" s="1766"/>
      <c r="Q159" s="1766"/>
      <c r="R159" s="1766"/>
      <c r="S159" s="1766"/>
      <c r="T159" s="1766"/>
      <c r="V159" s="97" t="s">
        <v>273</v>
      </c>
      <c r="W159" s="1765"/>
      <c r="X159" s="1765"/>
      <c r="Y159" s="10"/>
      <c r="Z159" s="10"/>
      <c r="AA159" s="10"/>
      <c r="AB159" s="10"/>
      <c r="AC159" s="10"/>
      <c r="AD159" s="10"/>
      <c r="AE159" s="10"/>
      <c r="AF159" s="10"/>
      <c r="BN159" s="23" t="s">
        <v>341</v>
      </c>
      <c r="BT159" t="s">
        <v>488</v>
      </c>
    </row>
    <row r="160" spans="1:72" ht="13.25" customHeight="1">
      <c r="D160" t="s">
        <v>319</v>
      </c>
      <c r="O160" s="1766"/>
      <c r="P160" s="1766"/>
      <c r="Q160" s="1766"/>
      <c r="R160" s="1766"/>
      <c r="S160" s="1766"/>
      <c r="T160" s="1766"/>
      <c r="U160" s="10"/>
      <c r="V160" s="10"/>
      <c r="W160" s="10"/>
      <c r="X160" s="10"/>
      <c r="Y160" s="10"/>
      <c r="Z160" s="10"/>
      <c r="AA160" s="10"/>
      <c r="AB160" s="10"/>
      <c r="AC160" s="10"/>
      <c r="AD160" s="10"/>
      <c r="AE160" s="10"/>
      <c r="AF160" s="10"/>
      <c r="BN160" s="23" t="s">
        <v>670</v>
      </c>
      <c r="BT160" t="s">
        <v>489</v>
      </c>
    </row>
    <row r="161" spans="1:72" ht="13.25" customHeight="1">
      <c r="D161" t="s">
        <v>320</v>
      </c>
      <c r="O161" s="1748" t="s">
        <v>2635</v>
      </c>
      <c r="P161" s="1748"/>
      <c r="Q161" s="1748"/>
      <c r="R161" s="1748"/>
      <c r="S161" s="1748"/>
      <c r="T161" s="1748"/>
      <c r="U161" s="1748"/>
      <c r="V161" s="1748"/>
      <c r="W161" s="1748"/>
      <c r="X161" s="1748"/>
      <c r="Y161" s="1748"/>
      <c r="Z161" s="1748"/>
      <c r="AA161" s="1748"/>
      <c r="AB161" s="1748"/>
      <c r="AC161" s="1748"/>
      <c r="AD161" s="1748"/>
      <c r="AE161" s="1748"/>
      <c r="AF161" s="1748"/>
      <c r="AG161" s="1748"/>
      <c r="AH161" s="1748"/>
      <c r="BJ161" t="s">
        <v>679</v>
      </c>
      <c r="BN161" s="23" t="s">
        <v>671</v>
      </c>
      <c r="BT161" t="s">
        <v>490</v>
      </c>
    </row>
    <row r="162" spans="1:72" ht="13.2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2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25" customHeight="1">
      <c r="C164" s="27"/>
      <c r="D164" s="1825" t="s">
        <v>1387</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674</v>
      </c>
      <c r="BT164" t="s">
        <v>493</v>
      </c>
    </row>
    <row r="165" spans="1:72" ht="13.2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2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2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2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25" customHeight="1">
      <c r="A169" s="1639" t="s">
        <v>549</v>
      </c>
      <c r="B169" s="1639"/>
      <c r="C169" s="1639"/>
      <c r="D169" s="1639"/>
      <c r="E169" s="1639"/>
      <c r="F169" s="1639"/>
      <c r="G169" s="1639"/>
      <c r="H169" s="1639"/>
      <c r="I169" s="1639"/>
      <c r="J169" s="1639"/>
      <c r="K169" s="1639"/>
      <c r="L169" s="1639"/>
      <c r="M169" s="1639"/>
      <c r="N169" s="1639"/>
      <c r="O169" s="1639"/>
      <c r="P169" s="1639"/>
      <c r="Q169" s="1639"/>
      <c r="R169" s="1639"/>
      <c r="S169" s="1639"/>
      <c r="T169" s="1639"/>
      <c r="U169" s="1639"/>
      <c r="V169" s="1639"/>
      <c r="W169" s="1639"/>
      <c r="X169" s="1639"/>
      <c r="Y169" s="1639"/>
      <c r="Z169" s="1639"/>
      <c r="AA169" s="1639"/>
      <c r="AB169" s="1639"/>
      <c r="AC169" s="1639"/>
      <c r="AD169" s="1639"/>
      <c r="AE169" s="1639"/>
      <c r="AF169" s="1639"/>
      <c r="AG169" s="1639"/>
      <c r="AH169" s="1639"/>
      <c r="AI169" s="1639"/>
      <c r="AJ169" s="1639"/>
      <c r="AK169" s="1639"/>
      <c r="AL169" s="1639"/>
      <c r="AM169" s="95"/>
      <c r="AN169" s="95"/>
      <c r="AO169" s="95"/>
      <c r="AP169" s="95"/>
      <c r="AQ169" s="95"/>
      <c r="AR169" s="95"/>
      <c r="AS169" s="95"/>
      <c r="AT169" s="95"/>
      <c r="AU169" s="95"/>
      <c r="AV169" s="95"/>
      <c r="AW169" s="95"/>
      <c r="AX169" s="95"/>
      <c r="AY169" s="95"/>
      <c r="BN169" s="23" t="s">
        <v>683</v>
      </c>
      <c r="BT169" t="s">
        <v>498</v>
      </c>
    </row>
    <row r="170" spans="1:72" ht="13.25" customHeight="1" thickBot="1">
      <c r="A170" s="1640"/>
      <c r="B170" s="1640"/>
      <c r="C170" s="1640"/>
      <c r="D170" s="1640"/>
      <c r="E170" s="1640"/>
      <c r="F170" s="1640"/>
      <c r="G170" s="1640"/>
      <c r="H170" s="1640"/>
      <c r="I170" s="1640"/>
      <c r="J170" s="1640"/>
      <c r="K170" s="1640"/>
      <c r="L170" s="1640"/>
      <c r="M170" s="1640"/>
      <c r="N170" s="1640"/>
      <c r="O170" s="1640"/>
      <c r="P170" s="1640"/>
      <c r="Q170" s="1640"/>
      <c r="R170" s="1640"/>
      <c r="S170" s="1640"/>
      <c r="T170" s="1640"/>
      <c r="U170" s="1640"/>
      <c r="V170" s="1640"/>
      <c r="W170" s="1640"/>
      <c r="X170" s="1640"/>
      <c r="Y170" s="1640"/>
      <c r="Z170" s="1640"/>
      <c r="AA170" s="1640"/>
      <c r="AB170" s="1640"/>
      <c r="AC170" s="1640"/>
      <c r="AD170" s="1640"/>
      <c r="AE170" s="1640"/>
      <c r="AF170" s="1640"/>
      <c r="AG170" s="1640"/>
      <c r="AH170" s="1640"/>
      <c r="AI170" s="1640"/>
      <c r="AJ170" s="1640"/>
      <c r="AK170" s="1640"/>
      <c r="AL170" s="1640"/>
      <c r="AM170" s="95"/>
      <c r="AN170" s="95"/>
      <c r="AO170" s="95"/>
      <c r="AP170" s="95"/>
      <c r="AQ170" s="95"/>
      <c r="AR170" s="95"/>
      <c r="AS170" s="95"/>
      <c r="AT170" s="95"/>
      <c r="AU170" s="95"/>
      <c r="AV170" s="95"/>
      <c r="AW170" s="95"/>
      <c r="AX170" s="95"/>
      <c r="AY170" s="95"/>
      <c r="BN170" s="23" t="s">
        <v>684</v>
      </c>
      <c r="BT170" t="s">
        <v>499</v>
      </c>
    </row>
    <row r="171" spans="1:72" ht="13.25" customHeight="1" thickTop="1">
      <c r="BN171" s="23" t="s">
        <v>213</v>
      </c>
      <c r="BT171" t="s">
        <v>500</v>
      </c>
    </row>
    <row r="172" spans="1:72" ht="13.25" customHeight="1">
      <c r="A172" s="2" t="s">
        <v>321</v>
      </c>
      <c r="C172" s="2" t="s">
        <v>322</v>
      </c>
      <c r="BN172" s="23" t="s">
        <v>215</v>
      </c>
      <c r="BT172" t="s">
        <v>501</v>
      </c>
    </row>
    <row r="173" spans="1:72" ht="13.25" customHeight="1">
      <c r="C173" s="24"/>
      <c r="D173" t="s">
        <v>323</v>
      </c>
      <c r="J173" s="1762" t="s">
        <v>373</v>
      </c>
      <c r="K173" s="1762"/>
      <c r="L173" s="1762"/>
      <c r="M173" s="1762"/>
      <c r="N173" s="1762"/>
      <c r="O173" s="1762"/>
      <c r="P173" s="1762"/>
      <c r="Q173" s="1762"/>
      <c r="R173" s="1762"/>
      <c r="S173" s="1762"/>
      <c r="U173" s="25"/>
      <c r="X173" s="25"/>
      <c r="BN173" s="23" t="s">
        <v>216</v>
      </c>
      <c r="BT173" t="s">
        <v>502</v>
      </c>
    </row>
    <row r="174" spans="1:72" ht="13.25" customHeight="1">
      <c r="C174" s="24"/>
      <c r="D174" s="3" t="s">
        <v>1345</v>
      </c>
      <c r="J174" s="1350" t="s">
        <v>2530</v>
      </c>
      <c r="K174" s="1350"/>
      <c r="L174" s="1350"/>
      <c r="M174" s="1350"/>
      <c r="N174" s="1350"/>
      <c r="O174" s="1350"/>
      <c r="P174" s="1350"/>
      <c r="Q174" s="1350"/>
      <c r="R174" s="1350"/>
      <c r="S174" s="1350"/>
      <c r="T174" s="1350"/>
      <c r="U174" s="1350"/>
      <c r="V174" s="1350"/>
      <c r="W174" s="1350"/>
      <c r="X174" s="1350"/>
      <c r="Y174" s="1350"/>
      <c r="Z174" s="1350"/>
      <c r="AA174" s="1350"/>
      <c r="AB174" s="1350"/>
      <c r="BN174" s="23" t="s">
        <v>218</v>
      </c>
      <c r="BT174" t="s">
        <v>503</v>
      </c>
    </row>
    <row r="175" spans="1:72" ht="13.25" customHeight="1">
      <c r="C175" s="8"/>
      <c r="D175" s="3" t="s">
        <v>324</v>
      </c>
      <c r="O175" s="27"/>
      <c r="U175" s="1351" t="s">
        <v>679</v>
      </c>
      <c r="V175" s="1351"/>
      <c r="BN175" s="23" t="s">
        <v>219</v>
      </c>
      <c r="BT175" t="s">
        <v>504</v>
      </c>
    </row>
    <row r="176" spans="1:72" ht="13.25" customHeight="1">
      <c r="C176" s="8"/>
      <c r="D176" s="26"/>
      <c r="E176" t="s">
        <v>306</v>
      </c>
      <c r="O176" s="27"/>
      <c r="P176" t="s">
        <v>2502</v>
      </c>
      <c r="T176" s="27" t="s">
        <v>307</v>
      </c>
      <c r="U176" s="1381"/>
      <c r="V176" s="1381"/>
      <c r="W176" s="1" t="s">
        <v>308</v>
      </c>
      <c r="X176" s="1749"/>
      <c r="Y176" s="1749"/>
      <c r="BN176" s="23" t="s">
        <v>221</v>
      </c>
      <c r="BT176" t="s">
        <v>505</v>
      </c>
    </row>
    <row r="177" spans="1:72" ht="13.25" customHeight="1">
      <c r="C177" s="24"/>
      <c r="D177" t="s">
        <v>251</v>
      </c>
      <c r="R177" s="1351" t="s">
        <v>679</v>
      </c>
      <c r="S177" s="1351"/>
      <c r="BN177" s="23" t="s">
        <v>222</v>
      </c>
      <c r="BT177" t="s">
        <v>506</v>
      </c>
    </row>
    <row r="178" spans="1:72" ht="13.25" customHeight="1">
      <c r="C178" s="24"/>
      <c r="D178" s="3" t="s">
        <v>1346</v>
      </c>
      <c r="AA178" t="s">
        <v>2502</v>
      </c>
      <c r="AE178" s="27" t="s">
        <v>307</v>
      </c>
      <c r="AF178" s="1598"/>
      <c r="AG178" s="1598"/>
      <c r="AH178" s="1" t="s">
        <v>308</v>
      </c>
      <c r="AI178" s="1651"/>
      <c r="AJ178" s="1651"/>
      <c r="AK178" s="1651"/>
      <c r="BN178" s="23" t="s">
        <v>223</v>
      </c>
      <c r="BT178" t="s">
        <v>53</v>
      </c>
    </row>
    <row r="179" spans="1:72" ht="13.25" customHeight="1">
      <c r="C179" s="24"/>
      <c r="BN179" s="23" t="s">
        <v>224</v>
      </c>
      <c r="BT179" t="s">
        <v>54</v>
      </c>
    </row>
    <row r="180" spans="1:72" ht="13.25" customHeight="1">
      <c r="C180" s="24"/>
      <c r="D180" t="s">
        <v>2503</v>
      </c>
      <c r="X180" s="1351" t="s">
        <v>679</v>
      </c>
      <c r="Y180" s="1351"/>
      <c r="BN180" s="23" t="s">
        <v>226</v>
      </c>
      <c r="BT180" t="s">
        <v>55</v>
      </c>
    </row>
    <row r="181" spans="1:72" ht="13.25" customHeight="1">
      <c r="C181" s="8"/>
      <c r="E181" s="4" t="s">
        <v>1016</v>
      </c>
      <c r="BN181" s="23" t="s">
        <v>227</v>
      </c>
      <c r="BT181" t="s">
        <v>56</v>
      </c>
    </row>
    <row r="182" spans="1:72" ht="13.25" customHeight="1">
      <c r="C182" s="556"/>
      <c r="BN182" s="23" t="s">
        <v>228</v>
      </c>
      <c r="BT182" t="s">
        <v>60</v>
      </c>
    </row>
    <row r="183" spans="1:72" ht="13.25" customHeight="1">
      <c r="A183" s="2" t="s">
        <v>586</v>
      </c>
      <c r="C183" s="2" t="s">
        <v>587</v>
      </c>
      <c r="BN183" s="23" t="s">
        <v>230</v>
      </c>
      <c r="BT183" t="s">
        <v>61</v>
      </c>
    </row>
    <row r="184" spans="1:72" ht="13.25" customHeight="1">
      <c r="C184" s="21"/>
      <c r="D184" t="s">
        <v>588</v>
      </c>
      <c r="I184" s="1348" t="str">
        <f>H18</f>
        <v>Colibri Commons (fka 965 Weeks Street)</v>
      </c>
      <c r="J184" s="1348"/>
      <c r="K184" s="1348"/>
      <c r="L184" s="1348"/>
      <c r="M184" s="1348"/>
      <c r="N184" s="1348"/>
      <c r="O184" s="1348"/>
      <c r="P184" s="1348"/>
      <c r="Q184" s="1348"/>
      <c r="R184" s="1348"/>
      <c r="S184" s="1348"/>
      <c r="T184" s="1348"/>
      <c r="U184" s="1348"/>
      <c r="V184" s="1348"/>
      <c r="W184" s="1348"/>
      <c r="X184" s="1348"/>
      <c r="Y184" s="1348"/>
      <c r="Z184" s="1348"/>
      <c r="AA184" s="1348"/>
      <c r="AB184" s="1348"/>
      <c r="AC184" s="1348"/>
      <c r="AD184" s="1348"/>
      <c r="AE184" s="1348"/>
      <c r="BC184" t="s">
        <v>597</v>
      </c>
      <c r="BN184" s="23" t="s">
        <v>232</v>
      </c>
      <c r="BT184" t="s">
        <v>62</v>
      </c>
    </row>
    <row r="185" spans="1:72" ht="13.25" customHeight="1">
      <c r="C185" s="21"/>
      <c r="D185" t="s">
        <v>589</v>
      </c>
      <c r="I185" s="1358" t="s">
        <v>2636</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3.25" customHeight="1">
      <c r="C186" s="21"/>
      <c r="E186" t="s">
        <v>169</v>
      </c>
      <c r="BN186" s="23" t="s">
        <v>234</v>
      </c>
      <c r="BT186" t="s">
        <v>64</v>
      </c>
    </row>
    <row r="187" spans="1:72" ht="13.25" customHeight="1">
      <c r="C187" s="21"/>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235</v>
      </c>
      <c r="BT187" t="s">
        <v>65</v>
      </c>
    </row>
    <row r="188" spans="1:72" ht="13.25"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237</v>
      </c>
      <c r="BT188" t="s">
        <v>66</v>
      </c>
    </row>
    <row r="189" spans="1:72" ht="13.25" customHeight="1">
      <c r="C189" s="21"/>
      <c r="D189" t="s">
        <v>590</v>
      </c>
      <c r="I189" s="1349" t="s">
        <v>2633</v>
      </c>
      <c r="J189" s="1350"/>
      <c r="K189" s="1350"/>
      <c r="L189" s="1350"/>
      <c r="M189" s="1350"/>
      <c r="N189" s="1350"/>
      <c r="O189" s="1350"/>
      <c r="P189" s="1350"/>
      <c r="Q189" t="s">
        <v>592</v>
      </c>
      <c r="T189" s="1350" t="s">
        <v>70</v>
      </c>
      <c r="U189" s="1350"/>
      <c r="V189" s="1350"/>
      <c r="W189" s="1350"/>
      <c r="X189" s="1350"/>
      <c r="Y189" s="1350"/>
      <c r="Z189" s="1350"/>
      <c r="AA189" s="1350"/>
      <c r="AB189" s="1350"/>
      <c r="AC189" s="1350"/>
      <c r="AD189" s="1350"/>
      <c r="AE189" s="1350"/>
      <c r="BC189" t="s">
        <v>309</v>
      </c>
      <c r="BH189" s="3" t="s">
        <v>601</v>
      </c>
      <c r="BN189" s="23" t="s">
        <v>238</v>
      </c>
      <c r="BT189" t="s">
        <v>67</v>
      </c>
    </row>
    <row r="190" spans="1:72" ht="13.25" customHeight="1">
      <c r="C190" s="21"/>
      <c r="D190" t="s">
        <v>593</v>
      </c>
      <c r="I190" s="1359">
        <v>94303</v>
      </c>
      <c r="J190" s="1359"/>
      <c r="K190" s="1359"/>
      <c r="L190" s="1359"/>
      <c r="M190" s="1359"/>
      <c r="N190" s="1359"/>
      <c r="O190" t="s">
        <v>595</v>
      </c>
      <c r="T190" s="1771">
        <v>60816119.009999998</v>
      </c>
      <c r="U190" s="1771"/>
      <c r="V190" s="1771"/>
      <c r="W190" s="1771"/>
      <c r="X190" s="1771"/>
      <c r="Y190" s="1771"/>
      <c r="Z190" s="1771"/>
      <c r="AA190" s="1771"/>
      <c r="AB190" s="1771"/>
      <c r="AC190" s="1771"/>
      <c r="AD190" s="1771"/>
      <c r="AE190" s="1771"/>
      <c r="BC190" t="s">
        <v>1102</v>
      </c>
      <c r="BH190" t="s">
        <v>1102</v>
      </c>
      <c r="BN190" s="23" t="s">
        <v>645</v>
      </c>
      <c r="BT190" t="s">
        <v>68</v>
      </c>
    </row>
    <row r="191" spans="1:72" ht="13.25" customHeight="1">
      <c r="C191" s="21"/>
      <c r="D191" t="s">
        <v>472</v>
      </c>
      <c r="N191" s="1773" t="s">
        <v>2637</v>
      </c>
      <c r="O191" s="1774"/>
      <c r="P191" s="1774"/>
      <c r="Q191" s="1774"/>
      <c r="R191" s="1774"/>
      <c r="S191" s="1774"/>
      <c r="T191" s="1774"/>
      <c r="U191" s="1774"/>
      <c r="V191" s="1774"/>
      <c r="W191" s="1774"/>
      <c r="X191" s="1774"/>
      <c r="Y191" s="1774"/>
      <c r="Z191" s="1774"/>
      <c r="AA191" s="1774"/>
      <c r="AB191" s="1774"/>
      <c r="AC191" s="1774"/>
      <c r="AD191" s="1774"/>
      <c r="AE191" s="1774"/>
      <c r="BC191" t="s">
        <v>1101</v>
      </c>
      <c r="BH191" t="s">
        <v>1101</v>
      </c>
      <c r="BN191" s="23" t="s">
        <v>699</v>
      </c>
      <c r="BT191" t="s">
        <v>740</v>
      </c>
    </row>
    <row r="192" spans="1:72" ht="13.25"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1104</v>
      </c>
      <c r="BH192" s="3" t="s">
        <v>1808</v>
      </c>
      <c r="BN192" s="23" t="s">
        <v>700</v>
      </c>
      <c r="BT192" t="s">
        <v>741</v>
      </c>
    </row>
    <row r="193" spans="1:74" ht="13.25" customHeight="1">
      <c r="C193" s="21"/>
      <c r="D193" t="s">
        <v>2504</v>
      </c>
      <c r="M193" s="40"/>
      <c r="N193" s="921"/>
      <c r="O193" s="921"/>
      <c r="P193" s="921"/>
      <c r="Q193" s="921"/>
      <c r="R193" s="921"/>
      <c r="S193" s="921"/>
      <c r="T193" s="1754" t="s">
        <v>2359</v>
      </c>
      <c r="U193" s="1754"/>
      <c r="V193" s="1754"/>
      <c r="W193" s="1754"/>
      <c r="X193" s="1754"/>
      <c r="Y193" s="1754"/>
      <c r="Z193" s="1754"/>
      <c r="AA193" s="1754"/>
      <c r="AB193" s="1754"/>
      <c r="AC193" s="1754"/>
      <c r="AD193" s="1754"/>
      <c r="AE193" s="1754"/>
      <c r="AF193" s="1754"/>
      <c r="AG193" s="1754"/>
      <c r="AH193" s="1754"/>
      <c r="AI193" s="1754"/>
      <c r="BC193" t="s">
        <v>1103</v>
      </c>
      <c r="BH193" s="3" t="s">
        <v>1809</v>
      </c>
      <c r="BN193" s="23" t="s">
        <v>701</v>
      </c>
      <c r="BT193" t="s">
        <v>742</v>
      </c>
    </row>
    <row r="194" spans="1:74" ht="13.25" customHeight="1">
      <c r="C194" s="21"/>
      <c r="D194" t="s">
        <v>333</v>
      </c>
      <c r="T194" s="1351" t="s">
        <v>679</v>
      </c>
      <c r="U194" s="1351"/>
      <c r="W194" t="s">
        <v>695</v>
      </c>
      <c r="AH194" s="1351">
        <v>15</v>
      </c>
      <c r="AI194" s="1351"/>
      <c r="BC194" t="s">
        <v>1537</v>
      </c>
      <c r="BN194" s="23" t="s">
        <v>702</v>
      </c>
      <c r="BT194" t="s">
        <v>743</v>
      </c>
    </row>
    <row r="195" spans="1:74" ht="13.25" customHeight="1">
      <c r="C195" s="21"/>
      <c r="D195" t="s">
        <v>388</v>
      </c>
      <c r="T195" s="1517" t="s">
        <v>555</v>
      </c>
      <c r="U195" s="1517"/>
      <c r="W195" t="s">
        <v>696</v>
      </c>
      <c r="AH195" s="1351">
        <v>21</v>
      </c>
      <c r="AI195" s="1351"/>
      <c r="BC195" t="s">
        <v>2120</v>
      </c>
      <c r="BN195" s="23" t="s">
        <v>244</v>
      </c>
      <c r="BT195" t="s">
        <v>744</v>
      </c>
    </row>
    <row r="196" spans="1:74" ht="13.25" customHeight="1">
      <c r="C196" s="21"/>
      <c r="D196" s="3" t="s">
        <v>170</v>
      </c>
      <c r="T196" s="1517" t="s">
        <v>679</v>
      </c>
      <c r="U196" s="1517"/>
      <c r="W196" t="s">
        <v>697</v>
      </c>
      <c r="AH196" s="1351">
        <v>13</v>
      </c>
      <c r="AI196" s="1351"/>
      <c r="BN196" s="23" t="s">
        <v>245</v>
      </c>
      <c r="BT196" t="s">
        <v>69</v>
      </c>
    </row>
    <row r="197" spans="1:74" ht="13.25" customHeight="1">
      <c r="C197" s="21"/>
      <c r="D197" s="3" t="s">
        <v>1833</v>
      </c>
      <c r="T197" s="1517"/>
      <c r="U197" s="1517"/>
      <c r="AH197" s="14"/>
      <c r="AI197" s="14"/>
      <c r="BC197" t="s">
        <v>309</v>
      </c>
      <c r="BN197" s="23" t="s">
        <v>246</v>
      </c>
      <c r="BT197" t="s">
        <v>70</v>
      </c>
    </row>
    <row r="198" spans="1:74" s="14" customFormat="1" ht="13.25" customHeight="1">
      <c r="A198"/>
      <c r="B198"/>
      <c r="C198" s="21"/>
      <c r="E198"/>
      <c r="F198"/>
      <c r="G198"/>
      <c r="H198"/>
      <c r="I198"/>
      <c r="J198"/>
      <c r="K198"/>
      <c r="L198"/>
      <c r="M198"/>
      <c r="N198"/>
      <c r="O198"/>
      <c r="P198"/>
      <c r="Q198"/>
      <c r="R198"/>
      <c r="S198"/>
      <c r="T198"/>
      <c r="U198"/>
      <c r="V198"/>
      <c r="W198"/>
      <c r="X198" s="1058" t="s">
        <v>2505</v>
      </c>
      <c r="Y198" s="1351" t="s">
        <v>679</v>
      </c>
      <c r="Z198" s="1351"/>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2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25" customHeight="1">
      <c r="A200"/>
      <c r="B200"/>
      <c r="C200" s="21"/>
      <c r="D200" s="220" t="s">
        <v>959</v>
      </c>
      <c r="E200"/>
      <c r="F200"/>
      <c r="G200"/>
      <c r="H200"/>
      <c r="I200"/>
      <c r="J200"/>
      <c r="K200"/>
      <c r="L200"/>
      <c r="M200"/>
      <c r="N200"/>
      <c r="O200"/>
      <c r="P200"/>
      <c r="Q200"/>
      <c r="R200"/>
      <c r="S200"/>
      <c r="T200" s="1"/>
      <c r="U200" s="1"/>
      <c r="V200"/>
      <c r="W200" s="220"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61"/>
      <c r="BN200" s="23" t="s">
        <v>710</v>
      </c>
      <c r="BO200"/>
      <c r="BP200"/>
      <c r="BQ200"/>
      <c r="BR200"/>
      <c r="BS200"/>
      <c r="BT200" s="32" t="s">
        <v>195</v>
      </c>
      <c r="BU200"/>
    </row>
    <row r="201" spans="1:74" s="14" customFormat="1" ht="13.25" customHeight="1">
      <c r="A201"/>
      <c r="B201"/>
      <c r="C201" s="21"/>
      <c r="D201" s="538"/>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61"/>
      <c r="BN201" s="23" t="s">
        <v>711</v>
      </c>
      <c r="BO201" s="31"/>
      <c r="BP201" s="32"/>
      <c r="BQ201" s="32"/>
      <c r="BR201" s="32"/>
      <c r="BS201" s="32"/>
      <c r="BT201" s="32" t="s">
        <v>196</v>
      </c>
      <c r="BU201"/>
    </row>
    <row r="202" spans="1:74" ht="13.25" customHeight="1">
      <c r="A202" s="2" t="s">
        <v>596</v>
      </c>
      <c r="C202" s="2" t="s">
        <v>137</v>
      </c>
      <c r="BC202" t="s">
        <v>1128</v>
      </c>
      <c r="BD202" s="461"/>
      <c r="BN202" s="23" t="s">
        <v>712</v>
      </c>
      <c r="BO202" s="14"/>
      <c r="BP202" s="32"/>
      <c r="BQ202" s="32"/>
      <c r="BR202" s="32"/>
      <c r="BS202" s="32"/>
      <c r="BT202" s="32" t="s">
        <v>197</v>
      </c>
    </row>
    <row r="203" spans="1:74" ht="13.25" customHeight="1">
      <c r="D203" s="1348" t="s">
        <v>387</v>
      </c>
      <c r="E203" s="1348"/>
      <c r="F203" s="1348"/>
      <c r="G203" s="1348"/>
      <c r="H203" s="1348"/>
      <c r="I203" s="1348"/>
      <c r="J203" s="1348"/>
      <c r="K203" s="1348"/>
      <c r="L203" s="1348"/>
      <c r="M203" s="1348"/>
      <c r="P203" s="1769">
        <f>M26</f>
        <v>6660543</v>
      </c>
      <c r="Q203" s="1758"/>
      <c r="R203" s="1758"/>
      <c r="S203" s="1758"/>
      <c r="T203" s="1758"/>
      <c r="U203" s="1758"/>
      <c r="Z203" s="1756" t="s">
        <v>1327</v>
      </c>
      <c r="AA203" s="1756"/>
      <c r="AB203" s="1756"/>
      <c r="AC203" s="1756"/>
      <c r="AD203" s="1756"/>
      <c r="AE203" s="1756"/>
      <c r="AF203" s="1756"/>
      <c r="BC203" t="s">
        <v>1129</v>
      </c>
      <c r="BN203" s="23" t="s">
        <v>713</v>
      </c>
      <c r="BO203" s="14"/>
      <c r="BP203" s="32"/>
      <c r="BQ203" s="32"/>
      <c r="BR203" s="32"/>
      <c r="BS203" s="32"/>
      <c r="BT203" s="32" t="s">
        <v>198</v>
      </c>
    </row>
    <row r="204" spans="1:74" ht="13.25" customHeight="1">
      <c r="C204" s="21"/>
      <c r="D204" s="1755" t="s">
        <v>1403</v>
      </c>
      <c r="E204" s="1348"/>
      <c r="F204" s="1348"/>
      <c r="G204" s="1348"/>
      <c r="H204" s="1348"/>
      <c r="I204" s="1348"/>
      <c r="J204" s="1348"/>
      <c r="K204" s="1348"/>
      <c r="L204" s="1348"/>
      <c r="M204" s="1348"/>
      <c r="P204" s="1758">
        <f>M27</f>
        <v>0</v>
      </c>
      <c r="Q204" s="1758"/>
      <c r="R204" s="1758"/>
      <c r="S204" s="1758"/>
      <c r="T204" s="1758"/>
      <c r="U204" s="1758"/>
      <c r="V204" s="28"/>
      <c r="W204" s="3" t="s">
        <v>1981</v>
      </c>
      <c r="Z204" s="1756"/>
      <c r="AA204" s="1756"/>
      <c r="AB204" s="1756"/>
      <c r="AC204" s="1756"/>
      <c r="AD204" s="1756"/>
      <c r="AE204" s="1756"/>
      <c r="AF204" s="1756"/>
      <c r="AG204" t="s">
        <v>1404</v>
      </c>
      <c r="AP204" s="1351" t="s">
        <v>679</v>
      </c>
      <c r="AQ204" s="1351"/>
      <c r="BC204" t="s">
        <v>620</v>
      </c>
      <c r="BN204" s="23" t="s">
        <v>714</v>
      </c>
      <c r="BT204" s="32" t="s">
        <v>199</v>
      </c>
      <c r="BU204" s="14"/>
    </row>
    <row r="205" spans="1:74" ht="13.25" customHeight="1">
      <c r="D205" s="29"/>
      <c r="E205" s="29"/>
      <c r="F205" s="29"/>
      <c r="G205" s="29"/>
      <c r="H205" s="29"/>
      <c r="I205" s="29"/>
      <c r="J205" s="29"/>
      <c r="K205" s="29"/>
      <c r="L205" s="29"/>
      <c r="M205" s="29"/>
      <c r="N205" s="29"/>
      <c r="O205" s="29"/>
      <c r="P205" s="29"/>
      <c r="Z205" s="1757"/>
      <c r="AA205" s="1757"/>
      <c r="AB205" s="1757"/>
      <c r="AC205" s="1757"/>
      <c r="AD205" s="1757"/>
      <c r="AE205" s="1757"/>
      <c r="AF205" s="1757"/>
      <c r="BC205" t="s">
        <v>1087</v>
      </c>
      <c r="BN205" s="23" t="s">
        <v>110</v>
      </c>
      <c r="BT205" s="32" t="s">
        <v>175</v>
      </c>
      <c r="BU205" s="14"/>
    </row>
    <row r="206" spans="1:74" ht="13.25" customHeight="1">
      <c r="A206" s="2" t="s">
        <v>599</v>
      </c>
      <c r="C206" s="2" t="s">
        <v>561</v>
      </c>
      <c r="BC206" s="462" t="s">
        <v>1130</v>
      </c>
      <c r="BN206" s="23" t="s">
        <v>111</v>
      </c>
      <c r="BT206" s="32" t="s">
        <v>200</v>
      </c>
      <c r="BU206" s="14"/>
    </row>
    <row r="207" spans="1:74" ht="13.25" customHeight="1">
      <c r="C207" s="21"/>
      <c r="D207" s="1646" t="s">
        <v>2638</v>
      </c>
      <c r="E207" s="1646"/>
      <c r="F207" s="1646"/>
      <c r="G207" s="1646"/>
      <c r="H207" s="1646"/>
      <c r="I207" s="1646"/>
      <c r="J207" s="1646"/>
      <c r="K207" s="1646"/>
      <c r="L207" s="1646"/>
      <c r="M207" s="1646"/>
      <c r="BC207" s="3" t="s">
        <v>1360</v>
      </c>
      <c r="BN207" s="23" t="s">
        <v>45</v>
      </c>
      <c r="BT207" s="32" t="s">
        <v>201</v>
      </c>
    </row>
    <row r="208" spans="1:74" ht="13.25" customHeight="1">
      <c r="BC208" t="s">
        <v>1131</v>
      </c>
      <c r="BN208" s="23" t="s">
        <v>46</v>
      </c>
      <c r="BT208" s="32" t="s">
        <v>202</v>
      </c>
    </row>
    <row r="209" spans="1:72" ht="13.25" customHeight="1">
      <c r="A209" s="2" t="s">
        <v>600</v>
      </c>
      <c r="C209" s="2" t="s">
        <v>390</v>
      </c>
      <c r="BC209" t="s">
        <v>669</v>
      </c>
      <c r="BN209" s="23" t="s">
        <v>47</v>
      </c>
      <c r="BT209" s="32" t="s">
        <v>203</v>
      </c>
    </row>
    <row r="210" spans="1:72" ht="13.25" customHeight="1">
      <c r="C210" s="21"/>
      <c r="D210" s="1646" t="s">
        <v>1102</v>
      </c>
      <c r="E210" s="1646"/>
      <c r="F210" s="1646"/>
      <c r="G210" s="1646"/>
      <c r="H210" s="1646"/>
      <c r="I210" s="1646"/>
      <c r="J210" s="1646"/>
      <c r="K210" s="1646"/>
      <c r="L210" s="1646"/>
      <c r="M210" s="1646"/>
      <c r="BN210" s="23" t="s">
        <v>48</v>
      </c>
      <c r="BT210" s="32" t="s">
        <v>204</v>
      </c>
    </row>
    <row r="211" spans="1:72" ht="13.25" customHeight="1">
      <c r="C211" s="21"/>
      <c r="D211" t="s">
        <v>1393</v>
      </c>
      <c r="Y211" s="1351"/>
      <c r="Z211" s="1351"/>
      <c r="AB211" s="1751">
        <f>IFERROR(Y211/AG439,"")</f>
        <v>0</v>
      </c>
      <c r="AC211" s="1752"/>
      <c r="BN211" s="23" t="s">
        <v>130</v>
      </c>
      <c r="BT211" s="32" t="s">
        <v>131</v>
      </c>
    </row>
    <row r="212" spans="1:72" ht="13.25" customHeight="1">
      <c r="D212" s="1180" t="s">
        <v>1807</v>
      </c>
      <c r="BC212" t="s">
        <v>309</v>
      </c>
      <c r="BN212" s="23" t="s">
        <v>49</v>
      </c>
      <c r="BT212" s="32" t="s">
        <v>205</v>
      </c>
    </row>
    <row r="213" spans="1:72" ht="13.25" customHeight="1">
      <c r="D213" s="1817" t="s">
        <v>601</v>
      </c>
      <c r="E213" s="1817"/>
      <c r="F213" s="1817"/>
      <c r="G213" s="1817"/>
      <c r="H213" s="1817"/>
      <c r="I213" s="1817"/>
      <c r="J213" s="1817"/>
      <c r="K213" s="1817"/>
      <c r="L213" s="1817"/>
      <c r="M213" s="1817"/>
      <c r="N213" s="1817"/>
      <c r="O213" s="1817"/>
      <c r="P213" s="1817"/>
      <c r="Q213" s="1817"/>
      <c r="R213" s="1817"/>
      <c r="S213" s="1817"/>
      <c r="T213" s="1817"/>
      <c r="U213" s="1817"/>
      <c r="V213" s="1817"/>
      <c r="W213" s="1817"/>
      <c r="X213" s="1817"/>
      <c r="Y213" s="1817"/>
      <c r="Z213" s="1817"/>
      <c r="BC213" t="s">
        <v>536</v>
      </c>
      <c r="BN213" s="23" t="s">
        <v>50</v>
      </c>
      <c r="BT213" s="32" t="s">
        <v>206</v>
      </c>
    </row>
    <row r="214" spans="1:72" ht="13.25" customHeight="1">
      <c r="D214" s="3" t="s">
        <v>1834</v>
      </c>
      <c r="Z214" s="40"/>
      <c r="AB214" s="1816"/>
      <c r="AC214" s="1816"/>
      <c r="AD214" s="1816"/>
      <c r="AE214" s="1816"/>
      <c r="AF214" s="1816"/>
      <c r="AG214" s="1816"/>
      <c r="AH214" s="1816"/>
      <c r="AI214" s="1816"/>
      <c r="AJ214" s="1816"/>
      <c r="AK214" s="1816"/>
      <c r="AL214" s="1816"/>
      <c r="AM214" s="21"/>
      <c r="AN214" s="21"/>
      <c r="AO214" s="21"/>
      <c r="AP214" s="21"/>
      <c r="AQ214" s="21"/>
      <c r="AR214" s="21"/>
      <c r="AS214" s="21"/>
      <c r="AT214" s="21"/>
      <c r="AU214" s="21"/>
      <c r="AV214" s="21"/>
      <c r="AW214" s="21"/>
      <c r="AX214" s="21"/>
      <c r="AY214" s="21"/>
      <c r="BC214" t="s">
        <v>540</v>
      </c>
      <c r="BN214" s="23" t="s">
        <v>328</v>
      </c>
      <c r="BT214" s="32" t="s">
        <v>207</v>
      </c>
    </row>
    <row r="215" spans="1:72" ht="13.25" customHeight="1">
      <c r="D215" s="3" t="s">
        <v>1832</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537</v>
      </c>
    </row>
    <row r="216" spans="1:72" ht="13.2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25" customHeight="1">
      <c r="A217" s="2" t="s">
        <v>602</v>
      </c>
      <c r="C217" s="2" t="s">
        <v>1368</v>
      </c>
      <c r="D217" s="28"/>
      <c r="BC217" t="s">
        <v>538</v>
      </c>
    </row>
    <row r="218" spans="1:72" ht="13.25" customHeight="1">
      <c r="A218" s="2"/>
      <c r="C218" s="2"/>
      <c r="D218" s="4" t="s">
        <v>1041</v>
      </c>
      <c r="BC218" t="s">
        <v>539</v>
      </c>
    </row>
    <row r="219" spans="1:72" ht="13.25" customHeight="1">
      <c r="A219" s="2"/>
      <c r="C219" s="2"/>
      <c r="D219" s="1646" t="s">
        <v>1087</v>
      </c>
      <c r="E219" s="1646"/>
      <c r="F219" s="1646"/>
      <c r="G219" s="1646"/>
      <c r="H219" s="1646"/>
      <c r="I219" s="1646"/>
      <c r="J219" s="1646"/>
      <c r="K219" s="1646"/>
      <c r="L219" s="1646"/>
      <c r="M219" s="1646"/>
      <c r="N219" s="1646"/>
      <c r="O219" s="1646"/>
      <c r="P219" s="1646"/>
      <c r="Q219" s="1646"/>
      <c r="R219" s="1646"/>
      <c r="S219" s="1646"/>
      <c r="T219" s="1646"/>
      <c r="U219" s="1646"/>
      <c r="V219" s="1646"/>
      <c r="W219" s="1646"/>
      <c r="X219" s="1646"/>
      <c r="Y219" s="1646"/>
      <c r="Z219" s="1646"/>
      <c r="AZ219" s="3"/>
      <c r="BA219" s="3"/>
      <c r="BC219" t="s">
        <v>379</v>
      </c>
    </row>
    <row r="220" spans="1:72" ht="13.25" customHeight="1">
      <c r="A220" s="2"/>
      <c r="B220" s="14"/>
      <c r="C220" s="2"/>
      <c r="BA220" s="3"/>
      <c r="BC220" t="s">
        <v>302</v>
      </c>
    </row>
    <row r="221" spans="1:72" ht="13.25" customHeight="1">
      <c r="A221" s="1639" t="s">
        <v>550</v>
      </c>
      <c r="B221" s="1639"/>
      <c r="C221" s="1639"/>
      <c r="D221" s="1639"/>
      <c r="E221" s="1639"/>
      <c r="F221" s="1639"/>
      <c r="G221" s="1639"/>
      <c r="H221" s="1639"/>
      <c r="I221" s="1639"/>
      <c r="J221" s="1639"/>
      <c r="K221" s="1639"/>
      <c r="L221" s="1639"/>
      <c r="M221" s="1639"/>
      <c r="N221" s="1639"/>
      <c r="O221" s="1639"/>
      <c r="P221" s="1639"/>
      <c r="Q221" s="1639"/>
      <c r="R221" s="1639"/>
      <c r="S221" s="1639"/>
      <c r="T221" s="1639"/>
      <c r="U221" s="1639"/>
      <c r="V221" s="1639"/>
      <c r="W221" s="1639"/>
      <c r="X221" s="1639"/>
      <c r="Y221" s="1639"/>
      <c r="Z221" s="1639"/>
      <c r="AA221" s="1639"/>
      <c r="AB221" s="1639"/>
      <c r="AC221" s="1639"/>
      <c r="AD221" s="1639"/>
      <c r="AE221" s="1639"/>
      <c r="AF221" s="1639"/>
      <c r="AG221" s="1639"/>
      <c r="AH221" s="1639"/>
      <c r="AI221" s="1639"/>
      <c r="AJ221" s="1639"/>
      <c r="AK221" s="1639"/>
      <c r="AL221" s="1639"/>
      <c r="AM221" s="95"/>
      <c r="AN221" s="95"/>
      <c r="AO221" s="95"/>
      <c r="AP221" s="95"/>
      <c r="AQ221" s="95"/>
      <c r="AR221" s="95"/>
      <c r="AS221" s="95"/>
      <c r="AT221" s="95"/>
      <c r="AU221" s="95"/>
      <c r="AV221" s="95"/>
      <c r="AW221" s="95"/>
      <c r="AX221" s="95"/>
      <c r="AY221" s="95"/>
      <c r="BA221" s="3"/>
    </row>
    <row r="222" spans="1:72" ht="13.25" customHeight="1" thickBot="1">
      <c r="A222" s="1640"/>
      <c r="B222" s="1640"/>
      <c r="C222" s="1640"/>
      <c r="D222" s="1640"/>
      <c r="E222" s="1640"/>
      <c r="F222" s="1640"/>
      <c r="G222" s="1640"/>
      <c r="H222" s="1640"/>
      <c r="I222" s="1640"/>
      <c r="J222" s="1640"/>
      <c r="K222" s="1640"/>
      <c r="L222" s="1640"/>
      <c r="M222" s="1640"/>
      <c r="N222" s="1640"/>
      <c r="O222" s="1640"/>
      <c r="P222" s="1640"/>
      <c r="Q222" s="1640"/>
      <c r="R222" s="1640"/>
      <c r="S222" s="1640"/>
      <c r="T222" s="1640"/>
      <c r="U222" s="1640"/>
      <c r="V222" s="1640"/>
      <c r="W222" s="1640"/>
      <c r="X222" s="1640"/>
      <c r="Y222" s="1640"/>
      <c r="Z222" s="1640"/>
      <c r="AA222" s="1640"/>
      <c r="AB222" s="1640"/>
      <c r="AC222" s="1640"/>
      <c r="AD222" s="1640"/>
      <c r="AE222" s="1640"/>
      <c r="AF222" s="1640"/>
      <c r="AG222" s="1640"/>
      <c r="AH222" s="1640"/>
      <c r="AI222" s="1640"/>
      <c r="AJ222" s="1640"/>
      <c r="AK222" s="1640"/>
      <c r="AL222" s="1640"/>
      <c r="AM222" s="95"/>
      <c r="AN222" s="95"/>
      <c r="AO222" s="95"/>
      <c r="AP222" s="95"/>
      <c r="AQ222" s="95"/>
      <c r="AR222" s="95"/>
      <c r="AS222" s="95"/>
      <c r="AT222" s="95"/>
      <c r="AU222" s="95"/>
      <c r="AV222" s="95"/>
      <c r="AW222" s="95"/>
      <c r="AX222" s="95"/>
      <c r="AY222" s="95"/>
      <c r="AZ222" s="3"/>
      <c r="BA222" s="3"/>
      <c r="BP222" s="34"/>
    </row>
    <row r="223" spans="1:72" ht="13.25" customHeight="1" thickTop="1">
      <c r="BA223" s="3"/>
      <c r="BB223" s="3"/>
      <c r="BQ223" s="34"/>
    </row>
    <row r="224" spans="1:72" ht="13.2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2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1" t="s">
        <v>555</v>
      </c>
      <c r="AJ225" s="1351"/>
      <c r="AL225" s="3"/>
      <c r="AM225" s="3"/>
      <c r="AN225" s="3"/>
      <c r="AO225" s="3"/>
      <c r="AP225" s="3"/>
      <c r="AQ225" s="3"/>
      <c r="AR225" s="3"/>
      <c r="AS225" s="3"/>
      <c r="AT225" s="3"/>
      <c r="AU225" s="3"/>
      <c r="AV225" s="3"/>
      <c r="AW225" s="3"/>
      <c r="AX225" s="3"/>
      <c r="AY225" s="3"/>
      <c r="BO225" s="34"/>
    </row>
    <row r="226" spans="1:69" ht="13.2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1" t="s">
        <v>601</v>
      </c>
      <c r="AJ226" s="1351"/>
      <c r="AL226" s="3"/>
      <c r="AM226" s="3"/>
      <c r="AN226" s="3"/>
      <c r="AO226" s="3"/>
      <c r="AP226" s="3"/>
      <c r="AQ226" s="3"/>
      <c r="AR226" s="3"/>
      <c r="AS226" s="3"/>
      <c r="AT226" s="3"/>
      <c r="AU226" s="3"/>
      <c r="AV226" s="3"/>
      <c r="AW226" s="3"/>
      <c r="AX226" s="3"/>
      <c r="AY226" s="3"/>
      <c r="AZ226" s="4"/>
      <c r="BB226" s="217" t="s">
        <v>548</v>
      </c>
      <c r="BG226" s="251">
        <f>IF(AND(AND($M$248="for profit",$M$256="for profit",$M$264="nonprofit")),2,0)</f>
        <v>0</v>
      </c>
      <c r="BO226" s="34"/>
    </row>
    <row r="227" spans="1:69" ht="13.2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1" t="s">
        <v>601</v>
      </c>
      <c r="AJ227" s="1351"/>
      <c r="AL227" s="3"/>
      <c r="AM227" s="3"/>
      <c r="AN227" s="3"/>
      <c r="AO227" s="3"/>
      <c r="AP227" s="3"/>
      <c r="AQ227" s="3"/>
      <c r="AR227" s="3"/>
      <c r="AS227" s="3"/>
      <c r="AT227" s="3"/>
      <c r="AU227" s="3"/>
      <c r="AV227" s="3"/>
      <c r="AW227" s="3"/>
      <c r="AX227" s="3"/>
      <c r="AY227" s="3"/>
      <c r="BA227" s="3"/>
      <c r="BB227" s="217" t="s">
        <v>548</v>
      </c>
      <c r="BG227" s="251">
        <f>IF(AND(AND($M$248="for profit",$M$256="nonprofit",$M$264="for profit")),2,0)</f>
        <v>0</v>
      </c>
      <c r="BQ227" s="34"/>
    </row>
    <row r="228" spans="1:69" ht="13.2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1" t="s">
        <v>601</v>
      </c>
      <c r="AJ228" s="1351"/>
      <c r="AL228" s="3"/>
      <c r="AM228" s="3"/>
      <c r="AN228" s="3"/>
      <c r="AO228" s="3"/>
      <c r="AP228" s="3"/>
      <c r="AQ228" s="3"/>
      <c r="AR228" s="3"/>
      <c r="AS228" s="3"/>
      <c r="AT228" s="3"/>
      <c r="AU228" s="3"/>
      <c r="AV228" s="3"/>
      <c r="AW228" s="3"/>
      <c r="AX228" s="3"/>
      <c r="AY228" s="3"/>
      <c r="AZ228" s="4"/>
      <c r="BA228" s="3"/>
      <c r="BB228" s="217" t="s">
        <v>548</v>
      </c>
      <c r="BG228" s="251">
        <f>IF(AND(AND($M$248="nonprofit",$M$256="for profit",$M$264="for profit")),2,0)</f>
        <v>0</v>
      </c>
      <c r="BQ228" s="34"/>
    </row>
    <row r="229" spans="1:69" ht="13.2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7" t="s">
        <v>548</v>
      </c>
      <c r="BG229" s="251">
        <f>IF(AND(AND($M$248="for profit",$M$256="nonprofit",$M$264="(select one)")),2,0)</f>
        <v>0</v>
      </c>
      <c r="BO229" s="34"/>
    </row>
    <row r="230" spans="1:69" ht="13.25"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548</v>
      </c>
      <c r="BG230" s="250">
        <f>IF(AND(AND($M$248="nonprofit",$M$256="for profit",$M$264="(select one)")),2,0)</f>
        <v>0</v>
      </c>
      <c r="BO230" s="34"/>
    </row>
    <row r="231" spans="1:69" ht="13.25" customHeight="1">
      <c r="D231" s="4" t="s">
        <v>480</v>
      </c>
      <c r="E231" s="4"/>
      <c r="F231" s="4"/>
      <c r="G231" s="4"/>
      <c r="H231" s="4"/>
      <c r="I231" s="4"/>
      <c r="J231" s="4"/>
      <c r="K231" s="4"/>
      <c r="M231" s="1772" t="str">
        <f>H16</f>
        <v xml:space="preserve">MP 965 Weeks Street Associates, L.P. </v>
      </c>
      <c r="N231" s="1772"/>
      <c r="O231" s="1772"/>
      <c r="P231" s="1772"/>
      <c r="Q231" s="1772"/>
      <c r="R231" s="1772"/>
      <c r="S231" s="1772"/>
      <c r="T231" s="1772"/>
      <c r="U231" s="1772"/>
      <c r="V231" s="1772"/>
      <c r="W231" s="1772"/>
      <c r="X231" s="1772"/>
      <c r="Y231" s="1772"/>
      <c r="Z231" s="1772"/>
      <c r="AA231" s="1772"/>
      <c r="AB231" s="1772"/>
      <c r="AC231" s="1772"/>
      <c r="AD231" s="1772"/>
      <c r="AE231" s="1772"/>
      <c r="AF231" s="1772"/>
      <c r="AG231" s="1772"/>
      <c r="AH231" s="1772"/>
      <c r="AI231" s="1772"/>
      <c r="AJ231" s="1772"/>
      <c r="AK231" s="1772"/>
      <c r="BA231" s="3"/>
      <c r="BB231" s="217"/>
      <c r="BG231" s="217"/>
      <c r="BQ231" s="34"/>
    </row>
    <row r="232" spans="1:69" ht="13.25" customHeight="1">
      <c r="D232" s="4" t="s">
        <v>86</v>
      </c>
      <c r="E232" s="4"/>
      <c r="F232" s="4"/>
      <c r="G232" s="4"/>
      <c r="H232" s="4"/>
      <c r="I232" s="4"/>
      <c r="J232" s="4"/>
      <c r="K232" s="4"/>
      <c r="M232" s="1349" t="s">
        <v>2639</v>
      </c>
      <c r="N232" s="1349"/>
      <c r="O232" s="1349"/>
      <c r="P232" s="1349"/>
      <c r="Q232" s="1349"/>
      <c r="R232" s="1349"/>
      <c r="S232" s="1349"/>
      <c r="T232" s="1349"/>
      <c r="U232" s="1349"/>
      <c r="V232" s="1349"/>
      <c r="W232" s="1349"/>
      <c r="X232" s="1349"/>
      <c r="Y232" s="1349"/>
      <c r="Z232" s="1349"/>
      <c r="AA232" s="1349"/>
      <c r="AB232" s="1349"/>
      <c r="AC232" s="1349"/>
      <c r="AD232" s="1349"/>
      <c r="AE232" s="1349"/>
      <c r="AZ232" s="4"/>
      <c r="BA232" s="3"/>
      <c r="BB232" s="218" t="s">
        <v>548</v>
      </c>
      <c r="BG232" s="251">
        <f>IF(AND(AND($M$248="nonprofit",$M$256="nonprofit",$M$264="for profit")),2,0)</f>
        <v>0</v>
      </c>
      <c r="BQ232" s="34"/>
    </row>
    <row r="233" spans="1:69" ht="13.25" customHeight="1">
      <c r="D233" s="4" t="s">
        <v>590</v>
      </c>
      <c r="E233" s="4"/>
      <c r="M233" s="1349" t="s">
        <v>2640</v>
      </c>
      <c r="N233" s="1349"/>
      <c r="O233" s="1349"/>
      <c r="P233" s="1349"/>
      <c r="Q233" s="1349"/>
      <c r="R233" s="1349"/>
      <c r="S233" s="1349"/>
      <c r="T233" s="1349"/>
      <c r="V233" s="33" t="s">
        <v>87</v>
      </c>
      <c r="W233" s="1358" t="s">
        <v>2641</v>
      </c>
      <c r="X233" s="1358"/>
      <c r="Y233" s="4" t="s">
        <v>593</v>
      </c>
      <c r="AC233" s="1349">
        <v>94404</v>
      </c>
      <c r="AD233" s="1349"/>
      <c r="AE233" s="1349"/>
      <c r="BB233" s="218" t="s">
        <v>548</v>
      </c>
      <c r="BG233" s="251">
        <f>IF(AND(AND($M$248="nonprofit",$M$256="for profit",$M$264="nonprofit")),2,0)</f>
        <v>0</v>
      </c>
    </row>
    <row r="234" spans="1:69" ht="13.25" customHeight="1">
      <c r="D234" s="4" t="s">
        <v>88</v>
      </c>
      <c r="E234" s="4"/>
      <c r="F234" s="4"/>
      <c r="G234" s="4"/>
      <c r="H234" s="4"/>
      <c r="I234" s="4"/>
      <c r="J234" s="4"/>
      <c r="K234" s="19"/>
      <c r="M234" s="1349" t="s">
        <v>2642</v>
      </c>
      <c r="N234" s="1349"/>
      <c r="O234" s="1349"/>
      <c r="P234" s="1349"/>
      <c r="Q234" s="1349"/>
      <c r="R234" s="1349"/>
      <c r="S234" s="1349"/>
      <c r="T234" s="1349"/>
      <c r="U234" s="1349"/>
      <c r="V234" s="1349"/>
      <c r="W234" s="1349"/>
      <c r="X234" s="1349"/>
      <c r="Y234" s="1349"/>
      <c r="Z234" s="1349"/>
      <c r="AA234" s="1349"/>
      <c r="AB234" s="1349"/>
      <c r="AC234" s="1349"/>
      <c r="AD234" s="1349"/>
      <c r="AE234" s="1349"/>
      <c r="AI234" s="4"/>
      <c r="AJ234" s="4"/>
      <c r="AK234" s="4"/>
      <c r="AL234" s="4"/>
      <c r="AM234" s="4"/>
      <c r="AN234" s="4"/>
      <c r="AO234" s="4"/>
      <c r="AP234" s="4"/>
      <c r="AQ234" s="4"/>
      <c r="AR234" s="4"/>
      <c r="AS234" s="4"/>
      <c r="AT234" s="4"/>
      <c r="AU234" s="4"/>
      <c r="AV234" s="4"/>
      <c r="AW234" s="4"/>
      <c r="AX234" s="4"/>
      <c r="AY234" s="4"/>
      <c r="AZ234" s="4"/>
      <c r="BB234" s="218" t="s">
        <v>548</v>
      </c>
      <c r="BG234" s="250">
        <f>IF(AND(AND($M$248="for profit",$M$256="nonprofit",$M$264="nonprofit")),2,0)</f>
        <v>0</v>
      </c>
      <c r="BO234" s="34"/>
    </row>
    <row r="235" spans="1:69" ht="13.25" customHeight="1">
      <c r="D235" s="4" t="s">
        <v>89</v>
      </c>
      <c r="E235" s="4"/>
      <c r="F235" s="4"/>
      <c r="M235" s="1352" t="s">
        <v>2647</v>
      </c>
      <c r="N235" s="1352"/>
      <c r="O235" s="1352"/>
      <c r="P235" s="1352"/>
      <c r="Q235" s="1352"/>
      <c r="R235" s="1352"/>
      <c r="S235" s="4" t="s">
        <v>208</v>
      </c>
      <c r="T235" s="4"/>
      <c r="U235" s="1347"/>
      <c r="V235" s="1347"/>
      <c r="W235" s="1347"/>
      <c r="X235" s="4" t="s">
        <v>90</v>
      </c>
      <c r="Z235" s="1353"/>
      <c r="AA235" s="1353"/>
      <c r="AB235" s="1353"/>
      <c r="AC235" s="1353"/>
      <c r="AD235" s="1353"/>
      <c r="AE235" s="1353"/>
      <c r="BB235" s="218"/>
      <c r="BG235" s="217"/>
    </row>
    <row r="236" spans="1:69" ht="13.25" customHeight="1">
      <c r="D236" s="4" t="s">
        <v>91</v>
      </c>
      <c r="E236" s="4"/>
      <c r="F236" s="4"/>
      <c r="M236" s="1748" t="s">
        <v>2646</v>
      </c>
      <c r="N236" s="1748"/>
      <c r="O236" s="1748"/>
      <c r="P236" s="1748"/>
      <c r="Q236" s="1748"/>
      <c r="R236" s="1748"/>
      <c r="S236" s="1748"/>
      <c r="T236" s="1748"/>
      <c r="U236" s="1748"/>
      <c r="V236" s="1748"/>
      <c r="W236" s="1748"/>
      <c r="X236" s="1748"/>
      <c r="Y236" s="1748"/>
      <c r="Z236" s="1748"/>
      <c r="AA236" s="1748"/>
      <c r="AB236" s="1748"/>
      <c r="AC236" s="1748"/>
      <c r="AD236" s="1748"/>
      <c r="AE236" s="1748"/>
      <c r="AF236" s="4"/>
      <c r="AG236" s="4"/>
      <c r="AH236" s="4"/>
      <c r="AI236" s="4"/>
      <c r="AJ236" s="4"/>
      <c r="AK236" s="4"/>
      <c r="AL236" s="4"/>
      <c r="AM236" s="4"/>
      <c r="AN236" s="4"/>
      <c r="AO236" s="4"/>
      <c r="AP236" s="4"/>
      <c r="AQ236" s="4"/>
      <c r="AR236" s="4"/>
      <c r="AS236" s="4"/>
      <c r="AT236" s="4"/>
      <c r="AU236" s="4"/>
      <c r="AV236" s="4"/>
      <c r="AW236" s="4"/>
      <c r="AX236" s="4"/>
      <c r="AY236" s="4"/>
      <c r="AZ236" s="4"/>
      <c r="BB236" s="217" t="s">
        <v>547</v>
      </c>
      <c r="BG236" s="251">
        <f>IF(AND(AND($M$248="nonprofit",$M$256="nonprofit",$M$264="(select one)")),1,0)</f>
        <v>0</v>
      </c>
    </row>
    <row r="237" spans="1:69" ht="13.25" customHeight="1">
      <c r="A237" s="2" t="s">
        <v>596</v>
      </c>
      <c r="C237" s="2" t="s">
        <v>535</v>
      </c>
      <c r="M237" s="1359" t="s">
        <v>538</v>
      </c>
      <c r="N237" s="1359"/>
      <c r="O237" s="1359"/>
      <c r="P237" s="1359"/>
      <c r="Q237" s="1359"/>
      <c r="R237" s="1359"/>
      <c r="S237" s="1359"/>
      <c r="T237" s="1359"/>
      <c r="U237" s="217" t="s">
        <v>940</v>
      </c>
      <c r="V237" s="217"/>
      <c r="W237" s="217"/>
      <c r="X237" s="217"/>
      <c r="Y237" s="217"/>
      <c r="Z237" s="217"/>
      <c r="AA237" s="1750" t="s">
        <v>2645</v>
      </c>
      <c r="AB237" s="1750"/>
      <c r="AC237" s="1750"/>
      <c r="AD237" s="1750"/>
      <c r="AE237" s="1750"/>
      <c r="AF237" s="1750"/>
      <c r="AG237" s="1750"/>
      <c r="AH237" s="1750"/>
      <c r="AI237" s="1750"/>
      <c r="AJ237" s="1750"/>
      <c r="AK237" s="1750"/>
      <c r="AL237" s="3"/>
      <c r="AM237" s="3"/>
      <c r="AN237" s="3"/>
      <c r="AO237" s="3"/>
      <c r="AP237" s="3"/>
      <c r="AQ237" s="3"/>
      <c r="AR237" s="3"/>
      <c r="AS237" s="3"/>
      <c r="AT237" s="3"/>
      <c r="AU237" s="3"/>
      <c r="AV237" s="3"/>
      <c r="AW237" s="3"/>
      <c r="AX237" s="3"/>
      <c r="AY237" s="3"/>
      <c r="BB237" s="217" t="s">
        <v>547</v>
      </c>
      <c r="BG237" s="251">
        <f>IF(AND(AND($M$248="nonprofit",$M$256="nonprofit",$M$264="nonprofit")),1,0)</f>
        <v>0</v>
      </c>
    </row>
    <row r="238" spans="1:69" ht="13.25" customHeight="1">
      <c r="D238" t="s">
        <v>541</v>
      </c>
      <c r="M238" s="1350"/>
      <c r="N238" s="1350"/>
      <c r="O238" s="1350"/>
      <c r="P238" s="1350"/>
      <c r="Q238" s="1350"/>
      <c r="R238" s="1350"/>
      <c r="S238" s="1350"/>
      <c r="T238" s="1350"/>
      <c r="U238" s="1350"/>
      <c r="V238" s="1350"/>
      <c r="W238" s="1350"/>
      <c r="X238" s="1350"/>
      <c r="Y238" s="1350"/>
      <c r="Z238" s="1350"/>
      <c r="AA238" s="1350"/>
      <c r="AB238" s="1350"/>
      <c r="AC238" s="1350"/>
      <c r="AD238" s="1350"/>
      <c r="AE238" s="1350"/>
      <c r="AF238" s="4"/>
      <c r="AG238" s="4"/>
      <c r="AH238" s="4"/>
      <c r="AI238" s="4"/>
      <c r="AJ238" s="4"/>
      <c r="AK238" s="3"/>
      <c r="AL238" s="3"/>
      <c r="AM238" s="3"/>
      <c r="AN238" s="3"/>
      <c r="AO238" s="3"/>
      <c r="AP238" s="3"/>
      <c r="AQ238" s="3"/>
      <c r="AR238" s="3"/>
      <c r="AS238" s="3"/>
      <c r="AT238" s="3"/>
      <c r="AU238" s="3"/>
      <c r="AV238" s="3"/>
      <c r="AW238" s="3"/>
      <c r="AX238" s="3"/>
      <c r="AY238" s="3"/>
      <c r="BB238" s="217" t="s">
        <v>547</v>
      </c>
      <c r="BG238" s="251">
        <f>IF(AND(AND($M$248="nonprofit",$M$256="(select one)",$M$264="(select one)")),1,0)</f>
        <v>1</v>
      </c>
      <c r="BN238" s="34"/>
    </row>
    <row r="239" spans="1:69" ht="13.25" customHeight="1">
      <c r="D239" s="4"/>
      <c r="BB239" s="217" t="s">
        <v>907</v>
      </c>
      <c r="BG239" s="251">
        <f>IF(AND(AND($M$248="for profit",$M$256="for profit",$M$264="(select one)")),3,0)</f>
        <v>0</v>
      </c>
    </row>
    <row r="240" spans="1:69" ht="13.25" customHeight="1">
      <c r="A240" s="2" t="s">
        <v>599</v>
      </c>
      <c r="C240" s="2" t="s">
        <v>1326</v>
      </c>
      <c r="D240" s="4"/>
      <c r="L240" s="8"/>
      <c r="M240" s="8"/>
      <c r="N240" s="8"/>
      <c r="BB240" s="217" t="s">
        <v>907</v>
      </c>
      <c r="BG240" s="251">
        <f>IF(AND(AND($M$248="for profit",$M$256="for profit",$M$264="for profit")),3,0)</f>
        <v>0</v>
      </c>
    </row>
    <row r="241" spans="1:71" ht="13.2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7" t="s">
        <v>907</v>
      </c>
      <c r="BG241" s="251">
        <f>IF(AND(AND($M$248="for profit",$M$256="(select one)",$M$264="(select one)")),3,0)</f>
        <v>0</v>
      </c>
    </row>
    <row r="242" spans="1:71" ht="13.25" customHeight="1">
      <c r="A242" s="19"/>
      <c r="B242" s="4"/>
      <c r="C242" s="56" t="s">
        <v>483</v>
      </c>
      <c r="D242" s="4" t="s">
        <v>542</v>
      </c>
      <c r="E242" s="4"/>
      <c r="F242" s="4"/>
      <c r="G242" s="4"/>
      <c r="H242" s="4"/>
      <c r="I242" s="4"/>
      <c r="J242" s="4"/>
      <c r="K242" s="4"/>
      <c r="L242" s="4"/>
      <c r="M242" s="1760" t="s">
        <v>2644</v>
      </c>
      <c r="N242" s="1760"/>
      <c r="O242" s="1760"/>
      <c r="P242" s="1760"/>
      <c r="Q242" s="1760"/>
      <c r="R242" s="1760"/>
      <c r="S242" s="1760"/>
      <c r="T242" s="1760"/>
      <c r="U242" s="1760"/>
      <c r="V242" s="1760"/>
      <c r="W242" s="1760"/>
      <c r="X242" s="1760"/>
      <c r="Y242" s="1760"/>
      <c r="Z242" s="1760"/>
      <c r="AA242" s="1760"/>
      <c r="AB242" s="1760"/>
      <c r="AC242" s="1760"/>
      <c r="AD242" s="1760"/>
      <c r="AE242" s="1760"/>
      <c r="AF242" s="1753" t="s">
        <v>2643</v>
      </c>
      <c r="AG242" s="1753"/>
      <c r="AH242" s="1753"/>
      <c r="AI242" s="1753"/>
      <c r="AJ242" s="1753"/>
      <c r="AK242" s="1753"/>
      <c r="BO242" s="34"/>
      <c r="BP242" s="4"/>
      <c r="BQ242" s="4"/>
      <c r="BR242" s="4"/>
      <c r="BS242" s="4"/>
    </row>
    <row r="243" spans="1:71" ht="13.25" customHeight="1">
      <c r="A243" s="19"/>
      <c r="B243" s="4"/>
      <c r="C243" s="4"/>
      <c r="D243" s="4" t="s">
        <v>86</v>
      </c>
      <c r="E243" s="4"/>
      <c r="F243" s="4"/>
      <c r="G243" s="4"/>
      <c r="H243" s="4"/>
      <c r="I243" s="4"/>
      <c r="J243" s="4"/>
      <c r="K243" s="4"/>
      <c r="L243" s="4"/>
      <c r="M243" s="1349" t="s">
        <v>2639</v>
      </c>
      <c r="N243" s="1349"/>
      <c r="O243" s="1349"/>
      <c r="P243" s="1349"/>
      <c r="Q243" s="1349"/>
      <c r="R243" s="1349"/>
      <c r="S243" s="1349"/>
      <c r="T243" s="1349"/>
      <c r="U243" s="1349"/>
      <c r="V243" s="1349"/>
      <c r="W243" s="1349"/>
      <c r="X243" s="1349"/>
      <c r="Y243" s="1349"/>
      <c r="Z243" s="1349"/>
      <c r="AA243" s="1349"/>
      <c r="AB243" s="1349"/>
      <c r="AC243" s="1349"/>
      <c r="AD243" s="1349"/>
      <c r="AE243" s="1349"/>
      <c r="AF243" s="3" t="s">
        <v>1322</v>
      </c>
      <c r="AL243" s="4"/>
      <c r="AM243" s="4"/>
      <c r="AN243" s="4"/>
      <c r="AO243" s="4"/>
      <c r="AP243" s="4"/>
      <c r="AQ243" s="4"/>
      <c r="AR243" s="4"/>
      <c r="AS243" s="4"/>
      <c r="AT243" s="4"/>
      <c r="AU243" s="4"/>
      <c r="AV243" s="4"/>
      <c r="AW243" s="4"/>
      <c r="AX243" s="4"/>
      <c r="AY243" s="4"/>
      <c r="BG243">
        <f>SUM(BG226:BG241)</f>
        <v>1</v>
      </c>
    </row>
    <row r="244" spans="1:71" ht="13.25" customHeight="1">
      <c r="A244" s="19"/>
      <c r="B244" s="4"/>
      <c r="C244" s="4"/>
      <c r="D244" s="4" t="s">
        <v>590</v>
      </c>
      <c r="E244" s="4"/>
      <c r="M244" s="1349" t="s">
        <v>2640</v>
      </c>
      <c r="N244" s="1349"/>
      <c r="O244" s="1349"/>
      <c r="P244" s="1349"/>
      <c r="Q244" s="1349"/>
      <c r="R244" s="1349"/>
      <c r="S244" s="1349"/>
      <c r="T244" s="1349"/>
      <c r="V244" s="33" t="s">
        <v>87</v>
      </c>
      <c r="W244" s="1358" t="s">
        <v>2641</v>
      </c>
      <c r="X244" s="1358"/>
      <c r="Y244" s="4" t="s">
        <v>593</v>
      </c>
      <c r="AC244" s="1349">
        <v>94404</v>
      </c>
      <c r="AD244" s="1349"/>
      <c r="AE244" s="1349"/>
      <c r="AF244" s="3" t="s">
        <v>1323</v>
      </c>
      <c r="BB244" t="s">
        <v>309</v>
      </c>
      <c r="BG244">
        <v>1</v>
      </c>
      <c r="BH244" t="s">
        <v>544</v>
      </c>
    </row>
    <row r="245" spans="1:71" ht="13.25" customHeight="1">
      <c r="A245" s="19"/>
      <c r="B245" s="4"/>
      <c r="C245" s="4"/>
      <c r="D245" s="4" t="s">
        <v>88</v>
      </c>
      <c r="E245" s="4"/>
      <c r="F245" s="4"/>
      <c r="G245" s="4"/>
      <c r="H245" s="4"/>
      <c r="I245" s="4"/>
      <c r="J245" s="4"/>
      <c r="K245" s="4"/>
      <c r="L245" s="19"/>
      <c r="M245" s="1349" t="s">
        <v>2642</v>
      </c>
      <c r="N245" s="1349"/>
      <c r="O245" s="1349"/>
      <c r="P245" s="1349"/>
      <c r="Q245" s="1349"/>
      <c r="R245" s="1349"/>
      <c r="S245" s="1349"/>
      <c r="T245" s="1349"/>
      <c r="U245" s="1349"/>
      <c r="V245" s="1349"/>
      <c r="W245" s="1349"/>
      <c r="X245" s="1349"/>
      <c r="Y245" s="1349"/>
      <c r="Z245" s="1349"/>
      <c r="AA245" s="1349"/>
      <c r="AB245" s="1349"/>
      <c r="AC245" s="1349"/>
      <c r="AD245" s="1349"/>
      <c r="AE245" s="1349"/>
      <c r="AH245" s="1746">
        <v>0.01</v>
      </c>
      <c r="AI245" s="1746"/>
      <c r="AJ245" s="1746"/>
      <c r="AK245" s="1746"/>
      <c r="AL245" s="4"/>
      <c r="AM245" s="4"/>
      <c r="AN245" s="4"/>
      <c r="AO245" s="4"/>
      <c r="AP245" s="4"/>
      <c r="AQ245" s="4"/>
      <c r="AR245" s="4"/>
      <c r="AS245" s="4"/>
      <c r="AT245" s="4"/>
      <c r="AU245" s="4"/>
      <c r="AV245" s="4"/>
      <c r="AW245" s="4"/>
      <c r="AX245" s="4"/>
      <c r="AY245" s="4"/>
      <c r="BB245" s="4" t="s">
        <v>282</v>
      </c>
      <c r="BG245">
        <v>2</v>
      </c>
      <c r="BH245" t="s">
        <v>576</v>
      </c>
      <c r="BO245" s="249" t="str">
        <f>VLOOKUP(BG243,BG244:BH246,2,FALSE)</f>
        <v>Nonprofit</v>
      </c>
    </row>
    <row r="246" spans="1:71" ht="13.25" customHeight="1">
      <c r="A246" s="19"/>
      <c r="B246" s="4"/>
      <c r="C246" s="4"/>
      <c r="D246" s="4" t="s">
        <v>89</v>
      </c>
      <c r="E246" s="4"/>
      <c r="F246" s="4"/>
      <c r="M246" s="1353"/>
      <c r="N246" s="1353"/>
      <c r="O246" s="1353"/>
      <c r="P246" s="1353"/>
      <c r="Q246" s="1353"/>
      <c r="R246" s="1353"/>
      <c r="S246" s="4" t="s">
        <v>208</v>
      </c>
      <c r="T246" s="4"/>
      <c r="U246" s="1347"/>
      <c r="V246" s="1347"/>
      <c r="W246" s="1347"/>
      <c r="X246" s="4" t="s">
        <v>90</v>
      </c>
      <c r="Z246" s="1353"/>
      <c r="AA246" s="1353"/>
      <c r="AB246" s="1353"/>
      <c r="AC246" s="1353"/>
      <c r="AD246" s="1353"/>
      <c r="AE246" s="1353"/>
      <c r="BB246" s="4" t="s">
        <v>174</v>
      </c>
      <c r="BG246">
        <v>3</v>
      </c>
      <c r="BH246" t="s">
        <v>546</v>
      </c>
      <c r="BN246" s="34"/>
    </row>
    <row r="247" spans="1:71" ht="13.25" customHeight="1">
      <c r="A247" s="19"/>
      <c r="B247" s="4"/>
      <c r="C247" s="4"/>
      <c r="D247" s="4" t="s">
        <v>91</v>
      </c>
      <c r="E247" s="4"/>
      <c r="F247" s="4"/>
      <c r="M247" s="1748" t="s">
        <v>2646</v>
      </c>
      <c r="N247" s="1748"/>
      <c r="O247" s="1748"/>
      <c r="P247" s="1748"/>
      <c r="Q247" s="1748"/>
      <c r="R247" s="1748"/>
      <c r="S247" s="1748"/>
      <c r="T247" s="1748"/>
      <c r="U247" s="1748"/>
      <c r="V247" s="1748"/>
      <c r="W247" s="1748"/>
      <c r="X247" s="1748"/>
      <c r="Y247" s="1748"/>
      <c r="Z247" s="1748"/>
      <c r="AA247" s="1748"/>
      <c r="AB247" s="1748"/>
      <c r="AC247" s="1748"/>
      <c r="AD247" s="1748"/>
      <c r="AE247" s="1748"/>
      <c r="AG247" s="4"/>
      <c r="AH247" s="4"/>
      <c r="AI247" s="4"/>
      <c r="AJ247" s="4"/>
      <c r="AK247" s="4"/>
      <c r="AL247" s="4"/>
      <c r="AM247" s="4"/>
      <c r="AN247" s="4"/>
      <c r="AO247" s="4"/>
      <c r="AP247" s="4"/>
      <c r="AQ247" s="4"/>
      <c r="AR247" s="4"/>
      <c r="AS247" s="4"/>
      <c r="AT247" s="4"/>
      <c r="AU247" s="4"/>
      <c r="AV247" s="4"/>
      <c r="AW247" s="4"/>
      <c r="AX247" s="4"/>
      <c r="AY247" s="4"/>
      <c r="BN247" s="34"/>
    </row>
    <row r="248" spans="1:71" ht="13.25" customHeight="1">
      <c r="A248" s="13"/>
      <c r="B248" s="4"/>
      <c r="C248" s="56"/>
      <c r="D248" s="4" t="s">
        <v>545</v>
      </c>
      <c r="E248" s="4"/>
      <c r="F248" s="4"/>
      <c r="G248" s="4"/>
      <c r="H248" s="4"/>
      <c r="I248" s="4"/>
      <c r="J248" s="4"/>
      <c r="K248" s="4"/>
      <c r="L248" s="4"/>
      <c r="M248" s="1359" t="s">
        <v>544</v>
      </c>
      <c r="N248" s="1359"/>
      <c r="O248" s="1359"/>
      <c r="P248" s="1359"/>
      <c r="Q248" s="1359"/>
      <c r="R248" s="1359"/>
      <c r="S248" s="1359"/>
      <c r="T248" s="1359"/>
      <c r="U248" s="217" t="s">
        <v>940</v>
      </c>
      <c r="V248" s="217"/>
      <c r="W248" s="217"/>
      <c r="X248" s="217"/>
      <c r="Y248" s="217"/>
      <c r="Z248" s="217"/>
      <c r="AA248" s="1750" t="s">
        <v>2645</v>
      </c>
      <c r="AB248" s="1750"/>
      <c r="AC248" s="1750"/>
      <c r="AD248" s="1750"/>
      <c r="AE248" s="1750"/>
      <c r="AF248" s="1750"/>
      <c r="AG248" s="1750"/>
      <c r="AH248" s="1750"/>
      <c r="AI248" s="1750"/>
      <c r="AJ248" s="1750"/>
      <c r="AK248" s="1750"/>
      <c r="BN248" s="34"/>
    </row>
    <row r="249" spans="1:71" ht="13.25" customHeight="1">
      <c r="A249" s="19"/>
      <c r="B249" s="4"/>
      <c r="C249" s="4"/>
      <c r="D249" s="4"/>
      <c r="E249" s="4"/>
      <c r="F249" s="4"/>
      <c r="G249" s="4"/>
      <c r="H249" s="4"/>
      <c r="I249" s="4"/>
      <c r="J249" s="4"/>
      <c r="K249" s="4"/>
      <c r="L249" s="4"/>
      <c r="AG249" s="4"/>
      <c r="AH249" s="4"/>
      <c r="AI249" s="4"/>
      <c r="AJ249" s="4"/>
      <c r="BN249" s="34"/>
    </row>
    <row r="250" spans="1:71" ht="13.25" customHeight="1">
      <c r="A250" s="2"/>
      <c r="B250" s="4"/>
      <c r="C250" s="56" t="s">
        <v>99</v>
      </c>
      <c r="D250" s="4" t="s">
        <v>996</v>
      </c>
      <c r="E250" s="4"/>
      <c r="F250" s="4"/>
      <c r="G250" s="4"/>
      <c r="H250" s="4"/>
      <c r="I250" s="4"/>
      <c r="J250" s="4"/>
      <c r="K250" s="4"/>
      <c r="L250" s="4"/>
      <c r="M250" s="1760" t="s">
        <v>2627</v>
      </c>
      <c r="N250" s="1760"/>
      <c r="O250" s="1760"/>
      <c r="P250" s="1760"/>
      <c r="Q250" s="1760"/>
      <c r="R250" s="1760"/>
      <c r="S250" s="1760"/>
      <c r="T250" s="1760"/>
      <c r="U250" s="1760"/>
      <c r="V250" s="1760"/>
      <c r="W250" s="1760"/>
      <c r="X250" s="1760"/>
      <c r="Y250" s="1760"/>
      <c r="Z250" s="1760"/>
      <c r="AA250" s="1760"/>
      <c r="AB250" s="1760"/>
      <c r="AC250" s="1760"/>
      <c r="AD250" s="1760"/>
      <c r="AE250" s="1760"/>
      <c r="AF250" s="1753" t="s">
        <v>309</v>
      </c>
      <c r="AG250" s="1753"/>
      <c r="AH250" s="1753"/>
      <c r="AI250" s="1753"/>
      <c r="AJ250" s="1753"/>
      <c r="AK250" s="1753"/>
      <c r="BN250" s="34"/>
    </row>
    <row r="251" spans="1:71" ht="13.25" customHeight="1">
      <c r="A251" s="19"/>
      <c r="B251" s="4"/>
      <c r="C251" s="4"/>
      <c r="D251" s="4" t="s">
        <v>86</v>
      </c>
      <c r="E251" s="4"/>
      <c r="F251" s="4"/>
      <c r="G251" s="4"/>
      <c r="H251" s="4"/>
      <c r="I251" s="4"/>
      <c r="J251" s="4"/>
      <c r="K251" s="4"/>
      <c r="L251" s="4"/>
      <c r="M251" s="1349"/>
      <c r="N251" s="1349"/>
      <c r="O251" s="1349"/>
      <c r="P251" s="1349"/>
      <c r="Q251" s="1349"/>
      <c r="R251" s="1349"/>
      <c r="S251" s="1349"/>
      <c r="T251" s="1349"/>
      <c r="U251" s="1349"/>
      <c r="V251" s="1349"/>
      <c r="W251" s="1349"/>
      <c r="X251" s="1349"/>
      <c r="Y251" s="1349"/>
      <c r="Z251" s="1349"/>
      <c r="AA251" s="1349"/>
      <c r="AB251" s="1349"/>
      <c r="AC251" s="1349"/>
      <c r="AD251" s="1349"/>
      <c r="AE251" s="1349"/>
      <c r="AF251" s="3" t="s">
        <v>1322</v>
      </c>
      <c r="AL251" s="4"/>
      <c r="AM251" s="4"/>
      <c r="AN251" s="4"/>
      <c r="AO251" s="4"/>
      <c r="AP251" s="4"/>
      <c r="AQ251" s="4"/>
      <c r="AR251" s="4"/>
      <c r="AS251" s="4"/>
      <c r="AT251" s="4"/>
      <c r="AU251" s="4"/>
      <c r="AV251" s="4"/>
      <c r="AW251" s="4"/>
      <c r="AX251" s="4"/>
      <c r="AY251" s="4"/>
      <c r="BN251" s="34"/>
    </row>
    <row r="252" spans="1:71" ht="13.25" customHeight="1">
      <c r="A252" s="19"/>
      <c r="B252" s="4"/>
      <c r="C252" s="4"/>
      <c r="D252" s="4" t="s">
        <v>590</v>
      </c>
      <c r="E252" s="4"/>
      <c r="M252" s="1349"/>
      <c r="N252" s="1349"/>
      <c r="O252" s="1349"/>
      <c r="P252" s="1349"/>
      <c r="Q252" s="1349"/>
      <c r="R252" s="1349"/>
      <c r="S252" s="1349"/>
      <c r="T252" s="1349"/>
      <c r="V252" s="33" t="s">
        <v>87</v>
      </c>
      <c r="W252" s="1358"/>
      <c r="X252" s="1358"/>
      <c r="Y252" s="4" t="s">
        <v>593</v>
      </c>
      <c r="AC252" s="1349"/>
      <c r="AD252" s="1349"/>
      <c r="AE252" s="1349"/>
      <c r="AF252" s="3" t="s">
        <v>1323</v>
      </c>
      <c r="BN252" s="34"/>
    </row>
    <row r="253" spans="1:71" ht="13.25" customHeight="1">
      <c r="A253" s="19"/>
      <c r="B253" s="4"/>
      <c r="C253" s="4"/>
      <c r="D253" s="4" t="s">
        <v>88</v>
      </c>
      <c r="E253" s="4"/>
      <c r="F253" s="4"/>
      <c r="G253" s="4"/>
      <c r="H253" s="4"/>
      <c r="I253" s="4"/>
      <c r="J253" s="4"/>
      <c r="K253" s="4"/>
      <c r="L253" s="19"/>
      <c r="M253" s="1646"/>
      <c r="N253" s="1646"/>
      <c r="O253" s="1646"/>
      <c r="P253" s="1646"/>
      <c r="Q253" s="1646"/>
      <c r="R253" s="1646"/>
      <c r="S253" s="1646"/>
      <c r="T253" s="1646"/>
      <c r="U253" s="1646"/>
      <c r="V253" s="1646"/>
      <c r="W253" s="1646"/>
      <c r="X253" s="1646"/>
      <c r="Y253" s="1646"/>
      <c r="Z253" s="1646"/>
      <c r="AA253" s="1646"/>
      <c r="AB253" s="1646"/>
      <c r="AC253" s="1646"/>
      <c r="AD253" s="1646"/>
      <c r="AE253" s="1646"/>
      <c r="AH253" s="1746"/>
      <c r="AI253" s="1746"/>
      <c r="AJ253" s="1746"/>
      <c r="AK253" s="1746"/>
      <c r="AL253" s="4"/>
      <c r="AM253" s="4"/>
      <c r="AN253" s="4"/>
      <c r="AO253" s="4"/>
      <c r="AP253" s="4"/>
      <c r="AQ253" s="4"/>
      <c r="AR253" s="4"/>
      <c r="AS253" s="4"/>
      <c r="AT253" s="4"/>
      <c r="AU253" s="4"/>
      <c r="AV253" s="4"/>
      <c r="AW253" s="4"/>
      <c r="AX253" s="4"/>
      <c r="AY253" s="4"/>
      <c r="BN253" s="34"/>
    </row>
    <row r="254" spans="1:71" ht="13.25" customHeight="1">
      <c r="A254" s="19"/>
      <c r="B254" s="4"/>
      <c r="C254" s="4"/>
      <c r="D254" s="4" t="s">
        <v>89</v>
      </c>
      <c r="E254" s="4"/>
      <c r="F254" s="4"/>
      <c r="M254" s="1353"/>
      <c r="N254" s="1353"/>
      <c r="O254" s="1353"/>
      <c r="P254" s="1353"/>
      <c r="Q254" s="1353"/>
      <c r="R254" s="1353"/>
      <c r="S254" s="4" t="s">
        <v>208</v>
      </c>
      <c r="T254" s="4"/>
      <c r="U254" s="1347"/>
      <c r="V254" s="1347"/>
      <c r="W254" s="1347"/>
      <c r="X254" s="4" t="s">
        <v>90</v>
      </c>
      <c r="Z254" s="1353"/>
      <c r="AA254" s="1353"/>
      <c r="AB254" s="1353"/>
      <c r="AC254" s="1353"/>
      <c r="AD254" s="1353"/>
      <c r="AE254" s="1353"/>
    </row>
    <row r="255" spans="1:71" ht="13.25" customHeight="1">
      <c r="A255" s="19"/>
      <c r="B255" s="4"/>
      <c r="C255" s="4"/>
      <c r="D255" s="4" t="s">
        <v>91</v>
      </c>
      <c r="E255" s="4"/>
      <c r="F255" s="4"/>
      <c r="M255" s="1748"/>
      <c r="N255" s="1748"/>
      <c r="O255" s="1748"/>
      <c r="P255" s="1748"/>
      <c r="Q255" s="1748"/>
      <c r="R255" s="1748"/>
      <c r="S255" s="1748"/>
      <c r="T255" s="1748"/>
      <c r="U255" s="1748"/>
      <c r="V255" s="1748"/>
      <c r="W255" s="1748"/>
      <c r="X255" s="1748"/>
      <c r="Y255" s="1748"/>
      <c r="Z255" s="1748"/>
      <c r="AA255" s="1748"/>
      <c r="AB255" s="1748"/>
      <c r="AC255" s="1748"/>
      <c r="AD255" s="1748"/>
      <c r="AE255" s="1748"/>
      <c r="AG255" s="4"/>
      <c r="AH255" s="4"/>
      <c r="AI255" s="4"/>
      <c r="AJ255" s="4"/>
      <c r="AK255" s="4"/>
      <c r="AL255" s="4"/>
      <c r="AM255" s="4"/>
      <c r="AN255" s="4"/>
      <c r="AO255" s="4"/>
      <c r="AP255" s="4"/>
      <c r="AQ255" s="4"/>
      <c r="AR255" s="4"/>
      <c r="AS255" s="4"/>
      <c r="AT255" s="4"/>
      <c r="AU255" s="4"/>
      <c r="AV255" s="4"/>
      <c r="AW255" s="4"/>
      <c r="AX255" s="4"/>
      <c r="AY255" s="4"/>
      <c r="BN255" s="34"/>
    </row>
    <row r="256" spans="1:71" ht="13.25" customHeight="1">
      <c r="A256" s="13"/>
      <c r="B256" s="4"/>
      <c r="C256" s="56"/>
      <c r="D256" s="4" t="s">
        <v>545</v>
      </c>
      <c r="E256" s="4"/>
      <c r="F256" s="4"/>
      <c r="G256" s="4"/>
      <c r="H256" s="4"/>
      <c r="I256" s="4"/>
      <c r="J256" s="4"/>
      <c r="K256" s="4"/>
      <c r="L256" s="4"/>
      <c r="M256" s="1359" t="s">
        <v>309</v>
      </c>
      <c r="N256" s="1359"/>
      <c r="O256" s="1359"/>
      <c r="P256" s="1359"/>
      <c r="Q256" s="1359"/>
      <c r="R256" s="1359"/>
      <c r="S256" s="1359"/>
      <c r="T256" s="1359"/>
      <c r="U256" s="217" t="s">
        <v>940</v>
      </c>
      <c r="V256" s="217"/>
      <c r="W256" s="217"/>
      <c r="X256" s="217"/>
      <c r="Y256" s="217"/>
      <c r="Z256" s="217"/>
      <c r="AA256" s="1784"/>
      <c r="AB256" s="1784"/>
      <c r="AC256" s="1784"/>
      <c r="AD256" s="1784"/>
      <c r="AE256" s="1784"/>
      <c r="AF256" s="1784"/>
      <c r="AG256" s="1784"/>
      <c r="AH256" s="1784"/>
      <c r="AI256" s="1784"/>
      <c r="AJ256" s="1784"/>
      <c r="AK256" s="1784"/>
      <c r="AL256" s="3"/>
      <c r="AM256" s="3"/>
      <c r="AN256" s="3"/>
      <c r="AO256" s="3"/>
      <c r="AP256" s="3"/>
      <c r="AQ256" s="3"/>
      <c r="AR256" s="3"/>
      <c r="AS256" s="3"/>
      <c r="AT256" s="3"/>
      <c r="AU256" s="3"/>
      <c r="AV256" s="3"/>
      <c r="AW256" s="3"/>
      <c r="AX256" s="3"/>
      <c r="AY256" s="3"/>
      <c r="BN256" s="34"/>
    </row>
    <row r="257" spans="1:66" ht="13.2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25" customHeight="1">
      <c r="A258" s="13"/>
      <c r="B258" s="4"/>
      <c r="C258" s="56" t="s">
        <v>906</v>
      </c>
      <c r="D258" s="4" t="s">
        <v>542</v>
      </c>
      <c r="E258" s="4"/>
      <c r="F258" s="4"/>
      <c r="G258" s="4"/>
      <c r="H258" s="4"/>
      <c r="I258" s="4"/>
      <c r="J258" s="4"/>
      <c r="K258" s="4"/>
      <c r="L258" s="4"/>
      <c r="M258" s="1760" t="s">
        <v>2648</v>
      </c>
      <c r="N258" s="1760"/>
      <c r="O258" s="1760"/>
      <c r="P258" s="1760"/>
      <c r="Q258" s="1760"/>
      <c r="R258" s="1760"/>
      <c r="S258" s="1760"/>
      <c r="T258" s="1760"/>
      <c r="U258" s="1760"/>
      <c r="V258" s="1760"/>
      <c r="W258" s="1760"/>
      <c r="X258" s="1760"/>
      <c r="Y258" s="1760"/>
      <c r="Z258" s="1760"/>
      <c r="AA258" s="1760"/>
      <c r="AB258" s="1760"/>
      <c r="AC258" s="1760"/>
      <c r="AD258" s="1760"/>
      <c r="AE258" s="1760"/>
      <c r="AF258" s="1753" t="s">
        <v>309</v>
      </c>
      <c r="AG258" s="1753"/>
      <c r="AH258" s="1753"/>
      <c r="AI258" s="1753"/>
      <c r="AJ258" s="1753"/>
      <c r="AK258" s="1753"/>
      <c r="AL258" s="3"/>
      <c r="AM258" s="3"/>
      <c r="AN258" s="3"/>
      <c r="AO258" s="3"/>
      <c r="AP258" s="3"/>
      <c r="AQ258" s="3"/>
      <c r="AR258" s="3"/>
      <c r="AS258" s="3"/>
      <c r="AT258" s="3"/>
      <c r="AU258" s="3"/>
      <c r="AV258" s="3"/>
      <c r="AW258" s="3"/>
      <c r="AX258" s="3"/>
      <c r="AY258" s="3"/>
      <c r="BN258" s="34"/>
    </row>
    <row r="259" spans="1:66" ht="13.25" customHeight="1">
      <c r="A259" s="13"/>
      <c r="B259" s="4"/>
      <c r="C259" s="4"/>
      <c r="D259" s="4" t="s">
        <v>86</v>
      </c>
      <c r="E259" s="4"/>
      <c r="F259" s="4"/>
      <c r="G259" s="4"/>
      <c r="H259" s="4"/>
      <c r="I259" s="4"/>
      <c r="J259" s="4"/>
      <c r="K259" s="4"/>
      <c r="L259" s="4"/>
      <c r="M259" s="1646"/>
      <c r="N259" s="1646"/>
      <c r="O259" s="1646"/>
      <c r="P259" s="1646"/>
      <c r="Q259" s="1646"/>
      <c r="R259" s="1646"/>
      <c r="S259" s="1646"/>
      <c r="T259" s="1646"/>
      <c r="U259" s="1646"/>
      <c r="V259" s="1646"/>
      <c r="W259" s="1646"/>
      <c r="X259" s="1646"/>
      <c r="Y259" s="1646"/>
      <c r="Z259" s="1646"/>
      <c r="AA259" s="1646"/>
      <c r="AB259" s="1646"/>
      <c r="AC259" s="1646"/>
      <c r="AD259" s="1646"/>
      <c r="AE259" s="1646"/>
      <c r="AF259" s="3" t="s">
        <v>1322</v>
      </c>
      <c r="AL259" s="3"/>
      <c r="AM259" s="3"/>
      <c r="AN259" s="3"/>
      <c r="AO259" s="3"/>
      <c r="AP259" s="3"/>
      <c r="AQ259" s="3"/>
      <c r="AR259" s="3"/>
      <c r="AS259" s="3"/>
      <c r="AT259" s="3"/>
      <c r="AU259" s="3"/>
      <c r="AV259" s="3"/>
      <c r="AW259" s="3"/>
      <c r="AX259" s="3"/>
      <c r="AY259" s="3"/>
      <c r="BN259" s="34"/>
    </row>
    <row r="260" spans="1:66" ht="13.25" customHeight="1">
      <c r="A260" s="13"/>
      <c r="B260" s="4"/>
      <c r="C260" s="4"/>
      <c r="D260" s="4" t="s">
        <v>590</v>
      </c>
      <c r="E260" s="4"/>
      <c r="M260" s="1646"/>
      <c r="N260" s="1646"/>
      <c r="O260" s="1646"/>
      <c r="P260" s="1646"/>
      <c r="Q260" s="1646"/>
      <c r="R260" s="1646"/>
      <c r="S260" s="1646"/>
      <c r="T260" s="1646"/>
      <c r="V260" s="33" t="s">
        <v>87</v>
      </c>
      <c r="W260" s="1347"/>
      <c r="X260" s="1347"/>
      <c r="Y260" s="4" t="s">
        <v>593</v>
      </c>
      <c r="AC260" s="1646"/>
      <c r="AD260" s="1646"/>
      <c r="AE260" s="1646"/>
      <c r="AF260" s="3" t="s">
        <v>1323</v>
      </c>
      <c r="AL260" s="3"/>
      <c r="AM260" s="3"/>
      <c r="AN260" s="3"/>
      <c r="AO260" s="3"/>
      <c r="AP260" s="3"/>
      <c r="AQ260" s="3"/>
      <c r="AR260" s="3"/>
      <c r="AS260" s="3"/>
      <c r="AT260" s="3"/>
      <c r="AU260" s="3"/>
      <c r="AV260" s="3"/>
      <c r="AW260" s="3"/>
      <c r="AX260" s="3"/>
      <c r="AY260" s="3"/>
      <c r="BN260" s="34"/>
    </row>
    <row r="261" spans="1:66" ht="13.25" customHeight="1">
      <c r="A261" s="13"/>
      <c r="B261" s="4"/>
      <c r="C261" s="4"/>
      <c r="D261" s="4" t="s">
        <v>88</v>
      </c>
      <c r="E261" s="4"/>
      <c r="F261" s="4"/>
      <c r="G261" s="4"/>
      <c r="H261" s="4"/>
      <c r="I261" s="4"/>
      <c r="J261" s="4"/>
      <c r="K261" s="4"/>
      <c r="L261" s="19"/>
      <c r="M261" s="1646"/>
      <c r="N261" s="1646"/>
      <c r="O261" s="1646"/>
      <c r="P261" s="1646"/>
      <c r="Q261" s="1646"/>
      <c r="R261" s="1646"/>
      <c r="S261" s="1646"/>
      <c r="T261" s="1646"/>
      <c r="U261" s="1646"/>
      <c r="V261" s="1646"/>
      <c r="W261" s="1646"/>
      <c r="X261" s="1646"/>
      <c r="Y261" s="1646"/>
      <c r="Z261" s="1646"/>
      <c r="AA261" s="1646"/>
      <c r="AB261" s="1646"/>
      <c r="AC261" s="1646"/>
      <c r="AD261" s="1646"/>
      <c r="AE261" s="1646"/>
      <c r="AH261" s="1746"/>
      <c r="AI261" s="1746"/>
      <c r="AJ261" s="1746"/>
      <c r="AK261" s="1746"/>
      <c r="AL261" s="3"/>
      <c r="AM261" s="3"/>
      <c r="AN261" s="3"/>
      <c r="AO261" s="3"/>
      <c r="AP261" s="3"/>
      <c r="AQ261" s="3"/>
      <c r="AR261" s="3"/>
      <c r="AS261" s="3"/>
      <c r="AT261" s="3"/>
      <c r="AU261" s="3"/>
      <c r="AV261" s="3"/>
      <c r="AW261" s="3"/>
      <c r="AX261" s="3"/>
      <c r="AY261" s="3"/>
      <c r="BN261" s="34"/>
    </row>
    <row r="262" spans="1:66" ht="13.25" customHeight="1">
      <c r="A262" s="13"/>
      <c r="B262" s="4"/>
      <c r="C262" s="4"/>
      <c r="D262" s="4" t="s">
        <v>89</v>
      </c>
      <c r="E262" s="4"/>
      <c r="F262" s="4"/>
      <c r="M262" s="1353"/>
      <c r="N262" s="1353"/>
      <c r="O262" s="1353"/>
      <c r="P262" s="1353"/>
      <c r="Q262" s="1353"/>
      <c r="R262" s="1353"/>
      <c r="S262" s="4" t="s">
        <v>208</v>
      </c>
      <c r="T262" s="4"/>
      <c r="U262" s="1347"/>
      <c r="V262" s="1347"/>
      <c r="W262" s="1347"/>
      <c r="X262" s="4" t="s">
        <v>90</v>
      </c>
      <c r="Z262" s="1353"/>
      <c r="AA262" s="1353"/>
      <c r="AB262" s="1353"/>
      <c r="AC262" s="1353"/>
      <c r="AD262" s="1353"/>
      <c r="AE262" s="1353"/>
      <c r="AL262" s="3"/>
      <c r="AM262" s="3"/>
      <c r="AN262" s="3"/>
      <c r="AO262" s="3"/>
      <c r="AP262" s="3"/>
      <c r="AQ262" s="3"/>
      <c r="AR262" s="3"/>
      <c r="AS262" s="3"/>
      <c r="AT262" s="3"/>
      <c r="AU262" s="3"/>
      <c r="AV262" s="3"/>
      <c r="AW262" s="3"/>
      <c r="AX262" s="3"/>
      <c r="AY262" s="3"/>
      <c r="BN262" s="34"/>
    </row>
    <row r="263" spans="1:66" ht="13.25" customHeight="1">
      <c r="A263" s="13"/>
      <c r="B263" s="4"/>
      <c r="C263" s="4"/>
      <c r="D263" s="4" t="s">
        <v>91</v>
      </c>
      <c r="E263" s="4"/>
      <c r="F263" s="4"/>
      <c r="M263" s="1748"/>
      <c r="N263" s="1748"/>
      <c r="O263" s="1748"/>
      <c r="P263" s="1748"/>
      <c r="Q263" s="1748"/>
      <c r="R263" s="1748"/>
      <c r="S263" s="1748"/>
      <c r="T263" s="1748"/>
      <c r="U263" s="1748"/>
      <c r="V263" s="1748"/>
      <c r="W263" s="1748"/>
      <c r="X263" s="1748"/>
      <c r="Y263" s="1748"/>
      <c r="Z263" s="1748"/>
      <c r="AA263" s="1778"/>
      <c r="AB263" s="1778"/>
      <c r="AC263" s="1778"/>
      <c r="AD263" s="1778"/>
      <c r="AE263" s="1778"/>
      <c r="AG263" s="4"/>
      <c r="AH263" s="4"/>
      <c r="AI263" s="4"/>
      <c r="AJ263" s="4"/>
      <c r="AK263" s="4"/>
      <c r="AL263" s="3"/>
      <c r="AM263" s="3"/>
      <c r="AN263" s="3"/>
      <c r="AO263" s="3"/>
      <c r="AP263" s="3"/>
      <c r="AQ263" s="3"/>
      <c r="AR263" s="3"/>
      <c r="AS263" s="3"/>
      <c r="AT263" s="3"/>
      <c r="AU263" s="3"/>
      <c r="AV263" s="3"/>
      <c r="AW263" s="3"/>
      <c r="AX263" s="3"/>
      <c r="AY263" s="3"/>
      <c r="BN263" s="34"/>
    </row>
    <row r="264" spans="1:66" ht="13.25" customHeight="1">
      <c r="A264" s="13"/>
      <c r="B264" s="4"/>
      <c r="C264" s="56"/>
      <c r="D264" s="4" t="s">
        <v>545</v>
      </c>
      <c r="E264" s="4"/>
      <c r="F264" s="4"/>
      <c r="G264" s="4"/>
      <c r="H264" s="4"/>
      <c r="I264" s="4"/>
      <c r="J264" s="4"/>
      <c r="K264" s="4"/>
      <c r="L264" s="4"/>
      <c r="M264" s="1359" t="s">
        <v>309</v>
      </c>
      <c r="N264" s="1359"/>
      <c r="O264" s="1359"/>
      <c r="P264" s="1359"/>
      <c r="Q264" s="1359"/>
      <c r="R264" s="1359"/>
      <c r="S264" s="1359"/>
      <c r="T264" s="1359"/>
      <c r="U264" s="217" t="s">
        <v>940</v>
      </c>
      <c r="V264" s="217"/>
      <c r="W264" s="217"/>
      <c r="X264" s="217"/>
      <c r="Y264" s="217"/>
      <c r="Z264" s="217"/>
      <c r="AA264" s="1747"/>
      <c r="AB264" s="1747"/>
      <c r="AC264" s="1747"/>
      <c r="AD264" s="1747"/>
      <c r="AE264" s="1747"/>
      <c r="AF264" s="1747"/>
      <c r="AG264" s="1747"/>
      <c r="AH264" s="1747"/>
      <c r="AI264" s="1747"/>
      <c r="AJ264" s="1747"/>
      <c r="AK264" s="1747"/>
      <c r="AL264" s="3"/>
      <c r="AM264" s="3"/>
      <c r="AN264" s="3"/>
      <c r="AO264" s="3"/>
      <c r="AP264" s="3"/>
      <c r="AQ264" s="3"/>
      <c r="AR264" s="3"/>
      <c r="AS264" s="3"/>
      <c r="AT264" s="3"/>
      <c r="AU264" s="3"/>
      <c r="AV264" s="3"/>
      <c r="AW264" s="3"/>
      <c r="AX264" s="3"/>
      <c r="AY264" s="3"/>
      <c r="BN264" s="34"/>
    </row>
    <row r="265" spans="1:66" ht="13.2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25" customHeight="1">
      <c r="A266" s="57" t="s">
        <v>600</v>
      </c>
      <c r="B266" s="4"/>
      <c r="C266" s="2" t="s">
        <v>297</v>
      </c>
      <c r="D266" s="4"/>
      <c r="E266" s="4"/>
      <c r="F266" s="4"/>
      <c r="G266" s="4"/>
      <c r="H266" s="4"/>
      <c r="I266" s="4"/>
      <c r="J266" s="4"/>
      <c r="K266" s="4"/>
      <c r="L266" s="4"/>
      <c r="M266" s="35"/>
      <c r="N266" s="35"/>
      <c r="O266" s="35"/>
      <c r="P266" s="35"/>
      <c r="Q266" s="35"/>
      <c r="T266" s="1777" t="str">
        <f>BO245</f>
        <v>Nonprofit</v>
      </c>
      <c r="U266" s="1777"/>
      <c r="V266" s="1777"/>
      <c r="W266" s="1777"/>
      <c r="X266" s="1777"/>
      <c r="Z266" s="322" t="s">
        <v>995</v>
      </c>
      <c r="AA266" s="323"/>
      <c r="AB266" s="323"/>
      <c r="AC266" s="323"/>
      <c r="AD266" s="105"/>
      <c r="AE266" s="105"/>
      <c r="AF266" s="105"/>
      <c r="AG266" s="105"/>
      <c r="AH266" s="105"/>
      <c r="AI266" s="105"/>
      <c r="AJ266" s="105"/>
      <c r="AK266" s="324"/>
      <c r="AL266" s="58"/>
      <c r="BN266" s="34"/>
    </row>
    <row r="267" spans="1:66" ht="13.25" customHeight="1">
      <c r="A267" s="2"/>
      <c r="B267" s="4"/>
      <c r="C267" s="2"/>
      <c r="I267" s="4"/>
      <c r="J267" s="4"/>
      <c r="K267" s="4"/>
      <c r="L267" s="4"/>
      <c r="M267" s="35"/>
      <c r="N267" s="35"/>
      <c r="O267" s="35"/>
      <c r="P267" s="35"/>
      <c r="Q267" s="35"/>
      <c r="T267" s="4"/>
      <c r="U267" s="4"/>
      <c r="V267" s="4"/>
      <c r="W267" s="35"/>
      <c r="Z267" s="325" t="s">
        <v>833</v>
      </c>
      <c r="AF267" s="4"/>
      <c r="AG267" s="4"/>
      <c r="AH267" s="4"/>
      <c r="AI267" s="4"/>
      <c r="AJ267" s="4"/>
      <c r="AL267" s="65"/>
      <c r="BN267" s="34"/>
    </row>
    <row r="268" spans="1:66" ht="13.2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26" t="s">
        <v>994</v>
      </c>
      <c r="AA268" s="48"/>
      <c r="AB268" s="48"/>
      <c r="AC268" s="48"/>
      <c r="AD268" s="48"/>
      <c r="AE268" s="48"/>
      <c r="AF268" s="104"/>
      <c r="AG268" s="104"/>
      <c r="AH268" s="104"/>
      <c r="AI268" s="104"/>
      <c r="AJ268" s="104"/>
      <c r="AK268" s="48"/>
      <c r="AL268" s="49"/>
      <c r="BN268" s="34"/>
    </row>
    <row r="269" spans="1:66" ht="13.25" customHeight="1">
      <c r="A269" s="4"/>
      <c r="B269" s="36">
        <v>0</v>
      </c>
      <c r="D269" s="1646" t="s">
        <v>282</v>
      </c>
      <c r="E269" s="1646"/>
      <c r="F269" s="1646"/>
      <c r="G269" s="1646"/>
      <c r="H269" s="1646"/>
      <c r="J269" t="s">
        <v>281</v>
      </c>
      <c r="X269" s="1633"/>
      <c r="Y269" s="1633"/>
      <c r="Z269" s="1633"/>
      <c r="AA269" s="1633"/>
      <c r="AB269" s="1633"/>
      <c r="AC269" s="1633"/>
      <c r="BN269" s="34"/>
    </row>
    <row r="270" spans="1:66" ht="13.2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2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2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25" customHeight="1">
      <c r="D273" s="4" t="s">
        <v>298</v>
      </c>
      <c r="E273" s="4"/>
      <c r="F273" s="4"/>
      <c r="G273" s="4"/>
      <c r="H273" s="4"/>
      <c r="I273" s="4"/>
      <c r="J273" s="4"/>
      <c r="K273" s="4"/>
      <c r="L273" s="1760" t="s">
        <v>2649</v>
      </c>
      <c r="M273" s="1760"/>
      <c r="N273" s="1760"/>
      <c r="O273" s="1760"/>
      <c r="P273" s="1760"/>
      <c r="Q273" s="1760"/>
      <c r="R273" s="1760"/>
      <c r="S273" s="1760"/>
      <c r="T273" s="1760"/>
      <c r="U273" s="1760"/>
      <c r="V273" s="1760"/>
      <c r="W273" s="1760"/>
      <c r="X273" s="1760"/>
      <c r="Y273" s="1760"/>
      <c r="Z273" s="1760"/>
      <c r="AA273" s="1760"/>
      <c r="AB273" s="1760"/>
      <c r="AC273" s="1760"/>
      <c r="AD273" s="1760"/>
      <c r="AE273" s="1760"/>
      <c r="AF273" s="1760"/>
      <c r="AG273" s="1760"/>
      <c r="AH273" s="1760"/>
      <c r="AI273" s="1760"/>
      <c r="AJ273" s="1760"/>
      <c r="AK273" s="3"/>
      <c r="AL273" s="3"/>
      <c r="AM273" s="3"/>
      <c r="AN273" s="3"/>
      <c r="AO273" s="3"/>
      <c r="AP273" s="3"/>
      <c r="AQ273" s="3"/>
      <c r="AR273" s="3"/>
      <c r="AS273" s="3"/>
      <c r="AT273" s="3"/>
      <c r="AU273" s="3"/>
      <c r="AV273" s="3"/>
      <c r="AW273" s="3"/>
      <c r="AX273" s="3"/>
      <c r="AY273" s="3"/>
      <c r="BN273" s="34"/>
    </row>
    <row r="274" spans="1:66" ht="13.25" customHeight="1">
      <c r="D274" s="4" t="s">
        <v>86</v>
      </c>
      <c r="E274" s="4"/>
      <c r="F274" s="4"/>
      <c r="G274" s="4"/>
      <c r="H274" s="4"/>
      <c r="I274" s="4"/>
      <c r="J274" s="4"/>
      <c r="K274" s="4"/>
      <c r="L274" s="1349" t="s">
        <v>2639</v>
      </c>
      <c r="M274" s="1349"/>
      <c r="N274" s="1349"/>
      <c r="O274" s="1349"/>
      <c r="P274" s="1349"/>
      <c r="Q274" s="1349"/>
      <c r="R274" s="1349"/>
      <c r="S274" s="1349"/>
      <c r="T274" s="1349"/>
      <c r="U274" s="1349"/>
      <c r="V274" s="1349"/>
      <c r="W274" s="1349"/>
      <c r="X274" s="1349"/>
      <c r="Y274" s="1349"/>
      <c r="Z274" s="1349"/>
      <c r="AA274" s="1349"/>
      <c r="AB274" s="1349"/>
      <c r="AC274" s="1349"/>
      <c r="AD274" s="1349"/>
      <c r="AK274" s="3"/>
      <c r="AL274" s="3"/>
      <c r="AM274" s="3"/>
      <c r="AN274" s="3"/>
      <c r="AO274" s="3"/>
      <c r="AP274" s="3"/>
      <c r="AQ274" s="3"/>
      <c r="AR274" s="3"/>
      <c r="AS274" s="3"/>
      <c r="AT274" s="3"/>
      <c r="AU274" s="3"/>
      <c r="AV274" s="3"/>
      <c r="AW274" s="3"/>
      <c r="AX274" s="3"/>
      <c r="AY274" s="3"/>
      <c r="BN274" s="34"/>
    </row>
    <row r="275" spans="1:66" ht="13.25" customHeight="1">
      <c r="D275" s="4" t="s">
        <v>590</v>
      </c>
      <c r="E275" s="4"/>
      <c r="L275" s="1349" t="s">
        <v>2640</v>
      </c>
      <c r="M275" s="1646"/>
      <c r="N275" s="1646"/>
      <c r="O275" s="1646"/>
      <c r="P275" s="1646"/>
      <c r="Q275" s="1646"/>
      <c r="R275" s="1646"/>
      <c r="S275" s="1646"/>
      <c r="U275" s="33" t="s">
        <v>87</v>
      </c>
      <c r="V275" s="1358" t="s">
        <v>2641</v>
      </c>
      <c r="W275" s="1347"/>
      <c r="X275" s="4" t="s">
        <v>593</v>
      </c>
      <c r="AB275" s="1646">
        <v>94404</v>
      </c>
      <c r="AC275" s="1646"/>
      <c r="AD275" s="1646"/>
      <c r="AK275" s="3"/>
      <c r="AL275" s="3"/>
      <c r="AM275" s="3"/>
      <c r="AN275" s="3"/>
      <c r="AO275" s="3"/>
      <c r="AP275" s="3"/>
      <c r="AQ275" s="3"/>
      <c r="AR275" s="3"/>
      <c r="AS275" s="3"/>
      <c r="AT275" s="3"/>
      <c r="AU275" s="3"/>
      <c r="AV275" s="3"/>
      <c r="AW275" s="3"/>
      <c r="AX275" s="3"/>
      <c r="AY275" s="3"/>
      <c r="BN275" s="34"/>
    </row>
    <row r="276" spans="1:66" ht="13.25" customHeight="1">
      <c r="D276" s="4" t="s">
        <v>88</v>
      </c>
      <c r="E276" s="4"/>
      <c r="F276" s="4"/>
      <c r="G276" s="4"/>
      <c r="H276" s="4"/>
      <c r="I276" s="4"/>
      <c r="J276" s="4"/>
      <c r="K276" s="19"/>
      <c r="L276" s="1349" t="s">
        <v>2650</v>
      </c>
      <c r="M276" s="1349"/>
      <c r="N276" s="1349"/>
      <c r="O276" s="1349"/>
      <c r="P276" s="1349"/>
      <c r="Q276" s="1349"/>
      <c r="R276" s="1349"/>
      <c r="S276" s="1349"/>
      <c r="T276" s="1349"/>
      <c r="U276" s="1349"/>
      <c r="V276" s="1349"/>
      <c r="W276" s="1349"/>
      <c r="X276" s="1349"/>
      <c r="Y276" s="1349"/>
      <c r="Z276" s="1349"/>
      <c r="AA276" s="1349"/>
      <c r="AB276" s="1349"/>
      <c r="AC276" s="1349"/>
      <c r="AD276" s="1349"/>
      <c r="AI276" s="4"/>
      <c r="AJ276" s="4"/>
      <c r="AK276" s="3"/>
      <c r="AL276" s="3"/>
      <c r="AM276" s="3"/>
      <c r="AN276" s="3"/>
      <c r="AO276" s="3"/>
      <c r="AP276" s="3"/>
      <c r="AQ276" s="3"/>
      <c r="AR276" s="3"/>
      <c r="AS276" s="3"/>
      <c r="AT276" s="3"/>
      <c r="AU276" s="3"/>
      <c r="AV276" s="3"/>
      <c r="AW276" s="3"/>
      <c r="AX276" s="3"/>
      <c r="AY276" s="3"/>
      <c r="BN276" s="34"/>
    </row>
    <row r="277" spans="1:66" ht="13.25" customHeight="1">
      <c r="D277" s="4" t="s">
        <v>89</v>
      </c>
      <c r="E277" s="4"/>
      <c r="F277" s="4"/>
      <c r="L277" s="1352" t="s">
        <v>2651</v>
      </c>
      <c r="M277" s="1352"/>
      <c r="N277" s="1352"/>
      <c r="O277" s="1352"/>
      <c r="P277" s="1352"/>
      <c r="Q277" s="1352"/>
      <c r="R277" s="4" t="s">
        <v>208</v>
      </c>
      <c r="S277" s="4"/>
      <c r="T277" s="1347"/>
      <c r="U277" s="1347"/>
      <c r="V277" s="1347"/>
      <c r="W277" s="4" t="s">
        <v>90</v>
      </c>
      <c r="Y277" s="1353"/>
      <c r="Z277" s="1353"/>
      <c r="AA277" s="1353"/>
      <c r="AB277" s="1353"/>
      <c r="AC277" s="1353"/>
      <c r="AD277" s="1353"/>
      <c r="BN277" s="34"/>
    </row>
    <row r="278" spans="1:66" ht="13.25" customHeight="1">
      <c r="D278" s="4" t="s">
        <v>91</v>
      </c>
      <c r="E278" s="4"/>
      <c r="F278" s="4"/>
      <c r="L278" s="1748" t="s">
        <v>2652</v>
      </c>
      <c r="M278" s="1748"/>
      <c r="N278" s="1748"/>
      <c r="O278" s="1748"/>
      <c r="P278" s="1748"/>
      <c r="Q278" s="1748"/>
      <c r="R278" s="1748"/>
      <c r="S278" s="1748"/>
      <c r="T278" s="1748"/>
      <c r="U278" s="1748"/>
      <c r="V278" s="1748"/>
      <c r="W278" s="1748"/>
      <c r="X278" s="1748"/>
      <c r="Y278" s="1748"/>
      <c r="Z278" s="1748"/>
      <c r="AA278" s="1748"/>
      <c r="AB278" s="1748"/>
      <c r="AC278" s="1748"/>
      <c r="AD278" s="1748"/>
      <c r="AF278" s="4"/>
      <c r="AG278" s="4"/>
      <c r="AH278" s="4"/>
      <c r="AI278" s="4"/>
      <c r="AJ278" s="4"/>
      <c r="BN278" s="34"/>
    </row>
    <row r="279" spans="1:66" ht="13.25" customHeight="1">
      <c r="D279" s="3" t="s">
        <v>633</v>
      </c>
      <c r="E279" s="3"/>
      <c r="F279" s="3"/>
      <c r="G279" s="3"/>
      <c r="H279" s="3"/>
      <c r="I279" s="3"/>
      <c r="L279" s="1358" t="s">
        <v>2804</v>
      </c>
      <c r="M279" s="1358"/>
      <c r="N279" s="1358"/>
      <c r="O279" s="1358"/>
      <c r="P279" s="1358"/>
      <c r="Q279" s="1358"/>
      <c r="R279" s="1358"/>
      <c r="S279" s="1358"/>
      <c r="T279" s="1358"/>
      <c r="U279" s="1358"/>
      <c r="V279" s="1358"/>
      <c r="W279" s="1358"/>
      <c r="X279" s="1358"/>
      <c r="Y279" s="1358"/>
      <c r="Z279" s="1358"/>
      <c r="AA279" s="1358"/>
      <c r="AB279" s="1358"/>
      <c r="AC279" s="1358"/>
      <c r="AD279" s="1358"/>
      <c r="AK279" s="3"/>
      <c r="AL279" s="3"/>
      <c r="AM279" s="3"/>
      <c r="AN279" s="3"/>
      <c r="AO279" s="3"/>
      <c r="AP279" s="3"/>
      <c r="AQ279" s="3"/>
      <c r="AR279" s="3"/>
      <c r="AS279" s="3"/>
      <c r="AT279" s="3"/>
      <c r="AU279" s="3"/>
      <c r="AV279" s="3"/>
      <c r="AW279" s="3"/>
      <c r="AX279" s="3"/>
      <c r="AY279" s="3"/>
      <c r="BN279" s="34"/>
    </row>
    <row r="280" spans="1:66" ht="13.25" customHeight="1">
      <c r="L280" s="22" t="s">
        <v>634</v>
      </c>
      <c r="BN280" s="34"/>
    </row>
    <row r="281" spans="1:66" ht="13.25" customHeight="1">
      <c r="A281" s="1639" t="s">
        <v>551</v>
      </c>
      <c r="B281" s="1639"/>
      <c r="C281" s="1639"/>
      <c r="D281" s="1639"/>
      <c r="E281" s="1639"/>
      <c r="F281" s="1639"/>
      <c r="G281" s="1639"/>
      <c r="H281" s="1639"/>
      <c r="I281" s="1639"/>
      <c r="J281" s="1639"/>
      <c r="K281" s="1639"/>
      <c r="L281" s="1639"/>
      <c r="M281" s="1639"/>
      <c r="N281" s="1639"/>
      <c r="O281" s="1639"/>
      <c r="P281" s="1639"/>
      <c r="Q281" s="1639"/>
      <c r="R281" s="1639"/>
      <c r="S281" s="1639"/>
      <c r="T281" s="1639"/>
      <c r="U281" s="1639"/>
      <c r="V281" s="1639"/>
      <c r="W281" s="1639"/>
      <c r="X281" s="1639"/>
      <c r="Y281" s="1639"/>
      <c r="Z281" s="1639"/>
      <c r="AA281" s="1639"/>
      <c r="AB281" s="1639"/>
      <c r="AC281" s="1639"/>
      <c r="AD281" s="1639"/>
      <c r="AE281" s="1639"/>
      <c r="AF281" s="1639"/>
      <c r="AG281" s="1639"/>
      <c r="AH281" s="1639"/>
      <c r="AI281" s="1639"/>
      <c r="AJ281" s="1639"/>
      <c r="AK281" s="1639"/>
      <c r="AL281" s="1639"/>
      <c r="AM281" s="95"/>
      <c r="AN281" s="95"/>
      <c r="AO281" s="95"/>
      <c r="AP281" s="95"/>
      <c r="AQ281" s="95"/>
      <c r="AR281" s="95"/>
      <c r="AS281" s="95"/>
      <c r="AT281" s="95"/>
      <c r="AU281" s="95"/>
      <c r="AV281" s="95"/>
      <c r="AW281" s="95"/>
      <c r="AX281" s="95"/>
      <c r="AY281" s="95"/>
      <c r="BN281" s="34"/>
    </row>
    <row r="282" spans="1:66" ht="13.25" customHeight="1" thickBot="1">
      <c r="A282" s="1640"/>
      <c r="B282" s="1640"/>
      <c r="C282" s="1640"/>
      <c r="D282" s="1640"/>
      <c r="E282" s="1640"/>
      <c r="F282" s="1640"/>
      <c r="G282" s="1640"/>
      <c r="H282" s="1640"/>
      <c r="I282" s="1640"/>
      <c r="J282" s="1640"/>
      <c r="K282" s="1640"/>
      <c r="L282" s="1640"/>
      <c r="M282" s="1640"/>
      <c r="N282" s="1640"/>
      <c r="O282" s="1640"/>
      <c r="P282" s="1640"/>
      <c r="Q282" s="1640"/>
      <c r="R282" s="1640"/>
      <c r="S282" s="1640"/>
      <c r="T282" s="1640"/>
      <c r="U282" s="1640"/>
      <c r="V282" s="1640"/>
      <c r="W282" s="1640"/>
      <c r="X282" s="1640"/>
      <c r="Y282" s="1640"/>
      <c r="Z282" s="1640"/>
      <c r="AA282" s="1640"/>
      <c r="AB282" s="1640"/>
      <c r="AC282" s="1640"/>
      <c r="AD282" s="1640"/>
      <c r="AE282" s="1640"/>
      <c r="AF282" s="1640"/>
      <c r="AG282" s="1640"/>
      <c r="AH282" s="1640"/>
      <c r="AI282" s="1640"/>
      <c r="AJ282" s="1640"/>
      <c r="AK282" s="1640"/>
      <c r="AL282" s="1640"/>
      <c r="AM282" s="95"/>
      <c r="AN282" s="95"/>
      <c r="AO282" s="95"/>
      <c r="AP282" s="95"/>
      <c r="AQ282" s="95"/>
      <c r="AR282" s="95"/>
      <c r="AS282" s="95"/>
      <c r="AT282" s="95"/>
      <c r="AU282" s="95"/>
      <c r="AV282" s="95"/>
      <c r="AW282" s="95"/>
      <c r="AX282" s="95"/>
      <c r="AY282" s="95"/>
      <c r="BN282" s="34"/>
    </row>
    <row r="283" spans="1:66" ht="13.2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2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2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25" customHeight="1">
      <c r="B286" s="3" t="s">
        <v>636</v>
      </c>
      <c r="C286" s="3"/>
      <c r="D286" s="3"/>
      <c r="E286" s="3"/>
      <c r="F286" s="3"/>
      <c r="H286" s="1349" t="s">
        <v>2649</v>
      </c>
      <c r="I286" s="1350"/>
      <c r="J286" s="1350"/>
      <c r="K286" s="1350"/>
      <c r="L286" s="1350"/>
      <c r="M286" s="1350"/>
      <c r="N286" s="1350"/>
      <c r="O286" s="1350"/>
      <c r="P286" s="1350"/>
      <c r="Q286" s="1350"/>
      <c r="R286" s="1350"/>
      <c r="T286" s="3" t="s">
        <v>577</v>
      </c>
      <c r="V286" s="3"/>
      <c r="W286" s="3"/>
      <c r="X286" s="3"/>
      <c r="Y286" s="3"/>
      <c r="AA286" s="1349" t="s">
        <v>2654</v>
      </c>
      <c r="AB286" s="1350"/>
      <c r="AC286" s="1350"/>
      <c r="AD286" s="1350"/>
      <c r="AE286" s="1350"/>
      <c r="AF286" s="1350"/>
      <c r="AG286" s="1350"/>
      <c r="AH286" s="1350"/>
      <c r="AI286" s="1350"/>
      <c r="AJ286" s="1350"/>
      <c r="AK286" s="1350"/>
      <c r="BN286" s="34"/>
    </row>
    <row r="287" spans="1:66" ht="13.25" customHeight="1">
      <c r="B287" s="3" t="s">
        <v>481</v>
      </c>
      <c r="C287" s="3"/>
      <c r="D287" s="3"/>
      <c r="E287" s="3"/>
      <c r="F287" s="3"/>
      <c r="H287" s="1358" t="s">
        <v>2639</v>
      </c>
      <c r="I287" s="1359"/>
      <c r="J287" s="1359"/>
      <c r="K287" s="1359"/>
      <c r="L287" s="1359"/>
      <c r="M287" s="1359"/>
      <c r="N287" s="1359"/>
      <c r="O287" s="1359"/>
      <c r="P287" s="1359"/>
      <c r="Q287" s="1359"/>
      <c r="R287" s="1359"/>
      <c r="T287" s="3" t="s">
        <v>481</v>
      </c>
      <c r="V287" s="3"/>
      <c r="W287" s="3"/>
      <c r="X287" s="3"/>
      <c r="Y287" s="3"/>
      <c r="AA287" s="1358" t="s">
        <v>2655</v>
      </c>
      <c r="AB287" s="1359"/>
      <c r="AC287" s="1359"/>
      <c r="AD287" s="1359"/>
      <c r="AE287" s="1359"/>
      <c r="AF287" s="1359"/>
      <c r="AG287" s="1359"/>
      <c r="AH287" s="1359"/>
      <c r="AI287" s="1359"/>
      <c r="AJ287" s="1359"/>
      <c r="AK287" s="1359"/>
      <c r="BN287" s="34"/>
    </row>
    <row r="288" spans="1:66" ht="13.25" customHeight="1">
      <c r="B288" s="3" t="s">
        <v>482</v>
      </c>
      <c r="C288" s="3"/>
      <c r="D288" s="3"/>
      <c r="E288" s="3"/>
      <c r="F288" s="3"/>
      <c r="H288" s="1358" t="s">
        <v>2653</v>
      </c>
      <c r="I288" s="1359"/>
      <c r="J288" s="1359"/>
      <c r="K288" s="1359"/>
      <c r="L288" s="1359"/>
      <c r="M288" s="1359"/>
      <c r="N288" s="1359"/>
      <c r="O288" s="1359"/>
      <c r="P288" s="1359"/>
      <c r="Q288" s="1359"/>
      <c r="R288" s="1359"/>
      <c r="T288" s="3" t="s">
        <v>76</v>
      </c>
      <c r="V288" s="3"/>
      <c r="W288" s="3"/>
      <c r="X288" s="3"/>
      <c r="Y288" s="3"/>
      <c r="AA288" s="1358" t="s">
        <v>2656</v>
      </c>
      <c r="AB288" s="1359"/>
      <c r="AC288" s="1359"/>
      <c r="AD288" s="1359"/>
      <c r="AE288" s="1359"/>
      <c r="AF288" s="1359"/>
      <c r="AG288" s="1359"/>
      <c r="AH288" s="1359"/>
      <c r="AI288" s="1359"/>
      <c r="AJ288" s="1359"/>
      <c r="AK288" s="1359"/>
      <c r="BN288" s="34"/>
    </row>
    <row r="289" spans="2:66" ht="13.25" customHeight="1">
      <c r="B289" s="3" t="s">
        <v>88</v>
      </c>
      <c r="C289" s="3"/>
      <c r="D289" s="3"/>
      <c r="E289" s="3"/>
      <c r="F289" s="3"/>
      <c r="H289" s="1358" t="s">
        <v>2650</v>
      </c>
      <c r="I289" s="1359"/>
      <c r="J289" s="1359"/>
      <c r="K289" s="1359"/>
      <c r="L289" s="1359"/>
      <c r="M289" s="1359"/>
      <c r="N289" s="1359"/>
      <c r="O289" s="1359"/>
      <c r="P289" s="1359"/>
      <c r="Q289" s="1359"/>
      <c r="R289" s="1359"/>
      <c r="T289" s="3" t="s">
        <v>88</v>
      </c>
      <c r="V289" s="3"/>
      <c r="W289" s="3"/>
      <c r="X289" s="3"/>
      <c r="Y289" s="3"/>
      <c r="AA289" s="1358" t="s">
        <v>2657</v>
      </c>
      <c r="AB289" s="1359"/>
      <c r="AC289" s="1359"/>
      <c r="AD289" s="1359"/>
      <c r="AE289" s="1359"/>
      <c r="AF289" s="1359"/>
      <c r="AG289" s="1359"/>
      <c r="AH289" s="1359"/>
      <c r="AI289" s="1359"/>
      <c r="AJ289" s="1359"/>
      <c r="AK289" s="1359"/>
      <c r="BN289" s="34"/>
    </row>
    <row r="290" spans="2:66" ht="13.25" customHeight="1">
      <c r="B290" s="3" t="s">
        <v>89</v>
      </c>
      <c r="C290" s="3"/>
      <c r="D290" s="3"/>
      <c r="E290" s="3"/>
      <c r="F290" s="3"/>
      <c r="G290" s="3"/>
      <c r="H290" s="1647" t="s">
        <v>2651</v>
      </c>
      <c r="I290" s="1647"/>
      <c r="J290" s="1647"/>
      <c r="K290" s="1647"/>
      <c r="L290" s="1647"/>
      <c r="M290" s="1647"/>
      <c r="N290" s="4" t="s">
        <v>208</v>
      </c>
      <c r="O290" s="4"/>
      <c r="P290" s="1646"/>
      <c r="Q290" s="1646"/>
      <c r="R290" s="1646"/>
      <c r="S290" s="3"/>
      <c r="T290" s="3" t="s">
        <v>89</v>
      </c>
      <c r="V290" s="3"/>
      <c r="W290" s="3"/>
      <c r="X290" s="3"/>
      <c r="Y290" s="3"/>
      <c r="AA290" s="1647" t="s">
        <v>2658</v>
      </c>
      <c r="AB290" s="1647"/>
      <c r="AC290" s="1647"/>
      <c r="AD290" s="1647"/>
      <c r="AE290" s="1647"/>
      <c r="AF290" s="1647"/>
      <c r="AG290" s="4" t="s">
        <v>208</v>
      </c>
      <c r="AH290" s="4"/>
      <c r="AI290" s="1646"/>
      <c r="AJ290" s="1646"/>
      <c r="AK290" s="1646"/>
      <c r="BN290" s="34"/>
    </row>
    <row r="291" spans="2:66" ht="13.25" customHeight="1">
      <c r="B291" s="3" t="s">
        <v>90</v>
      </c>
      <c r="C291" s="3"/>
      <c r="D291" s="3"/>
      <c r="E291" s="3"/>
      <c r="F291" s="3"/>
      <c r="G291" s="3"/>
      <c r="H291" s="1353"/>
      <c r="I291" s="1353"/>
      <c r="J291" s="1353"/>
      <c r="K291" s="1353"/>
      <c r="L291" s="1353"/>
      <c r="M291" s="1353"/>
      <c r="N291" s="4"/>
      <c r="O291" s="4"/>
      <c r="P291" s="35"/>
      <c r="Q291" s="35"/>
      <c r="R291" s="35"/>
      <c r="S291" s="3"/>
      <c r="T291" s="3" t="s">
        <v>90</v>
      </c>
      <c r="V291" s="3"/>
      <c r="W291" s="3"/>
      <c r="X291" s="3"/>
      <c r="Y291" s="3"/>
      <c r="AA291" s="1353"/>
      <c r="AB291" s="1353"/>
      <c r="AC291" s="1353"/>
      <c r="AD291" s="1353"/>
      <c r="AE291" s="1353"/>
      <c r="AF291" s="1353"/>
      <c r="AG291" s="4"/>
      <c r="AH291" s="4"/>
      <c r="AI291" s="35"/>
      <c r="AJ291" s="35"/>
      <c r="AK291" s="35"/>
      <c r="BN291" s="34"/>
    </row>
    <row r="292" spans="2:66" ht="13.25" customHeight="1">
      <c r="B292" s="3" t="s">
        <v>77</v>
      </c>
      <c r="C292" s="3"/>
      <c r="D292" s="3"/>
      <c r="E292" s="3"/>
      <c r="F292" s="3"/>
      <c r="G292" s="3"/>
      <c r="H292" s="1358" t="s">
        <v>2652</v>
      </c>
      <c r="I292" s="1359"/>
      <c r="J292" s="1359"/>
      <c r="K292" s="1359"/>
      <c r="L292" s="1359"/>
      <c r="M292" s="1359"/>
      <c r="N292" s="1350"/>
      <c r="O292" s="1350"/>
      <c r="P292" s="1350"/>
      <c r="Q292" s="1350"/>
      <c r="R292" s="1350"/>
      <c r="S292" s="3"/>
      <c r="T292" s="3" t="s">
        <v>77</v>
      </c>
      <c r="V292" s="3"/>
      <c r="W292" s="3"/>
      <c r="X292" s="3"/>
      <c r="Y292" s="3"/>
      <c r="AA292" s="1358" t="s">
        <v>2659</v>
      </c>
      <c r="AB292" s="1359"/>
      <c r="AC292" s="1359"/>
      <c r="AD292" s="1359"/>
      <c r="AE292" s="1359"/>
      <c r="AF292" s="1359"/>
      <c r="AG292" s="1350"/>
      <c r="AH292" s="1350"/>
      <c r="AI292" s="1350"/>
      <c r="AJ292" s="1350"/>
      <c r="AK292" s="1350"/>
      <c r="BN292" s="34"/>
    </row>
    <row r="293" spans="2:66" ht="13.2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25" customHeight="1">
      <c r="B294" s="3" t="s">
        <v>325</v>
      </c>
      <c r="C294" s="3"/>
      <c r="D294" s="3"/>
      <c r="E294" s="3"/>
      <c r="F294" s="3"/>
      <c r="H294" s="1349" t="s">
        <v>2660</v>
      </c>
      <c r="I294" s="1350"/>
      <c r="J294" s="1350"/>
      <c r="K294" s="1350"/>
      <c r="L294" s="1350"/>
      <c r="M294" s="1350"/>
      <c r="N294" s="1350"/>
      <c r="O294" s="1350"/>
      <c r="P294" s="1350"/>
      <c r="Q294" s="1350"/>
      <c r="R294" s="1350"/>
      <c r="T294" s="3" t="s">
        <v>366</v>
      </c>
      <c r="V294" s="3"/>
      <c r="W294" s="3"/>
      <c r="X294" s="3"/>
      <c r="Y294" s="3"/>
      <c r="AA294" s="1349" t="s">
        <v>2664</v>
      </c>
      <c r="AB294" s="1350"/>
      <c r="AC294" s="1350"/>
      <c r="AD294" s="1350"/>
      <c r="AE294" s="1350"/>
      <c r="AF294" s="1350"/>
      <c r="AG294" s="1350"/>
      <c r="AH294" s="1350"/>
      <c r="AI294" s="1350"/>
      <c r="AJ294" s="1350"/>
      <c r="AK294" s="1350"/>
      <c r="BN294" s="34"/>
    </row>
    <row r="295" spans="2:66" ht="13.25" customHeight="1">
      <c r="B295" s="3" t="s">
        <v>481</v>
      </c>
      <c r="C295" s="3"/>
      <c r="D295" s="3"/>
      <c r="E295" s="3"/>
      <c r="F295" s="3"/>
      <c r="H295" s="1358" t="s">
        <v>2661</v>
      </c>
      <c r="I295" s="1359"/>
      <c r="J295" s="1359"/>
      <c r="K295" s="1359"/>
      <c r="L295" s="1359"/>
      <c r="M295" s="1359"/>
      <c r="N295" s="1359"/>
      <c r="O295" s="1359"/>
      <c r="P295" s="1359"/>
      <c r="Q295" s="1359"/>
      <c r="R295" s="1359"/>
      <c r="T295" s="3" t="s">
        <v>481</v>
      </c>
      <c r="V295" s="3"/>
      <c r="W295" s="3"/>
      <c r="X295" s="3"/>
      <c r="Y295" s="3"/>
      <c r="AA295" s="1358" t="s">
        <v>2665</v>
      </c>
      <c r="AB295" s="1359"/>
      <c r="AC295" s="1359"/>
      <c r="AD295" s="1359"/>
      <c r="AE295" s="1359"/>
      <c r="AF295" s="1359"/>
      <c r="AG295" s="1359"/>
      <c r="AH295" s="1359"/>
      <c r="AI295" s="1359"/>
      <c r="AJ295" s="1359"/>
      <c r="AK295" s="1359"/>
      <c r="BN295" s="34"/>
    </row>
    <row r="296" spans="2:66" ht="13.25" customHeight="1">
      <c r="B296" s="3" t="s">
        <v>482</v>
      </c>
      <c r="C296" s="3"/>
      <c r="D296" s="3"/>
      <c r="E296" s="3"/>
      <c r="F296" s="3"/>
      <c r="H296" s="1358" t="s">
        <v>2662</v>
      </c>
      <c r="I296" s="1359"/>
      <c r="J296" s="1359"/>
      <c r="K296" s="1359"/>
      <c r="L296" s="1359"/>
      <c r="M296" s="1359"/>
      <c r="N296" s="1359"/>
      <c r="O296" s="1359"/>
      <c r="P296" s="1359"/>
      <c r="Q296" s="1359"/>
      <c r="R296" s="1359"/>
      <c r="T296" s="3" t="s">
        <v>76</v>
      </c>
      <c r="V296" s="3"/>
      <c r="W296" s="3"/>
      <c r="X296" s="3"/>
      <c r="Y296" s="3"/>
      <c r="AA296" s="1358" t="s">
        <v>2666</v>
      </c>
      <c r="AB296" s="1359"/>
      <c r="AC296" s="1359"/>
      <c r="AD296" s="1359"/>
      <c r="AE296" s="1359"/>
      <c r="AF296" s="1359"/>
      <c r="AG296" s="1359"/>
      <c r="AH296" s="1359"/>
      <c r="AI296" s="1359"/>
      <c r="AJ296" s="1359"/>
      <c r="AK296" s="1359"/>
      <c r="BN296" s="34"/>
    </row>
    <row r="297" spans="2:66" ht="13.25" customHeight="1">
      <c r="B297" s="3" t="s">
        <v>88</v>
      </c>
      <c r="C297" s="3"/>
      <c r="D297" s="3"/>
      <c r="E297" s="3"/>
      <c r="F297" s="3"/>
      <c r="H297" s="1358" t="s">
        <v>2663</v>
      </c>
      <c r="I297" s="1359"/>
      <c r="J297" s="1359"/>
      <c r="K297" s="1359"/>
      <c r="L297" s="1359"/>
      <c r="M297" s="1359"/>
      <c r="N297" s="1359"/>
      <c r="O297" s="1359"/>
      <c r="P297" s="1359"/>
      <c r="Q297" s="1359"/>
      <c r="R297" s="1359"/>
      <c r="T297" s="3" t="s">
        <v>88</v>
      </c>
      <c r="V297" s="3"/>
      <c r="W297" s="3"/>
      <c r="X297" s="3"/>
      <c r="Y297" s="3"/>
      <c r="AA297" s="1358" t="s">
        <v>2667</v>
      </c>
      <c r="AB297" s="1359"/>
      <c r="AC297" s="1359"/>
      <c r="AD297" s="1359"/>
      <c r="AE297" s="1359"/>
      <c r="AF297" s="1359"/>
      <c r="AG297" s="1359"/>
      <c r="AH297" s="1359"/>
      <c r="AI297" s="1359"/>
      <c r="AJ297" s="1359"/>
      <c r="AK297" s="1359"/>
      <c r="BN297" s="34"/>
    </row>
    <row r="298" spans="2:66" ht="13.25" customHeight="1">
      <c r="B298" s="3" t="s">
        <v>89</v>
      </c>
      <c r="C298" s="3"/>
      <c r="D298" s="3"/>
      <c r="E298" s="3"/>
      <c r="F298" s="3"/>
      <c r="G298" s="3"/>
      <c r="H298" s="1647" t="s">
        <v>2668</v>
      </c>
      <c r="I298" s="1647"/>
      <c r="J298" s="1647"/>
      <c r="K298" s="1647"/>
      <c r="L298" s="1647"/>
      <c r="M298" s="1647"/>
      <c r="N298" s="4" t="s">
        <v>208</v>
      </c>
      <c r="O298" s="4"/>
      <c r="P298" s="1646"/>
      <c r="Q298" s="1646"/>
      <c r="R298" s="1646"/>
      <c r="S298" s="3"/>
      <c r="T298" s="3" t="s">
        <v>89</v>
      </c>
      <c r="V298" s="3"/>
      <c r="W298" s="3"/>
      <c r="X298" s="3"/>
      <c r="Y298" s="3"/>
      <c r="AA298" s="1647" t="s">
        <v>2670</v>
      </c>
      <c r="AB298" s="1647"/>
      <c r="AC298" s="1647"/>
      <c r="AD298" s="1647"/>
      <c r="AE298" s="1647"/>
      <c r="AF298" s="1647"/>
      <c r="AG298" s="4" t="s">
        <v>208</v>
      </c>
      <c r="AH298" s="4"/>
      <c r="AI298" s="1646"/>
      <c r="AJ298" s="1646"/>
      <c r="AK298" s="1646"/>
      <c r="BN298" s="34"/>
    </row>
    <row r="299" spans="2:66" ht="13.25" customHeight="1">
      <c r="B299" s="3" t="s">
        <v>90</v>
      </c>
      <c r="C299" s="3"/>
      <c r="D299" s="3"/>
      <c r="E299" s="3"/>
      <c r="F299" s="3"/>
      <c r="G299" s="3"/>
      <c r="H299" s="1352" t="s">
        <v>2669</v>
      </c>
      <c r="I299" s="1352"/>
      <c r="J299" s="1352"/>
      <c r="K299" s="1352"/>
      <c r="L299" s="1352"/>
      <c r="M299" s="1352"/>
      <c r="N299" s="4"/>
      <c r="O299" s="4"/>
      <c r="P299" s="35"/>
      <c r="Q299" s="35"/>
      <c r="R299" s="35"/>
      <c r="S299" s="3"/>
      <c r="T299" s="3" t="s">
        <v>90</v>
      </c>
      <c r="V299" s="3"/>
      <c r="W299" s="3"/>
      <c r="X299" s="3"/>
      <c r="Y299" s="3"/>
      <c r="AA299" s="1353"/>
      <c r="AB299" s="1353"/>
      <c r="AC299" s="1353"/>
      <c r="AD299" s="1353"/>
      <c r="AE299" s="1353"/>
      <c r="AF299" s="1353"/>
      <c r="AG299" s="4"/>
      <c r="AH299" s="4"/>
      <c r="AI299" s="35"/>
      <c r="AJ299" s="35"/>
      <c r="AK299" s="35"/>
      <c r="BN299" s="34"/>
    </row>
    <row r="300" spans="2:66" ht="13.25" customHeight="1">
      <c r="B300" s="3" t="s">
        <v>77</v>
      </c>
      <c r="C300" s="3"/>
      <c r="D300" s="3"/>
      <c r="E300" s="3"/>
      <c r="F300" s="3"/>
      <c r="G300" s="3"/>
      <c r="H300" s="1358" t="s">
        <v>2671</v>
      </c>
      <c r="I300" s="1359"/>
      <c r="J300" s="1359"/>
      <c r="K300" s="1359"/>
      <c r="L300" s="1359"/>
      <c r="M300" s="1359"/>
      <c r="N300" s="1350"/>
      <c r="O300" s="1350"/>
      <c r="P300" s="1350"/>
      <c r="Q300" s="1350"/>
      <c r="R300" s="1350"/>
      <c r="S300" s="3"/>
      <c r="T300" s="3" t="s">
        <v>77</v>
      </c>
      <c r="V300" s="3"/>
      <c r="W300" s="3"/>
      <c r="X300" s="3"/>
      <c r="Y300" s="3"/>
      <c r="AA300" s="1358" t="s">
        <v>2672</v>
      </c>
      <c r="AB300" s="1359"/>
      <c r="AC300" s="1359"/>
      <c r="AD300" s="1359"/>
      <c r="AE300" s="1359"/>
      <c r="AF300" s="1359"/>
      <c r="AG300" s="1350"/>
      <c r="AH300" s="1350"/>
      <c r="AI300" s="1350"/>
      <c r="AJ300" s="1350"/>
      <c r="AK300" s="1350"/>
      <c r="BN300" s="34"/>
    </row>
    <row r="301" spans="2:66" ht="13.25" customHeight="1">
      <c r="BN301" s="34"/>
    </row>
    <row r="302" spans="2:66" ht="13.25" customHeight="1">
      <c r="B302" s="3" t="s">
        <v>78</v>
      </c>
      <c r="C302" s="3"/>
      <c r="D302" s="3"/>
      <c r="E302" s="3"/>
      <c r="F302" s="3"/>
      <c r="H302" s="1349" t="s">
        <v>2660</v>
      </c>
      <c r="I302" s="1350"/>
      <c r="J302" s="1350"/>
      <c r="K302" s="1350"/>
      <c r="L302" s="1350"/>
      <c r="M302" s="1350"/>
      <c r="N302" s="1350"/>
      <c r="O302" s="1350"/>
      <c r="P302" s="1350"/>
      <c r="Q302" s="1350"/>
      <c r="R302" s="1350"/>
      <c r="T302" s="4" t="s">
        <v>908</v>
      </c>
      <c r="V302" s="3"/>
      <c r="W302" s="3"/>
      <c r="X302" s="3"/>
      <c r="Y302" s="3"/>
      <c r="AA302" s="1349" t="s">
        <v>2677</v>
      </c>
      <c r="AB302" s="1350"/>
      <c r="AC302" s="1350"/>
      <c r="AD302" s="1350"/>
      <c r="AE302" s="1350"/>
      <c r="AF302" s="1350"/>
      <c r="AG302" s="1350"/>
      <c r="AH302" s="1350"/>
      <c r="AI302" s="1350"/>
      <c r="AJ302" s="1350"/>
      <c r="AK302" s="1350"/>
      <c r="BN302" s="34"/>
    </row>
    <row r="303" spans="2:66" ht="13.25" customHeight="1">
      <c r="B303" s="3" t="s">
        <v>481</v>
      </c>
      <c r="C303" s="3"/>
      <c r="D303" s="3"/>
      <c r="E303" s="3"/>
      <c r="F303" s="3"/>
      <c r="H303" s="1358" t="s">
        <v>2661</v>
      </c>
      <c r="I303" s="1359"/>
      <c r="J303" s="1359"/>
      <c r="K303" s="1359"/>
      <c r="L303" s="1359"/>
      <c r="M303" s="1359"/>
      <c r="N303" s="1359"/>
      <c r="O303" s="1359"/>
      <c r="P303" s="1359"/>
      <c r="Q303" s="1359"/>
      <c r="R303" s="1359"/>
      <c r="T303" s="3" t="s">
        <v>481</v>
      </c>
      <c r="V303" s="3"/>
      <c r="W303" s="3"/>
      <c r="X303" s="3"/>
      <c r="Y303" s="3"/>
      <c r="AA303" s="1358" t="s">
        <v>2678</v>
      </c>
      <c r="AB303" s="1359"/>
      <c r="AC303" s="1359"/>
      <c r="AD303" s="1359"/>
      <c r="AE303" s="1359"/>
      <c r="AF303" s="1359"/>
      <c r="AG303" s="1359"/>
      <c r="AH303" s="1359"/>
      <c r="AI303" s="1359"/>
      <c r="AJ303" s="1359"/>
      <c r="AK303" s="1359"/>
      <c r="BN303" s="34"/>
    </row>
    <row r="304" spans="2:66" ht="13.25" customHeight="1">
      <c r="B304" s="3" t="s">
        <v>482</v>
      </c>
      <c r="C304" s="3"/>
      <c r="D304" s="3"/>
      <c r="E304" s="3"/>
      <c r="F304" s="3"/>
      <c r="H304" s="1358" t="s">
        <v>2662</v>
      </c>
      <c r="I304" s="1359"/>
      <c r="J304" s="1359"/>
      <c r="K304" s="1359"/>
      <c r="L304" s="1359"/>
      <c r="M304" s="1359"/>
      <c r="N304" s="1359"/>
      <c r="O304" s="1359"/>
      <c r="P304" s="1359"/>
      <c r="Q304" s="1359"/>
      <c r="R304" s="1359"/>
      <c r="T304" s="3" t="s">
        <v>76</v>
      </c>
      <c r="V304" s="3"/>
      <c r="W304" s="3"/>
      <c r="X304" s="3"/>
      <c r="Y304" s="3"/>
      <c r="AA304" s="1358" t="s">
        <v>2679</v>
      </c>
      <c r="AB304" s="1359"/>
      <c r="AC304" s="1359"/>
      <c r="AD304" s="1359"/>
      <c r="AE304" s="1359"/>
      <c r="AF304" s="1359"/>
      <c r="AG304" s="1359"/>
      <c r="AH304" s="1359"/>
      <c r="AI304" s="1359"/>
      <c r="AJ304" s="1359"/>
      <c r="AK304" s="1359"/>
      <c r="BN304" s="34"/>
    </row>
    <row r="305" spans="2:66" ht="13.25" customHeight="1">
      <c r="B305" s="3" t="s">
        <v>88</v>
      </c>
      <c r="C305" s="3"/>
      <c r="D305" s="3"/>
      <c r="E305" s="3"/>
      <c r="F305" s="3"/>
      <c r="H305" s="1358" t="s">
        <v>2663</v>
      </c>
      <c r="I305" s="1359"/>
      <c r="J305" s="1359"/>
      <c r="K305" s="1359"/>
      <c r="L305" s="1359"/>
      <c r="M305" s="1359"/>
      <c r="N305" s="1359"/>
      <c r="O305" s="1359"/>
      <c r="P305" s="1359"/>
      <c r="Q305" s="1359"/>
      <c r="R305" s="1359"/>
      <c r="T305" s="3" t="s">
        <v>88</v>
      </c>
      <c r="V305" s="3"/>
      <c r="W305" s="3"/>
      <c r="X305" s="3"/>
      <c r="Y305" s="3"/>
      <c r="AA305" s="1358" t="s">
        <v>2680</v>
      </c>
      <c r="AB305" s="1359"/>
      <c r="AC305" s="1359"/>
      <c r="AD305" s="1359"/>
      <c r="AE305" s="1359"/>
      <c r="AF305" s="1359"/>
      <c r="AG305" s="1359"/>
      <c r="AH305" s="1359"/>
      <c r="AI305" s="1359"/>
      <c r="AJ305" s="1359"/>
      <c r="AK305" s="1359"/>
      <c r="BN305" s="34"/>
    </row>
    <row r="306" spans="2:66" ht="13.25" customHeight="1">
      <c r="B306" s="3" t="s">
        <v>89</v>
      </c>
      <c r="C306" s="3"/>
      <c r="D306" s="3"/>
      <c r="E306" s="3"/>
      <c r="F306" s="3"/>
      <c r="G306" s="3"/>
      <c r="H306" s="1647" t="s">
        <v>2668</v>
      </c>
      <c r="I306" s="1647"/>
      <c r="J306" s="1647"/>
      <c r="K306" s="1647"/>
      <c r="L306" s="1647"/>
      <c r="M306" s="1647"/>
      <c r="N306" s="4" t="s">
        <v>208</v>
      </c>
      <c r="O306" s="4"/>
      <c r="P306" s="1646"/>
      <c r="Q306" s="1646"/>
      <c r="R306" s="1646"/>
      <c r="S306" s="3"/>
      <c r="T306" s="3" t="s">
        <v>89</v>
      </c>
      <c r="V306" s="3"/>
      <c r="W306" s="3"/>
      <c r="X306" s="3"/>
      <c r="Y306" s="3"/>
      <c r="AA306" s="1647" t="s">
        <v>2681</v>
      </c>
      <c r="AB306" s="1647"/>
      <c r="AC306" s="1647"/>
      <c r="AD306" s="1647"/>
      <c r="AE306" s="1647"/>
      <c r="AF306" s="1647"/>
      <c r="AG306" s="4" t="s">
        <v>208</v>
      </c>
      <c r="AH306" s="4"/>
      <c r="AI306" s="1646"/>
      <c r="AJ306" s="1646"/>
      <c r="AK306" s="1646"/>
      <c r="BN306" s="34"/>
    </row>
    <row r="307" spans="2:66" ht="13.25" customHeight="1">
      <c r="B307" s="3" t="s">
        <v>90</v>
      </c>
      <c r="C307" s="3"/>
      <c r="D307" s="3"/>
      <c r="E307" s="3"/>
      <c r="F307" s="3"/>
      <c r="G307" s="3"/>
      <c r="H307" s="1352" t="s">
        <v>2669</v>
      </c>
      <c r="I307" s="1352"/>
      <c r="J307" s="1352"/>
      <c r="K307" s="1352"/>
      <c r="L307" s="1352"/>
      <c r="M307" s="1352"/>
      <c r="N307" s="4"/>
      <c r="O307" s="4"/>
      <c r="P307" s="35"/>
      <c r="Q307" s="35"/>
      <c r="R307" s="35"/>
      <c r="S307" s="3"/>
      <c r="T307" s="3" t="s">
        <v>90</v>
      </c>
      <c r="V307" s="3"/>
      <c r="W307" s="3"/>
      <c r="X307" s="3"/>
      <c r="Y307" s="3"/>
      <c r="AA307" s="1353"/>
      <c r="AB307" s="1353"/>
      <c r="AC307" s="1353"/>
      <c r="AD307" s="1353"/>
      <c r="AE307" s="1353"/>
      <c r="AF307" s="1353"/>
      <c r="AG307" s="4"/>
      <c r="AH307" s="4"/>
      <c r="AI307" s="35"/>
      <c r="AJ307" s="35"/>
      <c r="AK307" s="35"/>
      <c r="BN307" s="34"/>
    </row>
    <row r="308" spans="2:66" ht="13.25" customHeight="1">
      <c r="B308" s="3" t="s">
        <v>77</v>
      </c>
      <c r="C308" s="3"/>
      <c r="D308" s="3"/>
      <c r="E308" s="3"/>
      <c r="F308" s="3"/>
      <c r="G308" s="3"/>
      <c r="H308" s="1358" t="s">
        <v>2671</v>
      </c>
      <c r="I308" s="1359"/>
      <c r="J308" s="1359"/>
      <c r="K308" s="1359"/>
      <c r="L308" s="1359"/>
      <c r="M308" s="1359"/>
      <c r="N308" s="1350"/>
      <c r="O308" s="1350"/>
      <c r="P308" s="1350"/>
      <c r="Q308" s="1350"/>
      <c r="R308" s="1350"/>
      <c r="S308" s="3"/>
      <c r="T308" s="3" t="s">
        <v>77</v>
      </c>
      <c r="V308" s="3"/>
      <c r="W308" s="3"/>
      <c r="X308" s="3"/>
      <c r="Y308" s="3"/>
      <c r="AA308" s="1358" t="s">
        <v>2682</v>
      </c>
      <c r="AB308" s="1359"/>
      <c r="AC308" s="1359"/>
      <c r="AD308" s="1359"/>
      <c r="AE308" s="1359"/>
      <c r="AF308" s="1359"/>
      <c r="AG308" s="1350"/>
      <c r="AH308" s="1350"/>
      <c r="AI308" s="1350"/>
      <c r="AJ308" s="1350"/>
      <c r="AK308" s="1350"/>
      <c r="BN308" s="34"/>
    </row>
    <row r="309" spans="2:66" ht="13.2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25" customHeight="1">
      <c r="B310" s="4" t="s">
        <v>941</v>
      </c>
      <c r="C310" s="3"/>
      <c r="D310" s="3"/>
      <c r="E310" s="3"/>
      <c r="F310" s="3"/>
      <c r="H310" s="1744" t="s">
        <v>2673</v>
      </c>
      <c r="I310" s="1744"/>
      <c r="J310" s="1744"/>
      <c r="K310" s="1744"/>
      <c r="L310" s="1744"/>
      <c r="M310" s="1744"/>
      <c r="N310" s="1744"/>
      <c r="O310" s="1744"/>
      <c r="P310" s="1744"/>
      <c r="Q310" s="1744"/>
      <c r="R310" s="1744"/>
      <c r="S310" s="3"/>
      <c r="T310" s="3" t="s">
        <v>367</v>
      </c>
      <c r="V310" s="3"/>
      <c r="W310" s="3"/>
      <c r="X310" s="3"/>
      <c r="Y310" s="3"/>
      <c r="AA310" s="1349" t="s">
        <v>2691</v>
      </c>
      <c r="AB310" s="1350"/>
      <c r="AC310" s="1350"/>
      <c r="AD310" s="1350"/>
      <c r="AE310" s="1350"/>
      <c r="AF310" s="1350"/>
      <c r="AG310" s="1350"/>
      <c r="AH310" s="1350"/>
      <c r="AI310" s="1350"/>
      <c r="AJ310" s="1350"/>
      <c r="AK310" s="1350"/>
      <c r="BN310" s="34"/>
    </row>
    <row r="311" spans="2:66" ht="13.25" customHeight="1">
      <c r="B311" s="3" t="s">
        <v>481</v>
      </c>
      <c r="C311" s="3"/>
      <c r="D311" s="3"/>
      <c r="E311" s="3"/>
      <c r="F311" s="3"/>
      <c r="H311" s="1745" t="s">
        <v>2674</v>
      </c>
      <c r="I311" s="1745"/>
      <c r="J311" s="1745"/>
      <c r="K311" s="1745"/>
      <c r="L311" s="1745"/>
      <c r="M311" s="1745"/>
      <c r="N311" s="1745"/>
      <c r="O311" s="1745"/>
      <c r="P311" s="1745"/>
      <c r="Q311" s="1745"/>
      <c r="R311" s="1745"/>
      <c r="S311" s="3"/>
      <c r="T311" s="3" t="s">
        <v>481</v>
      </c>
      <c r="V311" s="3"/>
      <c r="W311" s="3"/>
      <c r="X311" s="3"/>
      <c r="Y311" s="3"/>
      <c r="AA311" s="1359"/>
      <c r="AB311" s="1359"/>
      <c r="AC311" s="1359"/>
      <c r="AD311" s="1359"/>
      <c r="AE311" s="1359"/>
      <c r="AF311" s="1359"/>
      <c r="AG311" s="1359"/>
      <c r="AH311" s="1359"/>
      <c r="AI311" s="1359"/>
      <c r="AJ311" s="1359"/>
      <c r="AK311" s="1359"/>
      <c r="BN311" s="34"/>
    </row>
    <row r="312" spans="2:66" ht="13.25" customHeight="1">
      <c r="B312" s="3" t="s">
        <v>482</v>
      </c>
      <c r="C312" s="3"/>
      <c r="D312" s="3"/>
      <c r="E312" s="3"/>
      <c r="F312" s="3"/>
      <c r="H312" s="1745" t="s">
        <v>2675</v>
      </c>
      <c r="I312" s="1745"/>
      <c r="J312" s="1745"/>
      <c r="K312" s="1745"/>
      <c r="L312" s="1745"/>
      <c r="M312" s="1745"/>
      <c r="N312" s="1745"/>
      <c r="O312" s="1745"/>
      <c r="P312" s="1745"/>
      <c r="Q312" s="1745"/>
      <c r="R312" s="1745"/>
      <c r="S312" s="3"/>
      <c r="T312" s="3" t="s">
        <v>76</v>
      </c>
      <c r="V312" s="3"/>
      <c r="W312" s="3"/>
      <c r="X312" s="3"/>
      <c r="Y312" s="3"/>
      <c r="AA312" s="1359"/>
      <c r="AB312" s="1359"/>
      <c r="AC312" s="1359"/>
      <c r="AD312" s="1359"/>
      <c r="AE312" s="1359"/>
      <c r="AF312" s="1359"/>
      <c r="AG312" s="1359"/>
      <c r="AH312" s="1359"/>
      <c r="AI312" s="1359"/>
      <c r="AJ312" s="1359"/>
      <c r="AK312" s="1359"/>
      <c r="BN312" s="34"/>
    </row>
    <row r="313" spans="2:66" ht="13.25" customHeight="1">
      <c r="B313" s="3" t="s">
        <v>88</v>
      </c>
      <c r="C313" s="3"/>
      <c r="D313" s="3"/>
      <c r="E313" s="3"/>
      <c r="F313" s="3"/>
      <c r="H313" s="1745" t="s">
        <v>2676</v>
      </c>
      <c r="I313" s="1745"/>
      <c r="J313" s="1745"/>
      <c r="K313" s="1745"/>
      <c r="L313" s="1745"/>
      <c r="M313" s="1745"/>
      <c r="N313" s="1745"/>
      <c r="O313" s="1745"/>
      <c r="P313" s="1745"/>
      <c r="Q313" s="1745"/>
      <c r="R313" s="1745"/>
      <c r="S313" s="3"/>
      <c r="T313" s="3" t="s">
        <v>88</v>
      </c>
      <c r="V313" s="3"/>
      <c r="W313" s="3"/>
      <c r="X313" s="3"/>
      <c r="Y313" s="3"/>
      <c r="AA313" s="1359"/>
      <c r="AB313" s="1359"/>
      <c r="AC313" s="1359"/>
      <c r="AD313" s="1359"/>
      <c r="AE313" s="1359"/>
      <c r="AF313" s="1359"/>
      <c r="AG313" s="1359"/>
      <c r="AH313" s="1359"/>
      <c r="AI313" s="1359"/>
      <c r="AJ313" s="1359"/>
      <c r="AK313" s="1359"/>
      <c r="BN313" s="34"/>
    </row>
    <row r="314" spans="2:66" ht="13.25" customHeight="1">
      <c r="B314" s="3" t="s">
        <v>89</v>
      </c>
      <c r="C314" s="3"/>
      <c r="D314" s="3"/>
      <c r="E314" s="3"/>
      <c r="F314" s="3"/>
      <c r="G314" s="3"/>
      <c r="H314" s="1779" t="s">
        <v>2697</v>
      </c>
      <c r="I314" s="1779"/>
      <c r="J314" s="1779"/>
      <c r="K314" s="1779"/>
      <c r="L314" s="1779"/>
      <c r="M314" s="1779"/>
      <c r="N314" s="4" t="s">
        <v>208</v>
      </c>
      <c r="O314" s="4"/>
      <c r="P314" s="1646"/>
      <c r="Q314" s="1646"/>
      <c r="R314" s="1646"/>
      <c r="S314" s="3"/>
      <c r="T314" s="3" t="s">
        <v>89</v>
      </c>
      <c r="V314" s="3"/>
      <c r="W314" s="3"/>
      <c r="X314" s="3"/>
      <c r="Y314" s="3"/>
      <c r="AA314" s="1655"/>
      <c r="AB314" s="1655"/>
      <c r="AC314" s="1655"/>
      <c r="AD314" s="1655"/>
      <c r="AE314" s="1655"/>
      <c r="AF314" s="1655"/>
      <c r="AG314" s="4" t="s">
        <v>208</v>
      </c>
      <c r="AH314" s="4"/>
      <c r="AI314" s="1646"/>
      <c r="AJ314" s="1646"/>
      <c r="AK314" s="1646"/>
      <c r="BN314" s="34"/>
    </row>
    <row r="315" spans="2:66" ht="13.25" customHeight="1">
      <c r="B315" s="3" t="s">
        <v>90</v>
      </c>
      <c r="C315" s="3"/>
      <c r="D315" s="3"/>
      <c r="E315" s="3"/>
      <c r="F315" s="3"/>
      <c r="G315" s="3"/>
      <c r="H315" s="1779"/>
      <c r="I315" s="1779"/>
      <c r="J315" s="1779"/>
      <c r="K315" s="1779"/>
      <c r="L315" s="1779"/>
      <c r="M315" s="1779"/>
      <c r="N315" s="4"/>
      <c r="O315" s="4"/>
      <c r="P315" s="35"/>
      <c r="Q315" s="35"/>
      <c r="R315" s="35"/>
      <c r="S315" s="3"/>
      <c r="T315" s="3" t="s">
        <v>90</v>
      </c>
      <c r="V315" s="3"/>
      <c r="W315" s="3"/>
      <c r="X315" s="3"/>
      <c r="Y315" s="3"/>
      <c r="AA315" s="1353"/>
      <c r="AB315" s="1353"/>
      <c r="AC315" s="1353"/>
      <c r="AD315" s="1353"/>
      <c r="AE315" s="1353"/>
      <c r="AF315" s="1353"/>
      <c r="AG315" s="4"/>
      <c r="AH315" s="4"/>
      <c r="AI315" s="35"/>
      <c r="AJ315" s="35"/>
      <c r="AK315" s="35"/>
      <c r="BN315" s="34"/>
    </row>
    <row r="316" spans="2:66" ht="13.25" customHeight="1">
      <c r="B316" s="3" t="s">
        <v>77</v>
      </c>
      <c r="C316" s="3"/>
      <c r="D316" s="3"/>
      <c r="E316" s="3"/>
      <c r="F316" s="3"/>
      <c r="G316" s="3"/>
      <c r="H316" s="1745" t="s">
        <v>2698</v>
      </c>
      <c r="I316" s="1745"/>
      <c r="J316" s="1745"/>
      <c r="K316" s="1745"/>
      <c r="L316" s="1745"/>
      <c r="M316" s="1745"/>
      <c r="N316" s="1744"/>
      <c r="O316" s="1744"/>
      <c r="P316" s="1744"/>
      <c r="Q316" s="1744"/>
      <c r="R316" s="1744"/>
      <c r="S316" s="3"/>
      <c r="T316" s="3" t="s">
        <v>77</v>
      </c>
      <c r="V316" s="3"/>
      <c r="W316" s="3"/>
      <c r="X316" s="3"/>
      <c r="Y316" s="3"/>
      <c r="AA316" s="1359"/>
      <c r="AB316" s="1359"/>
      <c r="AC316" s="1359"/>
      <c r="AD316" s="1359"/>
      <c r="AE316" s="1359"/>
      <c r="AF316" s="1359"/>
      <c r="AG316" s="1350"/>
      <c r="AH316" s="1350"/>
      <c r="AI316" s="1350"/>
      <c r="AJ316" s="1350"/>
      <c r="AK316" s="1350"/>
      <c r="BN316" s="34"/>
    </row>
    <row r="317" spans="2:66" ht="13.25" customHeight="1">
      <c r="BN317" s="34"/>
    </row>
    <row r="318" spans="2:66" ht="13.25" customHeight="1">
      <c r="B318" s="4" t="s">
        <v>942</v>
      </c>
      <c r="C318" s="3"/>
      <c r="D318" s="3"/>
      <c r="E318" s="3"/>
      <c r="F318" s="3"/>
      <c r="H318" s="1349" t="s">
        <v>2683</v>
      </c>
      <c r="I318" s="1350"/>
      <c r="J318" s="1350"/>
      <c r="K318" s="1350"/>
      <c r="L318" s="1350"/>
      <c r="M318" s="1350"/>
      <c r="N318" s="1350"/>
      <c r="O318" s="1350"/>
      <c r="P318" s="1350"/>
      <c r="Q318" s="1350"/>
      <c r="R318" s="1350"/>
      <c r="T318" s="3" t="s">
        <v>368</v>
      </c>
      <c r="V318" s="3"/>
      <c r="W318" s="3"/>
      <c r="X318" s="3"/>
      <c r="Y318" s="3"/>
      <c r="AA318" s="1349" t="s">
        <v>2687</v>
      </c>
      <c r="AB318" s="1350"/>
      <c r="AC318" s="1350"/>
      <c r="AD318" s="1350"/>
      <c r="AE318" s="1350"/>
      <c r="AF318" s="1350"/>
      <c r="AG318" s="1350"/>
      <c r="AH318" s="1350"/>
      <c r="AI318" s="1350"/>
      <c r="AJ318" s="1350"/>
      <c r="AK318" s="1350"/>
      <c r="BN318" s="34"/>
    </row>
    <row r="319" spans="2:66" ht="13.25" customHeight="1">
      <c r="B319" s="3" t="s">
        <v>481</v>
      </c>
      <c r="C319" s="3"/>
      <c r="D319" s="3"/>
      <c r="E319" s="3"/>
      <c r="F319" s="3"/>
      <c r="H319" s="1645" t="s">
        <v>2684</v>
      </c>
      <c r="I319" s="1359"/>
      <c r="J319" s="1359"/>
      <c r="K319" s="1359"/>
      <c r="L319" s="1359"/>
      <c r="M319" s="1359"/>
      <c r="N319" s="1359"/>
      <c r="O319" s="1359"/>
      <c r="P319" s="1359"/>
      <c r="Q319" s="1359"/>
      <c r="R319" s="1359"/>
      <c r="T319" s="3" t="s">
        <v>481</v>
      </c>
      <c r="V319" s="3"/>
      <c r="W319" s="3"/>
      <c r="X319" s="3"/>
      <c r="Y319" s="3"/>
      <c r="AA319" s="1358" t="s">
        <v>2688</v>
      </c>
      <c r="AB319" s="1359"/>
      <c r="AC319" s="1359"/>
      <c r="AD319" s="1359"/>
      <c r="AE319" s="1359"/>
      <c r="AF319" s="1359"/>
      <c r="AG319" s="1359"/>
      <c r="AH319" s="1359"/>
      <c r="AI319" s="1359"/>
      <c r="AJ319" s="1359"/>
      <c r="AK319" s="1359"/>
      <c r="BN319" s="34"/>
    </row>
    <row r="320" spans="2:66" ht="13.25" customHeight="1">
      <c r="B320" s="3" t="s">
        <v>482</v>
      </c>
      <c r="C320" s="3"/>
      <c r="D320" s="3"/>
      <c r="E320" s="3"/>
      <c r="F320" s="3"/>
      <c r="H320" s="1358" t="s">
        <v>2685</v>
      </c>
      <c r="I320" s="1359"/>
      <c r="J320" s="1359"/>
      <c r="K320" s="1359"/>
      <c r="L320" s="1359"/>
      <c r="M320" s="1359"/>
      <c r="N320" s="1359"/>
      <c r="O320" s="1359"/>
      <c r="P320" s="1359"/>
      <c r="Q320" s="1359"/>
      <c r="R320" s="1359"/>
      <c r="T320" s="3" t="s">
        <v>76</v>
      </c>
      <c r="V320" s="3"/>
      <c r="W320" s="3"/>
      <c r="X320" s="3"/>
      <c r="Y320" s="3"/>
      <c r="AA320" s="1358" t="s">
        <v>2689</v>
      </c>
      <c r="AB320" s="1359"/>
      <c r="AC320" s="1359"/>
      <c r="AD320" s="1359"/>
      <c r="AE320" s="1359"/>
      <c r="AF320" s="1359"/>
      <c r="AG320" s="1359"/>
      <c r="AH320" s="1359"/>
      <c r="AI320" s="1359"/>
      <c r="AJ320" s="1359"/>
      <c r="AK320" s="1359"/>
      <c r="BN320" s="34"/>
    </row>
    <row r="321" spans="2:66" ht="13.25" customHeight="1">
      <c r="B321" s="3" t="s">
        <v>88</v>
      </c>
      <c r="C321" s="3"/>
      <c r="D321" s="3"/>
      <c r="E321" s="3"/>
      <c r="F321" s="3"/>
      <c r="H321" s="1358" t="s">
        <v>2686</v>
      </c>
      <c r="I321" s="1359"/>
      <c r="J321" s="1359"/>
      <c r="K321" s="1359"/>
      <c r="L321" s="1359"/>
      <c r="M321" s="1359"/>
      <c r="N321" s="1359"/>
      <c r="O321" s="1359"/>
      <c r="P321" s="1359"/>
      <c r="Q321" s="1359"/>
      <c r="R321" s="1359"/>
      <c r="T321" s="3" t="s">
        <v>88</v>
      </c>
      <c r="V321" s="3"/>
      <c r="W321" s="3"/>
      <c r="X321" s="3"/>
      <c r="Y321" s="3"/>
      <c r="AA321" s="1358" t="s">
        <v>2690</v>
      </c>
      <c r="AB321" s="1359"/>
      <c r="AC321" s="1359"/>
      <c r="AD321" s="1359"/>
      <c r="AE321" s="1359"/>
      <c r="AF321" s="1359"/>
      <c r="AG321" s="1359"/>
      <c r="AH321" s="1359"/>
      <c r="AI321" s="1359"/>
      <c r="AJ321" s="1359"/>
      <c r="AK321" s="1359"/>
      <c r="BN321" s="34"/>
    </row>
    <row r="322" spans="2:66" ht="13.25" customHeight="1">
      <c r="B322" s="3" t="s">
        <v>89</v>
      </c>
      <c r="C322" s="3"/>
      <c r="D322" s="3"/>
      <c r="E322" s="3"/>
      <c r="F322" s="3"/>
      <c r="G322" s="3"/>
      <c r="H322" s="1647" t="s">
        <v>2694</v>
      </c>
      <c r="I322" s="1647"/>
      <c r="J322" s="1647"/>
      <c r="K322" s="1647"/>
      <c r="L322" s="1647"/>
      <c r="M322" s="1647"/>
      <c r="N322" s="4" t="s">
        <v>208</v>
      </c>
      <c r="O322" s="4"/>
      <c r="P322" s="1646"/>
      <c r="Q322" s="1646"/>
      <c r="R322" s="1646"/>
      <c r="S322" s="3"/>
      <c r="T322" s="3" t="s">
        <v>89</v>
      </c>
      <c r="V322" s="3"/>
      <c r="W322" s="3"/>
      <c r="X322" s="3"/>
      <c r="Y322" s="3"/>
      <c r="AA322" s="1647" t="s">
        <v>2692</v>
      </c>
      <c r="AB322" s="1647"/>
      <c r="AC322" s="1647"/>
      <c r="AD322" s="1647"/>
      <c r="AE322" s="1647"/>
      <c r="AF322" s="1647"/>
      <c r="AG322" s="4" t="s">
        <v>208</v>
      </c>
      <c r="AH322" s="4"/>
      <c r="AI322" s="1646"/>
      <c r="AJ322" s="1646"/>
      <c r="AK322" s="1646"/>
      <c r="BN322" s="34"/>
    </row>
    <row r="323" spans="2:66" ht="13.25" customHeight="1">
      <c r="B323" s="3" t="s">
        <v>90</v>
      </c>
      <c r="C323" s="3"/>
      <c r="D323" s="3"/>
      <c r="E323" s="3"/>
      <c r="F323" s="3"/>
      <c r="G323" s="3"/>
      <c r="H323" s="1353"/>
      <c r="I323" s="1353"/>
      <c r="J323" s="1353"/>
      <c r="K323" s="1353"/>
      <c r="L323" s="1353"/>
      <c r="M323" s="1353"/>
      <c r="N323" s="4"/>
      <c r="O323" s="4"/>
      <c r="P323" s="35"/>
      <c r="Q323" s="35"/>
      <c r="R323" s="35"/>
      <c r="S323" s="3"/>
      <c r="T323" s="3" t="s">
        <v>90</v>
      </c>
      <c r="V323" s="3"/>
      <c r="W323" s="3"/>
      <c r="X323" s="3"/>
      <c r="Y323" s="3"/>
      <c r="AA323" s="1352" t="s">
        <v>2693</v>
      </c>
      <c r="AB323" s="1352"/>
      <c r="AC323" s="1352"/>
      <c r="AD323" s="1352"/>
      <c r="AE323" s="1352"/>
      <c r="AF323" s="1352"/>
      <c r="AG323" s="4"/>
      <c r="AH323" s="4"/>
      <c r="AI323" s="35"/>
      <c r="AJ323" s="35"/>
      <c r="AK323" s="35"/>
    </row>
    <row r="324" spans="2:66" ht="13.25" customHeight="1">
      <c r="B324" s="3" t="s">
        <v>77</v>
      </c>
      <c r="C324" s="3"/>
      <c r="D324" s="3"/>
      <c r="E324" s="3"/>
      <c r="F324" s="3"/>
      <c r="G324" s="3"/>
      <c r="H324" s="1358" t="s">
        <v>2695</v>
      </c>
      <c r="I324" s="1359"/>
      <c r="J324" s="1359"/>
      <c r="K324" s="1359"/>
      <c r="L324" s="1359"/>
      <c r="M324" s="1359"/>
      <c r="N324" s="1350"/>
      <c r="O324" s="1350"/>
      <c r="P324" s="1350"/>
      <c r="Q324" s="1350"/>
      <c r="R324" s="1350"/>
      <c r="S324" s="3"/>
      <c r="T324" s="3" t="s">
        <v>77</v>
      </c>
      <c r="V324" s="3"/>
      <c r="W324" s="3"/>
      <c r="X324" s="3"/>
      <c r="Y324" s="3"/>
      <c r="AA324" s="1358" t="s">
        <v>2696</v>
      </c>
      <c r="AB324" s="1359"/>
      <c r="AC324" s="1359"/>
      <c r="AD324" s="1359"/>
      <c r="AE324" s="1359"/>
      <c r="AF324" s="1359"/>
      <c r="AG324" s="1350"/>
      <c r="AH324" s="1350"/>
      <c r="AI324" s="1350"/>
      <c r="AJ324" s="1350"/>
      <c r="AK324" s="1350"/>
    </row>
    <row r="325" spans="2:66" ht="13.25" customHeight="1">
      <c r="B325" s="3"/>
      <c r="C325" s="3"/>
      <c r="D325" s="3"/>
      <c r="E325" s="3"/>
      <c r="F325" s="3"/>
      <c r="G325" s="3"/>
      <c r="P325" s="163"/>
      <c r="Q325" s="163"/>
      <c r="R325" s="163"/>
      <c r="S325" s="163"/>
      <c r="T325" s="163"/>
      <c r="U325" s="163"/>
      <c r="V325" s="4"/>
      <c r="W325" s="4"/>
      <c r="X325" s="35"/>
      <c r="Y325" s="35"/>
      <c r="Z325" s="35"/>
    </row>
    <row r="326" spans="2:66" ht="13.25" customHeight="1">
      <c r="B326" s="3" t="s">
        <v>369</v>
      </c>
      <c r="C326" s="3"/>
      <c r="D326" s="3"/>
      <c r="E326" s="3"/>
      <c r="F326" s="3"/>
      <c r="H326" s="1349" t="s">
        <v>2627</v>
      </c>
      <c r="I326" s="1350"/>
      <c r="J326" s="1350"/>
      <c r="K326" s="1350"/>
      <c r="L326" s="1350"/>
      <c r="M326" s="1350"/>
      <c r="N326" s="1350"/>
      <c r="O326" s="1350"/>
      <c r="P326" s="1350"/>
      <c r="Q326" s="1350"/>
      <c r="R326" s="1350"/>
      <c r="T326" s="3" t="s">
        <v>370</v>
      </c>
      <c r="V326" s="3"/>
      <c r="W326" s="3"/>
      <c r="X326" s="3"/>
      <c r="Y326" s="3"/>
      <c r="AA326" s="1349" t="s">
        <v>2627</v>
      </c>
      <c r="AB326" s="1350"/>
      <c r="AC326" s="1350"/>
      <c r="AD326" s="1350"/>
      <c r="AE326" s="1350"/>
      <c r="AF326" s="1350"/>
      <c r="AG326" s="1350"/>
      <c r="AH326" s="1350"/>
      <c r="AI326" s="1350"/>
      <c r="AJ326" s="1350"/>
      <c r="AK326" s="1350"/>
    </row>
    <row r="327" spans="2:66" ht="13.25" customHeight="1">
      <c r="B327" s="3" t="s">
        <v>481</v>
      </c>
      <c r="C327" s="3"/>
      <c r="D327" s="3"/>
      <c r="E327" s="3"/>
      <c r="F327" s="3"/>
      <c r="H327" s="1359"/>
      <c r="I327" s="1359"/>
      <c r="J327" s="1359"/>
      <c r="K327" s="1359"/>
      <c r="L327" s="1359"/>
      <c r="M327" s="1359"/>
      <c r="N327" s="1359"/>
      <c r="O327" s="1359"/>
      <c r="P327" s="1359"/>
      <c r="Q327" s="1359"/>
      <c r="R327" s="1359"/>
      <c r="T327" s="3" t="s">
        <v>481</v>
      </c>
      <c r="V327" s="3"/>
      <c r="W327" s="3"/>
      <c r="X327" s="3"/>
      <c r="Y327" s="3"/>
      <c r="AA327" s="1359"/>
      <c r="AB327" s="1359"/>
      <c r="AC327" s="1359"/>
      <c r="AD327" s="1359"/>
      <c r="AE327" s="1359"/>
      <c r="AF327" s="1359"/>
      <c r="AG327" s="1359"/>
      <c r="AH327" s="1359"/>
      <c r="AI327" s="1359"/>
      <c r="AJ327" s="1359"/>
      <c r="AK327" s="1359"/>
    </row>
    <row r="328" spans="2:66" ht="13.25" customHeight="1">
      <c r="B328" s="3" t="s">
        <v>482</v>
      </c>
      <c r="C328" s="3"/>
      <c r="D328" s="3"/>
      <c r="E328" s="3"/>
      <c r="F328" s="3"/>
      <c r="H328" s="1359"/>
      <c r="I328" s="1359"/>
      <c r="J328" s="1359"/>
      <c r="K328" s="1359"/>
      <c r="L328" s="1359"/>
      <c r="M328" s="1359"/>
      <c r="N328" s="1359"/>
      <c r="O328" s="1359"/>
      <c r="P328" s="1359"/>
      <c r="Q328" s="1359"/>
      <c r="R328" s="1359"/>
      <c r="T328" s="3" t="s">
        <v>76</v>
      </c>
      <c r="V328" s="3"/>
      <c r="W328" s="3"/>
      <c r="X328" s="3"/>
      <c r="Y328" s="3"/>
      <c r="AA328" s="1359"/>
      <c r="AB328" s="1359"/>
      <c r="AC328" s="1359"/>
      <c r="AD328" s="1359"/>
      <c r="AE328" s="1359"/>
      <c r="AF328" s="1359"/>
      <c r="AG328" s="1359"/>
      <c r="AH328" s="1359"/>
      <c r="AI328" s="1359"/>
      <c r="AJ328" s="1359"/>
      <c r="AK328" s="1359"/>
    </row>
    <row r="329" spans="2:66" ht="13.25" customHeight="1">
      <c r="B329" s="3" t="s">
        <v>88</v>
      </c>
      <c r="C329" s="3"/>
      <c r="D329" s="3"/>
      <c r="E329" s="3"/>
      <c r="F329" s="3"/>
      <c r="H329" s="1359"/>
      <c r="I329" s="1359"/>
      <c r="J329" s="1359"/>
      <c r="K329" s="1359"/>
      <c r="L329" s="1359"/>
      <c r="M329" s="1359"/>
      <c r="N329" s="1359"/>
      <c r="O329" s="1359"/>
      <c r="P329" s="1359"/>
      <c r="Q329" s="1359"/>
      <c r="R329" s="1359"/>
      <c r="T329" s="3" t="s">
        <v>88</v>
      </c>
      <c r="V329" s="3"/>
      <c r="W329" s="3"/>
      <c r="X329" s="3"/>
      <c r="Y329" s="3"/>
      <c r="AA329" s="1359"/>
      <c r="AB329" s="1359"/>
      <c r="AC329" s="1359"/>
      <c r="AD329" s="1359"/>
      <c r="AE329" s="1359"/>
      <c r="AF329" s="1359"/>
      <c r="AG329" s="1359"/>
      <c r="AH329" s="1359"/>
      <c r="AI329" s="1359"/>
      <c r="AJ329" s="1359"/>
      <c r="AK329" s="1359"/>
    </row>
    <row r="330" spans="2:66" ht="13.25" customHeight="1">
      <c r="B330" s="3" t="s">
        <v>89</v>
      </c>
      <c r="C330" s="3"/>
      <c r="D330" s="3"/>
      <c r="E330" s="3"/>
      <c r="F330" s="3"/>
      <c r="G330" s="3"/>
      <c r="H330" s="1655"/>
      <c r="I330" s="1655"/>
      <c r="J330" s="1655"/>
      <c r="K330" s="1655"/>
      <c r="L330" s="1655"/>
      <c r="M330" s="1655"/>
      <c r="N330" s="4" t="s">
        <v>208</v>
      </c>
      <c r="O330" s="4"/>
      <c r="P330" s="1646"/>
      <c r="Q330" s="1646"/>
      <c r="R330" s="1646"/>
      <c r="S330" s="3"/>
      <c r="T330" s="3" t="s">
        <v>89</v>
      </c>
      <c r="V330" s="3"/>
      <c r="W330" s="3"/>
      <c r="X330" s="3"/>
      <c r="Y330" s="3"/>
      <c r="AA330" s="1655"/>
      <c r="AB330" s="1655"/>
      <c r="AC330" s="1655"/>
      <c r="AD330" s="1655"/>
      <c r="AE330" s="1655"/>
      <c r="AF330" s="1655"/>
      <c r="AG330" s="4" t="s">
        <v>208</v>
      </c>
      <c r="AH330" s="4"/>
      <c r="AI330" s="1646"/>
      <c r="AJ330" s="1646"/>
      <c r="AK330" s="1646"/>
    </row>
    <row r="331" spans="2:66" ht="13.25" customHeight="1">
      <c r="B331" s="3" t="s">
        <v>90</v>
      </c>
      <c r="C331" s="3"/>
      <c r="D331" s="3"/>
      <c r="E331" s="3"/>
      <c r="F331" s="3"/>
      <c r="G331" s="3"/>
      <c r="H331" s="1353"/>
      <c r="I331" s="1353"/>
      <c r="J331" s="1353"/>
      <c r="K331" s="1353"/>
      <c r="L331" s="1353"/>
      <c r="M331" s="1353"/>
      <c r="N331" s="4"/>
      <c r="O331" s="4"/>
      <c r="P331" s="35"/>
      <c r="Q331" s="35"/>
      <c r="R331" s="35"/>
      <c r="S331" s="3"/>
      <c r="T331" s="3" t="s">
        <v>90</v>
      </c>
      <c r="V331" s="3"/>
      <c r="W331" s="3"/>
      <c r="X331" s="3"/>
      <c r="Y331" s="3"/>
      <c r="AA331" s="1353"/>
      <c r="AB331" s="1353"/>
      <c r="AC331" s="1353"/>
      <c r="AD331" s="1353"/>
      <c r="AE331" s="1353"/>
      <c r="AF331" s="1353"/>
      <c r="AG331" s="4"/>
      <c r="AH331" s="4"/>
      <c r="AI331" s="35"/>
      <c r="AJ331" s="35"/>
      <c r="AK331" s="35"/>
    </row>
    <row r="332" spans="2:66" ht="13.25" customHeight="1">
      <c r="B332" s="3" t="s">
        <v>77</v>
      </c>
      <c r="C332" s="3"/>
      <c r="D332" s="3"/>
      <c r="E332" s="3"/>
      <c r="F332" s="3"/>
      <c r="G332" s="3"/>
      <c r="H332" s="1359"/>
      <c r="I332" s="1359"/>
      <c r="J332" s="1359"/>
      <c r="K332" s="1359"/>
      <c r="L332" s="1359"/>
      <c r="M332" s="1359"/>
      <c r="N332" s="1350"/>
      <c r="O332" s="1350"/>
      <c r="P332" s="1350"/>
      <c r="Q332" s="1350"/>
      <c r="R332" s="1350"/>
      <c r="S332" s="3"/>
      <c r="T332" s="3" t="s">
        <v>77</v>
      </c>
      <c r="V332" s="3"/>
      <c r="W332" s="3"/>
      <c r="X332" s="3"/>
      <c r="Y332" s="3"/>
      <c r="AA332" s="1359"/>
      <c r="AB332" s="1359"/>
      <c r="AC332" s="1359"/>
      <c r="AD332" s="1359"/>
      <c r="AE332" s="1359"/>
      <c r="AF332" s="1359"/>
      <c r="AG332" s="1350"/>
      <c r="AH332" s="1350"/>
      <c r="AI332" s="1350"/>
      <c r="AJ332" s="1350"/>
      <c r="AK332" s="1350"/>
    </row>
    <row r="333" spans="2:66" ht="13.25" customHeight="1">
      <c r="B333" s="3"/>
      <c r="C333" s="3"/>
      <c r="D333" s="3"/>
      <c r="E333" s="3"/>
      <c r="F333" s="3"/>
      <c r="G333" s="3"/>
      <c r="P333" s="163"/>
      <c r="Q333" s="163"/>
      <c r="R333" s="163"/>
      <c r="S333" s="163"/>
      <c r="T333" s="163"/>
      <c r="U333" s="163"/>
      <c r="V333" s="4"/>
      <c r="W333" s="4"/>
      <c r="X333" s="35"/>
      <c r="Y333" s="35"/>
      <c r="Z333" s="35"/>
    </row>
    <row r="334" spans="2:66" ht="13.25" customHeight="1">
      <c r="B334" s="3" t="s">
        <v>331</v>
      </c>
      <c r="C334" s="3"/>
      <c r="D334" s="3"/>
      <c r="E334" s="3"/>
      <c r="F334" s="3"/>
      <c r="H334" s="1349" t="s">
        <v>2699</v>
      </c>
      <c r="I334" s="1350"/>
      <c r="J334" s="1350"/>
      <c r="K334" s="1350"/>
      <c r="L334" s="1350"/>
      <c r="M334" s="1350"/>
      <c r="N334" s="1350"/>
      <c r="O334" s="1350"/>
      <c r="P334" s="1350"/>
      <c r="Q334" s="1350"/>
      <c r="R334" s="1350"/>
      <c r="T334" s="217" t="s">
        <v>917</v>
      </c>
      <c r="V334" s="3"/>
      <c r="W334" s="3"/>
      <c r="X334" s="3"/>
      <c r="Y334" s="3"/>
      <c r="AA334" s="1744" t="s">
        <v>2706</v>
      </c>
      <c r="AB334" s="1744"/>
      <c r="AC334" s="1744"/>
      <c r="AD334" s="1744"/>
      <c r="AE334" s="1744"/>
      <c r="AF334" s="1744"/>
      <c r="AG334" s="1744"/>
      <c r="AH334" s="1744"/>
      <c r="AI334" s="1744"/>
      <c r="AJ334" s="1744"/>
      <c r="AK334" s="1744"/>
    </row>
    <row r="335" spans="2:66" ht="13.25" customHeight="1">
      <c r="B335" s="3" t="s">
        <v>481</v>
      </c>
      <c r="C335" s="3"/>
      <c r="D335" s="3"/>
      <c r="E335" s="3"/>
      <c r="F335" s="3"/>
      <c r="H335" s="1358" t="s">
        <v>2700</v>
      </c>
      <c r="I335" s="1359"/>
      <c r="J335" s="1359"/>
      <c r="K335" s="1359"/>
      <c r="L335" s="1359"/>
      <c r="M335" s="1359"/>
      <c r="N335" s="1359"/>
      <c r="O335" s="1359"/>
      <c r="P335" s="1359"/>
      <c r="Q335" s="1359"/>
      <c r="R335" s="1359"/>
      <c r="T335" s="3" t="s">
        <v>481</v>
      </c>
      <c r="V335" s="3"/>
      <c r="W335" s="3"/>
      <c r="X335" s="3"/>
      <c r="Y335" s="3"/>
      <c r="AA335" s="1745" t="s">
        <v>2639</v>
      </c>
      <c r="AB335" s="1745"/>
      <c r="AC335" s="1745"/>
      <c r="AD335" s="1745"/>
      <c r="AE335" s="1745"/>
      <c r="AF335" s="1745"/>
      <c r="AG335" s="1745"/>
      <c r="AH335" s="1745"/>
      <c r="AI335" s="1745"/>
      <c r="AJ335" s="1745"/>
      <c r="AK335" s="1745"/>
    </row>
    <row r="336" spans="2:66" ht="13.25" customHeight="1">
      <c r="B336" s="3" t="s">
        <v>76</v>
      </c>
      <c r="C336" s="3"/>
      <c r="D336" s="3"/>
      <c r="E336" s="3"/>
      <c r="F336" s="3"/>
      <c r="H336" s="1358" t="s">
        <v>2701</v>
      </c>
      <c r="I336" s="1359"/>
      <c r="J336" s="1359"/>
      <c r="K336" s="1359"/>
      <c r="L336" s="1359"/>
      <c r="M336" s="1359"/>
      <c r="N336" s="1359"/>
      <c r="O336" s="1359"/>
      <c r="P336" s="1359"/>
      <c r="Q336" s="1359"/>
      <c r="R336" s="1359"/>
      <c r="T336" s="3" t="s">
        <v>76</v>
      </c>
      <c r="V336" s="3"/>
      <c r="W336" s="3"/>
      <c r="X336" s="3"/>
      <c r="Y336" s="3"/>
      <c r="AA336" s="1745" t="s">
        <v>2653</v>
      </c>
      <c r="AB336" s="1745"/>
      <c r="AC336" s="1745"/>
      <c r="AD336" s="1745"/>
      <c r="AE336" s="1745"/>
      <c r="AF336" s="1745"/>
      <c r="AG336" s="1745"/>
      <c r="AH336" s="1745"/>
      <c r="AI336" s="1745"/>
      <c r="AJ336" s="1745"/>
      <c r="AK336" s="1745"/>
    </row>
    <row r="337" spans="1:66" ht="13.25" customHeight="1">
      <c r="B337" s="3" t="s">
        <v>88</v>
      </c>
      <c r="C337" s="3"/>
      <c r="D337" s="3"/>
      <c r="E337" s="3"/>
      <c r="F337" s="3"/>
      <c r="G337" s="3"/>
      <c r="H337" s="1358" t="s">
        <v>2702</v>
      </c>
      <c r="I337" s="1359"/>
      <c r="J337" s="1359"/>
      <c r="K337" s="1359"/>
      <c r="L337" s="1359"/>
      <c r="M337" s="1359"/>
      <c r="N337" s="1359"/>
      <c r="O337" s="1359"/>
      <c r="P337" s="1359"/>
      <c r="Q337" s="1359"/>
      <c r="R337" s="1359"/>
      <c r="T337" s="3" t="s">
        <v>88</v>
      </c>
      <c r="V337" s="3"/>
      <c r="W337" s="3"/>
      <c r="X337" s="3"/>
      <c r="Y337" s="3"/>
      <c r="AA337" s="1358" t="s">
        <v>2707</v>
      </c>
      <c r="AB337" s="1359"/>
      <c r="AC337" s="1359"/>
      <c r="AD337" s="1359"/>
      <c r="AE337" s="1359"/>
      <c r="AF337" s="1359"/>
      <c r="AG337" s="1359"/>
      <c r="AH337" s="1359"/>
      <c r="AI337" s="1359"/>
      <c r="AJ337" s="1359"/>
      <c r="AK337" s="1359"/>
    </row>
    <row r="338" spans="1:66" ht="13.25" customHeight="1">
      <c r="B338" s="3" t="s">
        <v>89</v>
      </c>
      <c r="C338" s="3"/>
      <c r="D338" s="3"/>
      <c r="E338" s="3"/>
      <c r="F338" s="3"/>
      <c r="G338" s="3"/>
      <c r="H338" s="1647" t="s">
        <v>2703</v>
      </c>
      <c r="I338" s="1647"/>
      <c r="J338" s="1647"/>
      <c r="K338" s="1647"/>
      <c r="L338" s="1647"/>
      <c r="M338" s="1647"/>
      <c r="N338" s="4" t="s">
        <v>208</v>
      </c>
      <c r="O338" s="4"/>
      <c r="P338" s="1646"/>
      <c r="Q338" s="1646"/>
      <c r="R338" s="1646"/>
      <c r="S338" s="3"/>
      <c r="T338" s="3" t="s">
        <v>89</v>
      </c>
      <c r="V338" s="3"/>
      <c r="W338" s="3"/>
      <c r="X338" s="3"/>
      <c r="Y338" s="3"/>
      <c r="AA338" s="1647" t="s">
        <v>2708</v>
      </c>
      <c r="AB338" s="1647"/>
      <c r="AC338" s="1647"/>
      <c r="AD338" s="1647"/>
      <c r="AE338" s="1647"/>
      <c r="AF338" s="1647"/>
      <c r="AG338" s="4" t="s">
        <v>208</v>
      </c>
      <c r="AH338" s="4"/>
      <c r="AI338" s="1646"/>
      <c r="AJ338" s="1646"/>
      <c r="AK338" s="1646"/>
    </row>
    <row r="339" spans="1:66" ht="13.25" customHeight="1">
      <c r="B339" s="3" t="s">
        <v>90</v>
      </c>
      <c r="C339" s="3"/>
      <c r="D339" s="3"/>
      <c r="E339" s="3"/>
      <c r="F339" s="3"/>
      <c r="G339" s="3"/>
      <c r="H339" s="1352" t="s">
        <v>2704</v>
      </c>
      <c r="I339" s="1352"/>
      <c r="J339" s="1352"/>
      <c r="K339" s="1352"/>
      <c r="L339" s="1352"/>
      <c r="M339" s="1352"/>
      <c r="N339" s="4"/>
      <c r="O339" s="4"/>
      <c r="P339" s="35"/>
      <c r="Q339" s="35"/>
      <c r="R339" s="35"/>
      <c r="S339" s="3"/>
      <c r="T339" s="3" t="s">
        <v>90</v>
      </c>
      <c r="V339" s="3"/>
      <c r="W339" s="3"/>
      <c r="X339" s="3"/>
      <c r="Y339" s="3"/>
      <c r="AA339" s="1353"/>
      <c r="AB339" s="1353"/>
      <c r="AC339" s="1353"/>
      <c r="AD339" s="1353"/>
      <c r="AE339" s="1353"/>
      <c r="AF339" s="1353"/>
      <c r="AG339" s="4"/>
      <c r="AH339" s="4"/>
      <c r="AI339" s="35"/>
      <c r="AJ339" s="35"/>
      <c r="AK339" s="35"/>
    </row>
    <row r="340" spans="1:66" ht="13.25" customHeight="1">
      <c r="B340" s="3" t="s">
        <v>77</v>
      </c>
      <c r="C340" s="3"/>
      <c r="D340" s="3"/>
      <c r="E340" s="3"/>
      <c r="F340" s="3"/>
      <c r="G340" s="3"/>
      <c r="H340" s="1358" t="s">
        <v>2705</v>
      </c>
      <c r="I340" s="1359"/>
      <c r="J340" s="1359"/>
      <c r="K340" s="1359"/>
      <c r="L340" s="1359"/>
      <c r="M340" s="1359"/>
      <c r="N340" s="1350"/>
      <c r="O340" s="1350"/>
      <c r="P340" s="1350"/>
      <c r="Q340" s="1350"/>
      <c r="R340" s="1350"/>
      <c r="S340" s="3"/>
      <c r="T340" s="3" t="s">
        <v>77</v>
      </c>
      <c r="V340" s="3"/>
      <c r="W340" s="3"/>
      <c r="X340" s="3"/>
      <c r="Y340" s="3"/>
      <c r="AA340" s="1358" t="s">
        <v>2709</v>
      </c>
      <c r="AB340" s="1359"/>
      <c r="AC340" s="1359"/>
      <c r="AD340" s="1359"/>
      <c r="AE340" s="1359"/>
      <c r="AF340" s="1359"/>
      <c r="AG340" s="1350"/>
      <c r="AH340" s="1350"/>
      <c r="AI340" s="1350"/>
      <c r="AJ340" s="1350"/>
      <c r="AK340" s="1350"/>
    </row>
    <row r="341" spans="1:66" ht="13.2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5" customHeight="1">
      <c r="B342" s="3"/>
      <c r="C342" s="4"/>
      <c r="D342" s="4"/>
      <c r="E342" s="4"/>
      <c r="F342" s="4"/>
      <c r="I342" s="217" t="s">
        <v>918</v>
      </c>
      <c r="P342" s="1349" t="s">
        <v>2627</v>
      </c>
      <c r="Q342" s="1350"/>
      <c r="R342" s="1350"/>
      <c r="S342" s="1350"/>
      <c r="T342" s="1350"/>
      <c r="U342" s="1350"/>
      <c r="V342" s="1350"/>
      <c r="W342" s="1350"/>
      <c r="X342" s="1350"/>
      <c r="Y342" s="1350"/>
      <c r="Z342" s="1350"/>
      <c r="AA342" s="1350"/>
      <c r="AB342" s="1350"/>
      <c r="AC342" s="1350"/>
      <c r="AD342" s="1350"/>
      <c r="AE342" s="1350"/>
      <c r="BN342" t="s">
        <v>601</v>
      </c>
    </row>
    <row r="343" spans="1:66" ht="13.25"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679</v>
      </c>
    </row>
    <row r="344" spans="1:66" ht="13.25"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3.25"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3.25" customHeight="1">
      <c r="B346" s="4"/>
      <c r="C346" s="4"/>
      <c r="D346" s="4"/>
      <c r="E346" s="4"/>
      <c r="F346" s="4"/>
      <c r="G346" s="4"/>
      <c r="H346" s="315"/>
      <c r="I346" s="4" t="s">
        <v>89</v>
      </c>
      <c r="P346" s="1353"/>
      <c r="Q346" s="1353"/>
      <c r="R346" s="1353"/>
      <c r="S346" s="1353"/>
      <c r="T346" s="1353"/>
      <c r="U346" s="1353"/>
      <c r="V346" s="1353"/>
      <c r="W346" s="1353"/>
      <c r="X346" s="1353"/>
      <c r="Y346" s="1353"/>
      <c r="Z346" s="1353"/>
      <c r="AA346" s="4" t="s">
        <v>208</v>
      </c>
      <c r="AB346" s="4"/>
      <c r="AC346" s="1347"/>
      <c r="AD346" s="1347"/>
      <c r="AE346" s="1347"/>
      <c r="AF346" s="315"/>
      <c r="AG346" s="4"/>
      <c r="AH346" s="4"/>
      <c r="AI346" s="4"/>
      <c r="AJ346" s="4"/>
      <c r="AK346" s="4"/>
    </row>
    <row r="347" spans="1:66" ht="13.25" customHeight="1">
      <c r="B347" s="4"/>
      <c r="C347" s="4"/>
      <c r="D347" s="4"/>
      <c r="E347" s="4"/>
      <c r="F347" s="4"/>
      <c r="G347" s="4"/>
      <c r="H347" s="315"/>
      <c r="I347" s="4" t="s">
        <v>90</v>
      </c>
      <c r="P347" s="1353"/>
      <c r="Q347" s="1353"/>
      <c r="R347" s="1353"/>
      <c r="S347" s="1353"/>
      <c r="T347" s="1353"/>
      <c r="U347" s="1353"/>
      <c r="V347" s="1353"/>
      <c r="W347" s="1353"/>
      <c r="X347" s="1353"/>
      <c r="Y347" s="1353"/>
      <c r="Z347" s="1353"/>
      <c r="AF347" s="315"/>
      <c r="AG347" s="4"/>
      <c r="AH347" s="4"/>
      <c r="AI347" s="35"/>
      <c r="AJ347" s="35"/>
      <c r="AK347" s="35"/>
    </row>
    <row r="348" spans="1:66" ht="13.25" customHeight="1">
      <c r="B348" s="4"/>
      <c r="C348" s="4"/>
      <c r="D348" s="4"/>
      <c r="E348" s="4"/>
      <c r="F348" s="4"/>
      <c r="G348" s="4"/>
      <c r="I348" s="4" t="s">
        <v>77</v>
      </c>
      <c r="P348" s="1350"/>
      <c r="Q348" s="1350"/>
      <c r="R348" s="1350"/>
      <c r="S348" s="1350"/>
      <c r="T348" s="1350"/>
      <c r="U348" s="1350"/>
      <c r="V348" s="1350"/>
      <c r="W348" s="1350"/>
      <c r="X348" s="1350"/>
      <c r="Y348" s="1350"/>
      <c r="Z348" s="1350"/>
      <c r="AA348" s="1350"/>
      <c r="AB348" s="1350"/>
      <c r="AC348" s="1350"/>
      <c r="AD348" s="1350"/>
      <c r="AE348" s="1350"/>
    </row>
    <row r="349" spans="1:66" ht="13.25" customHeight="1">
      <c r="T349" s="8"/>
      <c r="U349" s="8"/>
      <c r="V349" s="8"/>
      <c r="W349" s="8"/>
      <c r="X349" s="8"/>
      <c r="Y349" s="8"/>
      <c r="Z349" s="8"/>
    </row>
    <row r="350" spans="1:66" ht="13.25" customHeight="1">
      <c r="A350" s="1639" t="s">
        <v>552</v>
      </c>
      <c r="B350" s="1639"/>
      <c r="C350" s="1639"/>
      <c r="D350" s="1639"/>
      <c r="E350" s="1639"/>
      <c r="F350" s="1639"/>
      <c r="G350" s="1639"/>
      <c r="H350" s="1639"/>
      <c r="I350" s="1639"/>
      <c r="J350" s="1639"/>
      <c r="K350" s="1639"/>
      <c r="L350" s="1639"/>
      <c r="M350" s="1639"/>
      <c r="N350" s="1639"/>
      <c r="O350" s="1639"/>
      <c r="P350" s="1639"/>
      <c r="Q350" s="1639"/>
      <c r="R350" s="1639"/>
      <c r="S350" s="1639"/>
      <c r="T350" s="1639"/>
      <c r="U350" s="1639"/>
      <c r="V350" s="1639"/>
      <c r="W350" s="1639"/>
      <c r="X350" s="1639"/>
      <c r="Y350" s="1639"/>
      <c r="Z350" s="1639"/>
      <c r="AA350" s="1639"/>
      <c r="AB350" s="1639"/>
      <c r="AC350" s="1639"/>
      <c r="AD350" s="1639"/>
      <c r="AE350" s="1639"/>
      <c r="AF350" s="1639"/>
      <c r="AG350" s="1639"/>
      <c r="AH350" s="1639"/>
      <c r="AI350" s="1639"/>
      <c r="AJ350" s="1639"/>
      <c r="AK350" s="1639"/>
      <c r="AL350" s="1639"/>
      <c r="AM350" s="95"/>
      <c r="AN350" s="95"/>
      <c r="AO350" s="95"/>
      <c r="AP350" s="95"/>
      <c r="AQ350" s="95"/>
      <c r="AR350" s="95"/>
      <c r="AS350" s="95"/>
      <c r="AT350" s="95"/>
      <c r="AU350" s="95"/>
      <c r="AV350" s="95"/>
      <c r="AW350" s="95"/>
      <c r="AX350" s="95"/>
      <c r="AY350" s="95"/>
    </row>
    <row r="351" spans="1:66" ht="13.25" customHeight="1" thickBot="1">
      <c r="A351" s="1640"/>
      <c r="B351" s="1640"/>
      <c r="C351" s="1640"/>
      <c r="D351" s="1640"/>
      <c r="E351" s="1640"/>
      <c r="F351" s="1640"/>
      <c r="G351" s="1640"/>
      <c r="H351" s="1640"/>
      <c r="I351" s="1640"/>
      <c r="J351" s="1640"/>
      <c r="K351" s="1640"/>
      <c r="L351" s="1640"/>
      <c r="M351" s="1640"/>
      <c r="N351" s="1640"/>
      <c r="O351" s="1640"/>
      <c r="P351" s="1640"/>
      <c r="Q351" s="1640"/>
      <c r="R351" s="1640"/>
      <c r="S351" s="1640"/>
      <c r="T351" s="1640"/>
      <c r="U351" s="1640"/>
      <c r="V351" s="1640"/>
      <c r="W351" s="1640"/>
      <c r="X351" s="1640"/>
      <c r="Y351" s="1640"/>
      <c r="Z351" s="1640"/>
      <c r="AA351" s="1640"/>
      <c r="AB351" s="1640"/>
      <c r="AC351" s="1640"/>
      <c r="AD351" s="1640"/>
      <c r="AE351" s="1640"/>
      <c r="AF351" s="1640"/>
      <c r="AG351" s="1640"/>
      <c r="AH351" s="1640"/>
      <c r="AI351" s="1640"/>
      <c r="AJ351" s="1640"/>
      <c r="AK351" s="1640"/>
      <c r="AL351" s="1640"/>
      <c r="AM351" s="95"/>
      <c r="AN351" s="95"/>
      <c r="AO351" s="95"/>
      <c r="AP351" s="95"/>
      <c r="AQ351" s="95"/>
      <c r="AR351" s="95"/>
      <c r="AS351" s="95"/>
      <c r="AT351" s="95"/>
      <c r="AU351" s="95"/>
      <c r="AV351" s="95"/>
      <c r="AW351" s="95"/>
      <c r="AX351" s="95"/>
      <c r="AY351" s="95"/>
    </row>
    <row r="352" spans="1:66" ht="13.2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25" customHeight="1">
      <c r="A353" s="2" t="s">
        <v>321</v>
      </c>
      <c r="B353" s="2"/>
      <c r="C353" s="2" t="s">
        <v>807</v>
      </c>
    </row>
    <row r="354" spans="1:37" ht="13.25" customHeight="1">
      <c r="D354" s="3" t="s">
        <v>2526</v>
      </c>
      <c r="M354" s="1351" t="s">
        <v>555</v>
      </c>
      <c r="N354" s="1351"/>
      <c r="P354" t="s">
        <v>1831</v>
      </c>
      <c r="AJ354" s="1351" t="s">
        <v>601</v>
      </c>
      <c r="AK354" s="1351"/>
    </row>
    <row r="355" spans="1:37" ht="13.25" customHeight="1">
      <c r="D355" s="3" t="s">
        <v>1820</v>
      </c>
      <c r="M355" s="1351" t="s">
        <v>601</v>
      </c>
      <c r="N355" s="1351"/>
      <c r="P355" s="3" t="s">
        <v>1980</v>
      </c>
      <c r="AJ355" s="1430"/>
      <c r="AK355" s="1430"/>
    </row>
    <row r="356" spans="1:37" ht="13.25" customHeight="1">
      <c r="D356" s="3" t="s">
        <v>717</v>
      </c>
      <c r="M356" s="1351" t="s">
        <v>601</v>
      </c>
      <c r="N356" s="1351"/>
      <c r="P356" t="s">
        <v>1830</v>
      </c>
      <c r="AJ356" s="1351" t="s">
        <v>601</v>
      </c>
      <c r="AK356" s="1351"/>
    </row>
    <row r="357" spans="1:37" ht="13.25" customHeight="1">
      <c r="D357" s="3" t="s">
        <v>718</v>
      </c>
      <c r="M357" s="1351" t="s">
        <v>601</v>
      </c>
      <c r="N357" s="1351"/>
      <c r="Q357" s="4"/>
    </row>
    <row r="358" spans="1:37" ht="13.25" customHeight="1">
      <c r="Q358" s="4"/>
    </row>
    <row r="359" spans="1:37" ht="13.25" customHeight="1">
      <c r="Q359" s="4"/>
    </row>
    <row r="360" spans="1:37" ht="13.25" customHeight="1">
      <c r="A360" s="2" t="s">
        <v>586</v>
      </c>
      <c r="B360" s="2"/>
      <c r="C360" s="2" t="s">
        <v>562</v>
      </c>
      <c r="D360" s="2"/>
    </row>
    <row r="361" spans="1:37" ht="13.2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25" customHeight="1">
      <c r="D362" s="39" t="s">
        <v>187</v>
      </c>
      <c r="E362" s="40"/>
      <c r="F362" s="40"/>
      <c r="G362" s="40"/>
      <c r="H362" s="40"/>
      <c r="I362" s="40"/>
      <c r="J362" s="40"/>
      <c r="K362" s="40"/>
      <c r="L362" s="40"/>
      <c r="M362" s="40"/>
      <c r="N362" s="1351" t="s">
        <v>601</v>
      </c>
      <c r="O362" s="1351"/>
      <c r="P362" s="40"/>
      <c r="Q362" s="40"/>
      <c r="R362" s="40"/>
      <c r="S362" s="40"/>
      <c r="T362" s="40"/>
      <c r="U362" s="40"/>
      <c r="V362" s="40"/>
      <c r="W362" s="40"/>
      <c r="X362" s="40"/>
      <c r="Y362" s="40"/>
      <c r="Z362" s="40"/>
      <c r="AC362" s="40"/>
      <c r="AD362" s="40"/>
      <c r="AE362" s="40"/>
    </row>
    <row r="363" spans="1:37" ht="13.25" customHeight="1">
      <c r="E363" t="s">
        <v>372</v>
      </c>
      <c r="Y363" s="1351" t="s">
        <v>601</v>
      </c>
      <c r="Z363" s="1351"/>
    </row>
    <row r="364" spans="1:37" ht="13.25" customHeight="1">
      <c r="D364" s="4" t="s">
        <v>1018</v>
      </c>
      <c r="Q364" s="1350"/>
      <c r="R364" s="1350"/>
      <c r="S364" s="1350"/>
      <c r="T364" s="1350"/>
      <c r="U364" s="1350"/>
      <c r="V364" s="1350"/>
      <c r="W364" s="1350"/>
      <c r="X364" s="1350"/>
      <c r="Y364" s="1350"/>
      <c r="Z364" s="1350"/>
      <c r="AA364" s="1350"/>
      <c r="AB364" s="1350"/>
      <c r="AC364" s="1350"/>
      <c r="AD364" s="1350"/>
      <c r="AE364" s="1350"/>
      <c r="AF364" s="1350"/>
      <c r="AG364" s="1350"/>
    </row>
    <row r="365" spans="1:37" ht="13.2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25" customHeight="1">
      <c r="D366" t="s">
        <v>190</v>
      </c>
      <c r="E366" s="40"/>
      <c r="F366" s="40"/>
      <c r="G366" s="40"/>
      <c r="H366" s="40"/>
      <c r="I366" s="40"/>
      <c r="J366" s="1351" t="s">
        <v>601</v>
      </c>
      <c r="K366" s="1351"/>
      <c r="L366" s="40"/>
      <c r="M366" s="40"/>
      <c r="N366" s="40"/>
      <c r="O366" s="40"/>
      <c r="P366" s="40"/>
      <c r="Q366" s="40"/>
      <c r="R366" s="40"/>
      <c r="S366" s="40"/>
      <c r="T366" s="40"/>
      <c r="U366" s="40"/>
      <c r="V366" s="40"/>
      <c r="W366" s="40"/>
      <c r="X366" s="40"/>
      <c r="Y366" s="40"/>
      <c r="Z366" s="40"/>
      <c r="AC366" s="40"/>
      <c r="AD366" s="40"/>
      <c r="AE366" s="40"/>
    </row>
    <row r="367" spans="1:37" ht="13.25" customHeight="1">
      <c r="E367" s="1732" t="s">
        <v>719</v>
      </c>
      <c r="F367" s="1732"/>
      <c r="G367" s="1732"/>
      <c r="H367" s="1732"/>
      <c r="I367" s="1732"/>
      <c r="J367" s="1732"/>
      <c r="K367" s="1732"/>
      <c r="L367" s="1732"/>
      <c r="M367" s="1732"/>
      <c r="N367" s="1732"/>
      <c r="O367" s="1732"/>
      <c r="P367" s="1732"/>
      <c r="Q367" s="1732"/>
      <c r="R367" s="1732"/>
      <c r="S367" s="1732"/>
      <c r="T367" s="1732"/>
      <c r="U367" s="1732"/>
      <c r="V367" s="1732"/>
      <c r="W367" s="1732"/>
      <c r="X367" s="1732"/>
      <c r="Y367" s="1732"/>
      <c r="Z367" s="1732"/>
      <c r="AA367" s="1732"/>
      <c r="AB367" s="1732"/>
      <c r="AC367" s="1732"/>
      <c r="AD367" s="1732"/>
      <c r="AE367" s="1732"/>
      <c r="AF367" s="1732"/>
      <c r="AG367" s="1732"/>
      <c r="AH367" s="1732"/>
    </row>
    <row r="368" spans="1:37" ht="13.25" customHeight="1">
      <c r="E368" s="1732"/>
      <c r="F368" s="1732"/>
      <c r="G368" s="1732"/>
      <c r="H368" s="1732"/>
      <c r="I368" s="1732"/>
      <c r="J368" s="1732"/>
      <c r="K368" s="1732"/>
      <c r="L368" s="1732"/>
      <c r="M368" s="1732"/>
      <c r="N368" s="1732"/>
      <c r="O368" s="1732"/>
      <c r="P368" s="1732"/>
      <c r="Q368" s="1732"/>
      <c r="R368" s="1732"/>
      <c r="S368" s="1732"/>
      <c r="T368" s="1732"/>
      <c r="U368" s="1732"/>
      <c r="V368" s="1732"/>
      <c r="W368" s="1732"/>
      <c r="X368" s="1732"/>
      <c r="Y368" s="1732"/>
      <c r="Z368" s="1732"/>
      <c r="AA368" s="1732"/>
      <c r="AB368" s="1732"/>
      <c r="AC368" s="1732"/>
      <c r="AD368" s="1732"/>
      <c r="AE368" s="1732"/>
      <c r="AF368" s="1732"/>
      <c r="AG368" s="1732"/>
      <c r="AH368" s="1732"/>
    </row>
    <row r="369" spans="1:36" ht="13.25" customHeight="1">
      <c r="E369" s="4" t="s">
        <v>458</v>
      </c>
      <c r="F369" s="4"/>
      <c r="G369" s="4"/>
      <c r="H369" s="4"/>
      <c r="I369" s="4"/>
      <c r="J369" s="4"/>
      <c r="K369" s="4"/>
      <c r="L369" s="4"/>
      <c r="N369" s="1731"/>
      <c r="O369" s="1731"/>
      <c r="P369" s="1731"/>
      <c r="Q369" s="1731"/>
      <c r="R369" s="4"/>
      <c r="U369" s="4" t="s">
        <v>459</v>
      </c>
      <c r="V369" s="4"/>
      <c r="W369" s="4"/>
      <c r="X369" s="4"/>
      <c r="Y369" s="4"/>
      <c r="Z369" s="4"/>
      <c r="AA369" s="4"/>
      <c r="AB369" s="4"/>
      <c r="AC369" s="1731"/>
      <c r="AD369" s="1731"/>
      <c r="AE369" s="1731"/>
      <c r="AF369" s="1731"/>
    </row>
    <row r="370" spans="1:36" ht="13.25" customHeight="1">
      <c r="E370" s="4" t="s">
        <v>460</v>
      </c>
      <c r="F370" s="4"/>
      <c r="G370" s="4"/>
      <c r="H370" s="4"/>
      <c r="I370" s="4"/>
      <c r="J370" s="4"/>
      <c r="K370" s="4"/>
      <c r="L370" s="4"/>
      <c r="N370" s="1731"/>
      <c r="O370" s="1731"/>
      <c r="P370" s="1731"/>
      <c r="Q370" s="1731"/>
      <c r="R370" s="4"/>
      <c r="U370" s="4" t="s">
        <v>0</v>
      </c>
      <c r="V370" s="4"/>
      <c r="W370" s="4"/>
      <c r="X370" s="4"/>
      <c r="Y370" s="4"/>
      <c r="Z370" s="4"/>
      <c r="AA370" s="4"/>
      <c r="AB370" s="4"/>
      <c r="AC370" s="1731"/>
      <c r="AD370" s="1731"/>
      <c r="AE370" s="1731"/>
      <c r="AF370" s="1731"/>
    </row>
    <row r="371" spans="1:36" ht="13.25" customHeight="1">
      <c r="E371" s="4" t="s">
        <v>1</v>
      </c>
      <c r="F371" s="4"/>
      <c r="G371" s="4"/>
      <c r="H371" s="4"/>
      <c r="I371" s="4"/>
      <c r="J371" s="4"/>
      <c r="K371" s="4"/>
      <c r="L371" s="4"/>
      <c r="N371" s="1731"/>
      <c r="O371" s="1731"/>
      <c r="P371" s="1731"/>
      <c r="Q371" s="1731"/>
      <c r="R371" s="4"/>
      <c r="V371" s="4"/>
      <c r="W371" s="4"/>
      <c r="X371" s="4"/>
      <c r="Y371" s="4"/>
      <c r="Z371" s="4"/>
      <c r="AA371" s="4"/>
      <c r="AB371" s="4"/>
    </row>
    <row r="372" spans="1:36" ht="13.25" customHeight="1">
      <c r="E372" s="4" t="s">
        <v>2</v>
      </c>
      <c r="F372" s="4"/>
      <c r="G372" s="4"/>
      <c r="H372" s="4"/>
      <c r="I372" s="4"/>
      <c r="J372" s="4"/>
      <c r="K372" s="4"/>
      <c r="L372" s="4"/>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3.25" customHeight="1">
      <c r="E373" s="4"/>
      <c r="F373" s="4"/>
      <c r="G373" s="4"/>
      <c r="H373" s="4"/>
      <c r="I373" s="4"/>
      <c r="J373" s="4"/>
      <c r="K373" s="4"/>
      <c r="L373" s="4"/>
      <c r="N373" s="1837"/>
      <c r="O373" s="1837"/>
      <c r="P373" s="1837"/>
      <c r="Q373" s="1837"/>
      <c r="R373" s="1837"/>
      <c r="S373" s="1837"/>
      <c r="T373" s="1837"/>
      <c r="U373" s="1837"/>
      <c r="V373" s="1837"/>
      <c r="W373" s="1837"/>
      <c r="X373" s="1837"/>
      <c r="Y373" s="1837"/>
      <c r="Z373" s="1837"/>
      <c r="AA373" s="1837"/>
      <c r="AB373" s="1837"/>
      <c r="AC373" s="1837"/>
      <c r="AD373" s="1837"/>
      <c r="AE373" s="1837"/>
      <c r="AF373" s="1837"/>
    </row>
    <row r="374" spans="1:36" ht="13.25" customHeight="1">
      <c r="C374" s="538"/>
      <c r="E374" s="4"/>
      <c r="F374" s="4"/>
      <c r="G374" s="4"/>
      <c r="H374" s="4"/>
      <c r="I374" s="4"/>
      <c r="J374" s="4"/>
      <c r="K374" s="4"/>
      <c r="L374" s="4"/>
    </row>
    <row r="375" spans="1:36" ht="13.25" customHeight="1">
      <c r="D375" s="2" t="s">
        <v>1015</v>
      </c>
      <c r="E375" s="2"/>
      <c r="F375" s="4"/>
      <c r="G375" s="4"/>
      <c r="H375" s="4"/>
      <c r="I375" s="4"/>
      <c r="J375" s="4"/>
      <c r="K375" s="4"/>
      <c r="L375" s="4"/>
    </row>
    <row r="376" spans="1:36" ht="13.25" customHeight="1">
      <c r="E376" s="4" t="s">
        <v>2508</v>
      </c>
      <c r="F376" s="4"/>
      <c r="G376" s="4"/>
      <c r="H376" s="4"/>
      <c r="I376" s="4"/>
      <c r="J376" s="4"/>
      <c r="K376" s="4"/>
      <c r="L376" s="4"/>
      <c r="N376" t="s">
        <v>2502</v>
      </c>
      <c r="R376" s="27" t="s">
        <v>307</v>
      </c>
      <c r="S376" s="1730"/>
      <c r="T376" s="1730"/>
      <c r="U376" s="1" t="s">
        <v>308</v>
      </c>
      <c r="V376" s="1730"/>
      <c r="W376" s="1730"/>
      <c r="Y376" t="s">
        <v>2502</v>
      </c>
      <c r="AC376" s="27" t="s">
        <v>307</v>
      </c>
      <c r="AD376" s="1730"/>
      <c r="AE376" s="1730"/>
      <c r="AF376" s="1" t="s">
        <v>308</v>
      </c>
      <c r="AG376" s="1730"/>
      <c r="AH376" s="1730"/>
    </row>
    <row r="377" spans="1:36" ht="13.25" customHeight="1">
      <c r="E377" s="4" t="s">
        <v>1044</v>
      </c>
      <c r="F377" s="4"/>
      <c r="G377" s="4"/>
      <c r="H377" s="4"/>
      <c r="I377" s="4"/>
      <c r="J377" s="4"/>
      <c r="K377" s="4"/>
      <c r="L377" s="4"/>
      <c r="N377" s="1730"/>
      <c r="O377" s="1730"/>
      <c r="P377" s="1730"/>
    </row>
    <row r="378" spans="1:36" ht="13.25" customHeight="1">
      <c r="E378" s="217" t="s">
        <v>2509</v>
      </c>
      <c r="F378" s="4"/>
      <c r="G378" s="4"/>
      <c r="H378" s="4"/>
      <c r="I378" s="4"/>
      <c r="J378" s="4"/>
      <c r="K378" s="4"/>
      <c r="L378" s="4"/>
      <c r="AG378" s="1651" t="s">
        <v>601</v>
      </c>
      <c r="AH378" s="1651"/>
    </row>
    <row r="379" spans="1:36" ht="13.25" customHeight="1">
      <c r="E379" s="4"/>
      <c r="F379" s="4"/>
      <c r="G379" s="4" t="s">
        <v>2510</v>
      </c>
      <c r="H379" s="4"/>
      <c r="I379" s="4"/>
      <c r="J379" s="4"/>
      <c r="K379" s="4"/>
      <c r="L379" s="4"/>
      <c r="AG379" s="1651" t="s">
        <v>601</v>
      </c>
      <c r="AH379" s="1651"/>
    </row>
    <row r="380" spans="1:36" ht="13.25" customHeight="1">
      <c r="E380" s="4"/>
      <c r="F380" s="4"/>
      <c r="G380" s="340" t="s">
        <v>1045</v>
      </c>
      <c r="H380" s="4"/>
      <c r="I380" s="4"/>
      <c r="J380" s="4"/>
      <c r="K380" s="4"/>
      <c r="L380" s="4"/>
      <c r="V380" s="1351" t="s">
        <v>601</v>
      </c>
      <c r="W380" s="1351"/>
      <c r="Y380" s="22" t="s">
        <v>1020</v>
      </c>
    </row>
    <row r="381" spans="1:36" ht="13.25" customHeight="1">
      <c r="E381" s="4" t="s">
        <v>1021</v>
      </c>
      <c r="F381" s="4"/>
      <c r="G381" s="4"/>
      <c r="H381" s="4"/>
      <c r="I381" s="4"/>
      <c r="J381" s="4"/>
      <c r="K381" s="4"/>
      <c r="L381" s="4"/>
      <c r="V381" s="1351" t="s">
        <v>601</v>
      </c>
      <c r="W381" s="1351"/>
      <c r="Y381" s="4" t="s">
        <v>1022</v>
      </c>
    </row>
    <row r="382" spans="1:36" ht="13.25" customHeight="1"/>
    <row r="383" spans="1:36" ht="13.25" customHeight="1">
      <c r="A383" s="2" t="s">
        <v>79</v>
      </c>
      <c r="B383" s="2"/>
    </row>
    <row r="384" spans="1:36" ht="13.25" customHeight="1">
      <c r="D384" t="s">
        <v>430</v>
      </c>
      <c r="J384" s="1349" t="s">
        <v>2630</v>
      </c>
      <c r="K384" s="1350"/>
      <c r="L384" s="1350"/>
      <c r="M384" s="1350"/>
      <c r="N384" s="1350"/>
      <c r="O384" s="1350"/>
      <c r="P384" s="1350"/>
      <c r="Q384" s="1350"/>
      <c r="R384" s="1350"/>
      <c r="S384" s="1350"/>
      <c r="T384" s="1350"/>
      <c r="U384" s="1350"/>
      <c r="V384" s="8" t="s">
        <v>84</v>
      </c>
      <c r="W384" s="8"/>
      <c r="X384" s="8"/>
      <c r="Y384" s="8"/>
      <c r="Z384" s="8"/>
      <c r="AA384" s="8"/>
      <c r="AB384" s="8"/>
      <c r="AC384" s="1350" t="s">
        <v>2631</v>
      </c>
      <c r="AD384" s="1350"/>
      <c r="AE384" s="1350"/>
      <c r="AF384" s="1350"/>
      <c r="AG384" s="1350"/>
      <c r="AH384" s="1350"/>
      <c r="AI384" s="1350"/>
      <c r="AJ384" s="1350"/>
    </row>
    <row r="385" spans="4:36" ht="13.25" customHeight="1">
      <c r="D385" s="3" t="s">
        <v>1325</v>
      </c>
      <c r="J385" s="1359" t="s">
        <v>2755</v>
      </c>
      <c r="K385" s="1359"/>
      <c r="L385" s="1359"/>
      <c r="M385" s="1359"/>
      <c r="N385" s="1359"/>
      <c r="O385" s="1359"/>
      <c r="P385" s="1359"/>
      <c r="Q385" s="1359"/>
      <c r="R385" s="1359"/>
      <c r="S385" s="1359"/>
      <c r="T385" s="1359"/>
      <c r="U385" s="1359"/>
      <c r="V385" s="3" t="s">
        <v>1325</v>
      </c>
      <c r="W385" s="8"/>
      <c r="X385" s="8"/>
      <c r="Y385" s="8"/>
      <c r="Z385" s="8"/>
      <c r="AA385" s="8"/>
      <c r="AB385" s="8"/>
      <c r="AC385" s="1350" t="s">
        <v>2631</v>
      </c>
      <c r="AD385" s="1350"/>
      <c r="AE385" s="1350"/>
      <c r="AF385" s="1350"/>
      <c r="AG385" s="1350"/>
      <c r="AH385" s="1350"/>
      <c r="AI385" s="1350"/>
      <c r="AJ385" s="1350"/>
    </row>
    <row r="386" spans="4:36" ht="13.25" customHeight="1">
      <c r="D386" s="3" t="s">
        <v>445</v>
      </c>
      <c r="J386" s="1359" t="s">
        <v>2756</v>
      </c>
      <c r="K386" s="1359"/>
      <c r="L386" s="1359"/>
      <c r="M386" s="1359"/>
      <c r="N386" s="1359"/>
      <c r="O386" s="1359"/>
      <c r="P386" s="1359"/>
      <c r="Q386" s="1359"/>
      <c r="R386" s="1359"/>
      <c r="S386" s="1359"/>
      <c r="T386" s="1359"/>
      <c r="U386" s="1359"/>
      <c r="V386" s="3" t="s">
        <v>445</v>
      </c>
      <c r="W386" s="8"/>
      <c r="X386" s="8"/>
      <c r="Y386" s="8"/>
      <c r="Z386" s="8"/>
      <c r="AA386" s="8"/>
      <c r="AB386" s="8"/>
      <c r="AC386" s="1350" t="s">
        <v>444</v>
      </c>
      <c r="AD386" s="1350"/>
      <c r="AE386" s="1350"/>
      <c r="AF386" s="1350"/>
      <c r="AG386" s="1350"/>
      <c r="AH386" s="1350"/>
      <c r="AI386" s="1350"/>
      <c r="AJ386" s="1350"/>
    </row>
    <row r="387" spans="4:36" ht="13.25" customHeight="1">
      <c r="D387" t="s">
        <v>1321</v>
      </c>
      <c r="J387" s="1517" t="s">
        <v>2757</v>
      </c>
      <c r="K387" s="1517"/>
      <c r="L387" s="1517"/>
      <c r="M387" s="1517"/>
      <c r="N387" s="1517"/>
      <c r="O387" s="1517"/>
      <c r="P387" s="1517"/>
      <c r="Q387" s="1517"/>
      <c r="R387" s="1517"/>
      <c r="S387" s="1517"/>
      <c r="T387" s="1517"/>
      <c r="U387" s="1517"/>
      <c r="V387" s="1350" t="s">
        <v>2758</v>
      </c>
      <c r="W387" s="1350"/>
      <c r="X387" s="1350"/>
      <c r="Y387" s="1350"/>
      <c r="Z387" s="1350"/>
      <c r="AA387" s="1350"/>
      <c r="AB387" s="1350"/>
      <c r="AC387" s="1350"/>
      <c r="AD387" s="1350"/>
      <c r="AE387" s="1350"/>
      <c r="AF387" s="1350"/>
      <c r="AG387" s="1350"/>
      <c r="AH387" s="1350"/>
      <c r="AI387" s="1350"/>
      <c r="AJ387" s="1350"/>
    </row>
    <row r="388" spans="4:36" ht="13.25" customHeight="1">
      <c r="D388" t="s">
        <v>4</v>
      </c>
      <c r="Q388" s="1618"/>
      <c r="R388" s="1618"/>
      <c r="S388" s="1618"/>
      <c r="T388" s="1618"/>
      <c r="U388" s="1618"/>
      <c r="V388" t="s">
        <v>311</v>
      </c>
      <c r="AI388" s="1351" t="s">
        <v>679</v>
      </c>
      <c r="AJ388" s="1351"/>
    </row>
    <row r="389" spans="4:36" ht="13.25" customHeight="1">
      <c r="D389" t="s">
        <v>5</v>
      </c>
      <c r="Q389" s="1676"/>
      <c r="R389" s="1437"/>
      <c r="S389" s="1437"/>
      <c r="T389" s="1437"/>
      <c r="U389" s="1437"/>
      <c r="W389" s="21" t="s">
        <v>75</v>
      </c>
      <c r="AG389" s="1663"/>
      <c r="AH389" s="1663"/>
      <c r="AI389" s="1663"/>
      <c r="AJ389" s="1663"/>
    </row>
    <row r="390" spans="4:36" ht="13.25" customHeight="1">
      <c r="D390" t="s">
        <v>429</v>
      </c>
      <c r="Q390" s="1538" t="s">
        <v>2754</v>
      </c>
      <c r="R390" s="1729"/>
      <c r="S390" s="1729"/>
      <c r="T390" s="1729"/>
      <c r="U390" s="1729"/>
      <c r="V390" s="3" t="s">
        <v>1324</v>
      </c>
      <c r="AG390" s="1827"/>
      <c r="AH390" s="1827"/>
      <c r="AI390" s="1827"/>
      <c r="AJ390" s="1827"/>
    </row>
    <row r="391" spans="4:36" ht="13.25" customHeight="1">
      <c r="D391" t="s">
        <v>89</v>
      </c>
      <c r="I391" s="1647" t="s">
        <v>2759</v>
      </c>
      <c r="J391" s="1655"/>
      <c r="K391" s="1655"/>
      <c r="L391" s="1655"/>
      <c r="M391" s="1655"/>
      <c r="N391" s="1655"/>
      <c r="Q391" s="4" t="s">
        <v>208</v>
      </c>
      <c r="S391" s="1737"/>
      <c r="T391" s="1737"/>
      <c r="U391" s="1737"/>
      <c r="V391" t="s">
        <v>74</v>
      </c>
      <c r="AI391" s="1351" t="s">
        <v>679</v>
      </c>
      <c r="AJ391" s="1351"/>
    </row>
    <row r="392" spans="4:36" ht="13.25" customHeight="1">
      <c r="D392" t="s">
        <v>312</v>
      </c>
      <c r="Q392" s="1529"/>
      <c r="R392" s="1529"/>
      <c r="S392" s="1529"/>
      <c r="T392" s="1529"/>
      <c r="U392" s="1529"/>
      <c r="V392" t="s">
        <v>313</v>
      </c>
      <c r="AG392" s="1663"/>
      <c r="AH392" s="1663"/>
      <c r="AI392" s="1663"/>
      <c r="AJ392" s="1663"/>
    </row>
    <row r="393" spans="4:36" ht="13.25" customHeight="1">
      <c r="D393" t="s">
        <v>314</v>
      </c>
      <c r="Q393" s="1662"/>
      <c r="R393" s="1662"/>
      <c r="S393" s="1662"/>
      <c r="T393" s="1662"/>
      <c r="U393" s="1662"/>
      <c r="V393" t="s">
        <v>1305</v>
      </c>
      <c r="AG393" s="1663"/>
      <c r="AH393" s="1663"/>
      <c r="AI393" s="1663"/>
      <c r="AJ393" s="1663"/>
    </row>
    <row r="394" spans="4:36" ht="13.25" customHeight="1">
      <c r="D394" t="s">
        <v>1304</v>
      </c>
      <c r="AG394" s="1663"/>
      <c r="AH394" s="1663"/>
      <c r="AI394" s="1663"/>
      <c r="AJ394" s="1663"/>
    </row>
    <row r="395" spans="4:36" ht="13.25" customHeight="1">
      <c r="AG395" s="482"/>
      <c r="AH395" s="482"/>
      <c r="AI395" s="482"/>
      <c r="AJ395" s="482"/>
    </row>
    <row r="396" spans="4:36" ht="13.25" customHeight="1">
      <c r="D396" s="3" t="s">
        <v>2621</v>
      </c>
      <c r="AG396" s="482"/>
      <c r="AH396" s="482"/>
      <c r="AI396" s="1351" t="s">
        <v>679</v>
      </c>
      <c r="AJ396" s="1351"/>
    </row>
    <row r="397" spans="4:36" ht="13.25" customHeight="1">
      <c r="D397" s="3" t="s">
        <v>1849</v>
      </c>
      <c r="T397" s="1793"/>
      <c r="U397" s="1793"/>
      <c r="V397" s="1793"/>
      <c r="W397" s="1793"/>
      <c r="X397" s="1793"/>
      <c r="Y397" s="1793"/>
      <c r="Z397" s="1793"/>
      <c r="AA397" s="1793"/>
      <c r="AB397" s="1793"/>
      <c r="AC397" s="1793"/>
      <c r="AD397" s="1793"/>
      <c r="AE397" s="1793"/>
      <c r="AF397" s="1793"/>
      <c r="AG397" s="1793"/>
      <c r="AH397" s="1793"/>
      <c r="AI397" s="1793"/>
      <c r="AJ397" s="1793"/>
    </row>
    <row r="398" spans="4:36" ht="13.25" customHeight="1">
      <c r="D398" s="3" t="s">
        <v>1848</v>
      </c>
      <c r="T398" s="1793"/>
      <c r="U398" s="1793"/>
      <c r="V398" s="1793"/>
      <c r="W398" s="1793"/>
      <c r="X398" s="1793"/>
      <c r="Y398" s="1793"/>
      <c r="Z398" s="1793"/>
      <c r="AA398" s="1793"/>
      <c r="AB398" s="1793"/>
      <c r="AC398" s="1793"/>
      <c r="AD398" s="1793"/>
      <c r="AE398" s="1793"/>
      <c r="AF398" s="1793"/>
      <c r="AG398" s="1793"/>
      <c r="AH398" s="1793"/>
      <c r="AI398" s="1793"/>
      <c r="AJ398" s="1793"/>
    </row>
    <row r="399" spans="4:36" ht="13.25" customHeight="1">
      <c r="AG399" s="482"/>
      <c r="AH399" s="482"/>
      <c r="AI399" s="482"/>
      <c r="AJ399" s="482"/>
    </row>
    <row r="400" spans="4:36" ht="13.25" customHeight="1">
      <c r="D400" s="3" t="s">
        <v>1842</v>
      </c>
      <c r="S400" s="1793" t="s">
        <v>555</v>
      </c>
      <c r="T400" s="1793"/>
      <c r="U400" s="1793"/>
      <c r="V400" t="s">
        <v>1843</v>
      </c>
      <c r="AG400" s="1826">
        <v>99</v>
      </c>
      <c r="AH400" s="1826"/>
      <c r="AI400" s="1826"/>
      <c r="AJ400" s="1826"/>
    </row>
    <row r="401" spans="1:36" ht="13.25" customHeight="1">
      <c r="D401" s="3" t="s">
        <v>1840</v>
      </c>
      <c r="S401" s="1793" t="s">
        <v>555</v>
      </c>
      <c r="T401" s="1793"/>
      <c r="U401" s="1793"/>
      <c r="V401" t="s">
        <v>1845</v>
      </c>
      <c r="AE401" s="1814">
        <v>1</v>
      </c>
      <c r="AF401" s="1814"/>
      <c r="AG401" s="1814"/>
      <c r="AH401" s="1814"/>
      <c r="AI401" s="1814"/>
      <c r="AJ401" s="1814"/>
    </row>
    <row r="402" spans="1:36" ht="13.25" customHeight="1">
      <c r="D402" s="3" t="s">
        <v>1841</v>
      </c>
      <c r="K402" s="1816"/>
      <c r="L402" s="1816"/>
      <c r="M402" s="1816"/>
      <c r="N402" s="1816"/>
      <c r="O402" s="1816"/>
      <c r="P402" s="1816"/>
      <c r="Q402" s="1816"/>
      <c r="R402" s="1816"/>
      <c r="S402" s="1816"/>
      <c r="T402" s="1816"/>
      <c r="U402" s="1816"/>
      <c r="V402" s="1816"/>
      <c r="W402" s="1816"/>
      <c r="X402" s="1816"/>
      <c r="Y402" s="1816"/>
      <c r="Z402" s="1816"/>
      <c r="AA402" s="1816"/>
      <c r="AB402" s="1816"/>
      <c r="AC402" s="1816"/>
      <c r="AD402" s="1816"/>
      <c r="AE402" s="1816"/>
      <c r="AF402" s="1816"/>
      <c r="AG402" s="1816"/>
      <c r="AH402" s="1816"/>
      <c r="AI402" s="1816"/>
      <c r="AJ402" s="1816"/>
    </row>
    <row r="403" spans="1:36" ht="13.25" customHeight="1">
      <c r="D403" s="3" t="s">
        <v>1844</v>
      </c>
      <c r="K403" s="1816" t="s">
        <v>2630</v>
      </c>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3.25" customHeight="1">
      <c r="D404" s="3" t="s">
        <v>1847</v>
      </c>
      <c r="E404" s="503"/>
      <c r="F404" s="503"/>
      <c r="G404" s="503"/>
      <c r="H404" s="503"/>
      <c r="I404" s="503"/>
      <c r="J404" s="503"/>
      <c r="K404" s="503"/>
      <c r="L404" s="503"/>
      <c r="M404" s="503"/>
      <c r="N404" s="503"/>
      <c r="O404" s="503"/>
      <c r="P404" s="503"/>
      <c r="Q404" s="503"/>
      <c r="R404" s="503"/>
      <c r="S404" s="1783" t="s">
        <v>2710</v>
      </c>
      <c r="T404" s="1783"/>
      <c r="U404" s="1783"/>
      <c r="V404" s="1783"/>
      <c r="W404" s="1783"/>
      <c r="X404" s="1783"/>
      <c r="Y404" s="1783"/>
      <c r="Z404" s="1783"/>
      <c r="AA404" s="1783"/>
      <c r="AB404" s="1783"/>
      <c r="AC404" s="1783"/>
      <c r="AD404" s="1783"/>
      <c r="AE404" s="1783"/>
      <c r="AF404" s="1783"/>
      <c r="AG404" s="1783"/>
      <c r="AH404" s="1783"/>
      <c r="AI404" s="1783"/>
      <c r="AJ404" s="1783"/>
    </row>
    <row r="405" spans="1:36" ht="13.25" customHeight="1">
      <c r="D405" s="1263" t="s">
        <v>1846</v>
      </c>
      <c r="E405" s="1263"/>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c r="AA405" s="1263"/>
      <c r="AB405" s="1263"/>
      <c r="AC405" s="1263"/>
      <c r="AD405" s="1263"/>
      <c r="AE405" s="1263"/>
      <c r="AF405" s="1263"/>
      <c r="AG405" s="1263"/>
      <c r="AH405" s="1263"/>
      <c r="AI405" s="1263"/>
      <c r="AJ405" s="1263"/>
    </row>
    <row r="406" spans="1:36" ht="13.25" customHeight="1">
      <c r="D406" s="1263"/>
      <c r="E406" s="1263"/>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c r="AA406" s="1263"/>
      <c r="AB406" s="1263"/>
      <c r="AC406" s="1263"/>
      <c r="AD406" s="1263"/>
      <c r="AE406" s="1263"/>
      <c r="AF406" s="1263"/>
      <c r="AG406" s="1263"/>
      <c r="AH406" s="1263"/>
      <c r="AI406" s="1263"/>
      <c r="AJ406" s="1263"/>
    </row>
    <row r="407" spans="1:36" ht="13.25" customHeight="1">
      <c r="AG407" s="482"/>
      <c r="AH407" s="482"/>
      <c r="AI407" s="482"/>
      <c r="AJ407" s="482"/>
    </row>
    <row r="408" spans="1:36" ht="13.25" customHeight="1">
      <c r="A408" s="2" t="s">
        <v>599</v>
      </c>
      <c r="B408" s="2"/>
      <c r="C408" s="2" t="s">
        <v>112</v>
      </c>
    </row>
    <row r="409" spans="1:36" ht="13.25" customHeight="1">
      <c r="B409" s="2"/>
      <c r="C409" s="2"/>
      <c r="D409" s="2" t="s">
        <v>1347</v>
      </c>
      <c r="I409" s="1349" t="s">
        <v>2711</v>
      </c>
      <c r="J409" s="1349"/>
      <c r="K409" s="1349"/>
      <c r="L409" s="1349"/>
      <c r="M409" s="1349"/>
      <c r="N409" s="1349"/>
      <c r="O409" s="1349"/>
      <c r="P409" s="1349"/>
      <c r="Q409" s="1349"/>
      <c r="R409" s="1349"/>
      <c r="S409" s="1349"/>
      <c r="T409" s="1349"/>
      <c r="U409" s="1349"/>
      <c r="V409" s="1349"/>
      <c r="W409" s="1349"/>
      <c r="X409" s="1349"/>
      <c r="Y409" s="1349"/>
      <c r="Z409" s="1349"/>
      <c r="AA409" s="1349"/>
      <c r="AB409" s="1349"/>
      <c r="AC409" s="1349"/>
      <c r="AD409" s="1349"/>
      <c r="AE409" s="1349"/>
    </row>
    <row r="410" spans="1:36" ht="13.25" customHeight="1">
      <c r="E410" t="s">
        <v>107</v>
      </c>
      <c r="R410" s="1351" t="s">
        <v>555</v>
      </c>
      <c r="S410" s="1351"/>
      <c r="T410" t="s">
        <v>580</v>
      </c>
      <c r="AD410" s="1664">
        <v>4</v>
      </c>
      <c r="AE410" s="1664"/>
    </row>
    <row r="411" spans="1:36" ht="13.25" customHeight="1">
      <c r="E411" t="s">
        <v>108</v>
      </c>
      <c r="R411" s="1351" t="s">
        <v>601</v>
      </c>
      <c r="S411" s="1351"/>
      <c r="T411" t="s">
        <v>580</v>
      </c>
      <c r="AD411" s="1731">
        <v>0</v>
      </c>
      <c r="AE411" s="1731"/>
    </row>
    <row r="412" spans="1:36" ht="13.25" customHeight="1">
      <c r="E412" t="s">
        <v>109</v>
      </c>
      <c r="S412" s="1351" t="s">
        <v>601</v>
      </c>
      <c r="T412" s="1351"/>
    </row>
    <row r="413" spans="1:36" ht="13.25" customHeight="1">
      <c r="E413" t="s">
        <v>171</v>
      </c>
      <c r="H413" s="1660" t="s">
        <v>2712</v>
      </c>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3.25"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3.25" customHeight="1"/>
    <row r="416" spans="1:36" ht="13.25" customHeight="1">
      <c r="A416" s="2" t="s">
        <v>600</v>
      </c>
      <c r="B416" s="2"/>
      <c r="C416" s="2"/>
      <c r="D416" s="2" t="s">
        <v>115</v>
      </c>
      <c r="AF416" s="2" t="s">
        <v>998</v>
      </c>
    </row>
    <row r="417" spans="1:39" ht="13.25" customHeight="1">
      <c r="E417" s="1730"/>
      <c r="F417" s="1730"/>
      <c r="G417" s="1730"/>
      <c r="H417" s="13" t="s">
        <v>116</v>
      </c>
      <c r="I417" s="1730"/>
      <c r="J417" s="1730"/>
      <c r="K417" s="1730"/>
      <c r="L417" t="s">
        <v>117</v>
      </c>
      <c r="N417" s="27" t="s">
        <v>585</v>
      </c>
      <c r="P417" s="1736">
        <v>2.61</v>
      </c>
      <c r="Q417" s="1736"/>
      <c r="R417" s="1736"/>
      <c r="S417" t="s">
        <v>118</v>
      </c>
      <c r="W417" s="1851">
        <f>IF(E417&gt;0,(E417*I417),(P417*43560))</f>
        <v>113691.59999999999</v>
      </c>
      <c r="X417" s="1851"/>
      <c r="Y417" s="1851"/>
      <c r="Z417" t="s">
        <v>119</v>
      </c>
      <c r="AF417" s="1802">
        <f>IF(P417&gt;0,(AG436/P417),(AG436/(W417/43560)))</f>
        <v>52.107279693486589</v>
      </c>
      <c r="AG417" s="1802"/>
      <c r="AH417" s="1802"/>
      <c r="AM417" s="3"/>
    </row>
    <row r="418" spans="1:39" ht="13.25" customHeight="1">
      <c r="E418" t="s">
        <v>51</v>
      </c>
    </row>
    <row r="419" spans="1:39" ht="13.25" customHeight="1">
      <c r="E419" s="1800"/>
      <c r="F419" s="1800"/>
      <c r="G419" s="1800"/>
      <c r="H419" s="1800"/>
      <c r="I419" s="1800"/>
      <c r="J419" s="1800"/>
      <c r="K419" s="1800"/>
      <c r="L419" s="1800"/>
      <c r="M419" s="1800"/>
      <c r="N419" s="1800"/>
      <c r="O419" s="1800"/>
      <c r="P419" s="1800"/>
      <c r="Q419" s="1800"/>
      <c r="R419" s="1800"/>
      <c r="S419" s="1800"/>
      <c r="T419" s="1800"/>
      <c r="U419" s="1800"/>
      <c r="V419" s="1800"/>
      <c r="W419" s="1800"/>
      <c r="X419" s="1800"/>
      <c r="Y419" s="1800"/>
      <c r="Z419" s="1800"/>
      <c r="AA419" s="1800"/>
      <c r="AB419" s="1800"/>
      <c r="AC419" s="1800"/>
      <c r="AD419" s="1800"/>
      <c r="AE419" s="1800"/>
      <c r="AF419" s="1800"/>
      <c r="AG419" s="1800"/>
      <c r="AH419" s="1800"/>
      <c r="AI419" s="1800"/>
      <c r="AJ419" s="1800"/>
    </row>
    <row r="420" spans="1:39" ht="13.25" customHeight="1">
      <c r="E420" s="118" t="s">
        <v>1997</v>
      </c>
      <c r="F420" s="1032"/>
      <c r="G420" s="1032"/>
      <c r="H420" s="1032"/>
      <c r="I420" s="1657">
        <v>2.5099999999999998</v>
      </c>
      <c r="J420" s="1657"/>
      <c r="K420" s="1657"/>
      <c r="L420" s="1032"/>
      <c r="M420" s="118"/>
      <c r="N420" s="1032"/>
      <c r="O420" s="1032"/>
      <c r="P420" s="1608">
        <f>(CS623+CS631+CS647)/I420</f>
        <v>113.94422310756973</v>
      </c>
      <c r="Q420" s="1608"/>
      <c r="R420" s="1608"/>
      <c r="S420" s="118" t="s">
        <v>1998</v>
      </c>
      <c r="T420" s="1032"/>
      <c r="U420" s="1032"/>
      <c r="V420" s="1032"/>
      <c r="W420" s="1032"/>
      <c r="X420" s="1032"/>
      <c r="Y420" s="1032"/>
      <c r="Z420" s="1032"/>
      <c r="AA420" s="1032"/>
      <c r="AB420" s="1032"/>
      <c r="AC420" s="1032"/>
      <c r="AD420" s="1032"/>
      <c r="AE420" s="1032"/>
      <c r="AF420" s="1032"/>
      <c r="AG420" s="1032"/>
      <c r="AH420" s="1032"/>
      <c r="AI420" s="1032"/>
      <c r="AJ420" s="1032"/>
    </row>
    <row r="421" spans="1:39" ht="13.25" customHeight="1"/>
    <row r="422" spans="1:39" ht="13.25" customHeight="1">
      <c r="A422" s="2" t="s">
        <v>602</v>
      </c>
      <c r="B422" s="2"/>
      <c r="C422" s="2"/>
      <c r="D422" s="2" t="s">
        <v>121</v>
      </c>
    </row>
    <row r="423" spans="1:39" ht="13.25" customHeight="1">
      <c r="E423" t="s">
        <v>122</v>
      </c>
      <c r="P423" s="1351">
        <v>1</v>
      </c>
      <c r="Q423" s="1351"/>
      <c r="S423" t="s">
        <v>191</v>
      </c>
      <c r="AE423" s="1351">
        <v>1</v>
      </c>
      <c r="AF423" s="1351"/>
    </row>
    <row r="424" spans="1:39" ht="13.25" customHeight="1">
      <c r="E424" t="s">
        <v>192</v>
      </c>
      <c r="P424" s="1351">
        <v>0</v>
      </c>
      <c r="Q424" s="1351"/>
      <c r="S424" t="s">
        <v>132</v>
      </c>
      <c r="AE424" s="1351" t="s">
        <v>601</v>
      </c>
      <c r="AF424" s="1351"/>
    </row>
    <row r="425" spans="1:39" ht="13.25" customHeight="1">
      <c r="F425" s="28" t="s">
        <v>133</v>
      </c>
    </row>
    <row r="426" spans="1:39" ht="13.25" customHeight="1">
      <c r="F426" s="1774"/>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3.25"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3.25" customHeight="1">
      <c r="E428" t="s">
        <v>618</v>
      </c>
      <c r="P428" s="1"/>
      <c r="Q428" s="1351" t="s">
        <v>555</v>
      </c>
      <c r="R428" s="1351"/>
    </row>
    <row r="429" spans="1:39" ht="13.25" customHeight="1">
      <c r="F429" t="s">
        <v>619</v>
      </c>
      <c r="P429" s="1"/>
      <c r="Q429" s="1"/>
      <c r="AF429" s="1351" t="s">
        <v>601</v>
      </c>
      <c r="AG429" s="1742"/>
    </row>
    <row r="430" spans="1:39" ht="13.25" customHeight="1"/>
    <row r="431" spans="1:39" ht="13.25" customHeight="1">
      <c r="A431" s="2"/>
      <c r="B431" s="2"/>
      <c r="C431" s="2"/>
      <c r="E431" s="4" t="s">
        <v>310</v>
      </c>
      <c r="Z431" s="1351" t="s">
        <v>679</v>
      </c>
      <c r="AA431" s="1351"/>
    </row>
    <row r="432" spans="1:39" ht="13.2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25" customHeight="1">
      <c r="F433" t="s">
        <v>720</v>
      </c>
      <c r="G433" s="40"/>
      <c r="I433" s="40"/>
      <c r="J433" s="40"/>
      <c r="K433" s="40"/>
      <c r="L433" s="40"/>
      <c r="M433" s="40"/>
      <c r="N433" s="40"/>
      <c r="O433" s="28"/>
      <c r="P433" s="40"/>
      <c r="Q433" s="40"/>
      <c r="R433" s="40"/>
      <c r="S433" s="40"/>
      <c r="T433" s="40"/>
      <c r="U433" s="40"/>
      <c r="V433" s="40"/>
      <c r="W433" s="40"/>
      <c r="Z433" s="1351" t="s">
        <v>601</v>
      </c>
      <c r="AA433" s="1351"/>
    </row>
    <row r="434" spans="1:110" ht="13.25" customHeight="1"/>
    <row r="435" spans="1:110" ht="13.25" customHeight="1">
      <c r="A435" s="2" t="s">
        <v>477</v>
      </c>
      <c r="B435" s="2"/>
      <c r="C435" s="2"/>
      <c r="D435" s="2" t="s">
        <v>789</v>
      </c>
      <c r="AF435" s="48"/>
    </row>
    <row r="436" spans="1:110" ht="13.25" customHeight="1">
      <c r="D436" s="1636" t="s">
        <v>43</v>
      </c>
      <c r="E436" s="1637"/>
      <c r="F436" s="1637"/>
      <c r="G436" s="1637"/>
      <c r="H436" s="1637"/>
      <c r="I436" s="1637"/>
      <c r="J436" s="1637"/>
      <c r="K436" s="1637"/>
      <c r="L436" s="1637"/>
      <c r="M436" s="1637"/>
      <c r="N436" s="1637"/>
      <c r="O436" s="1637"/>
      <c r="P436" s="1637"/>
      <c r="Q436" s="1637"/>
      <c r="R436" s="1637"/>
      <c r="S436" s="1637"/>
      <c r="T436" s="1637"/>
      <c r="U436" s="1637"/>
      <c r="V436" s="1637"/>
      <c r="W436" s="1637"/>
      <c r="X436" s="1637"/>
      <c r="Y436" s="1637"/>
      <c r="Z436" s="1637"/>
      <c r="AA436" s="1637"/>
      <c r="AB436" s="1637"/>
      <c r="AC436" s="1637"/>
      <c r="AD436" s="1637"/>
      <c r="AE436" s="1637"/>
      <c r="AF436" s="1828"/>
      <c r="AG436" s="1821">
        <v>136</v>
      </c>
      <c r="AH436" s="1821"/>
      <c r="AI436" s="1821"/>
      <c r="AJ436" s="1821"/>
    </row>
    <row r="437" spans="1:110" ht="13.25" customHeight="1">
      <c r="D437" s="1652" t="s">
        <v>1369</v>
      </c>
      <c r="E437" s="1653"/>
      <c r="F437" s="1653"/>
      <c r="G437" s="1653"/>
      <c r="H437" s="1653"/>
      <c r="I437" s="1653"/>
      <c r="J437" s="1653"/>
      <c r="K437" s="1653"/>
      <c r="L437" s="1653"/>
      <c r="M437" s="1653"/>
      <c r="N437" s="1653"/>
      <c r="O437" s="1653"/>
      <c r="P437" s="1653"/>
      <c r="Q437" s="1653"/>
      <c r="R437" s="1653"/>
      <c r="S437" s="1653"/>
      <c r="T437" s="1653"/>
      <c r="U437" s="1653"/>
      <c r="V437" s="1653"/>
      <c r="W437" s="1653"/>
      <c r="X437" s="1653"/>
      <c r="Y437" s="1653"/>
      <c r="Z437" s="1653"/>
      <c r="AA437" s="1653"/>
      <c r="AB437" s="1653"/>
      <c r="AC437" s="1653"/>
      <c r="AD437" s="1653"/>
      <c r="AE437" s="1653"/>
      <c r="AF437" s="1654"/>
      <c r="AG437" s="1852">
        <v>0</v>
      </c>
      <c r="AH437" s="1853"/>
      <c r="AI437" s="1853"/>
      <c r="AJ437" s="1853"/>
    </row>
    <row r="438" spans="1:110" ht="13.25" customHeight="1">
      <c r="D438" s="1652" t="s">
        <v>1092</v>
      </c>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c r="Y438" s="1653"/>
      <c r="Z438" s="1653"/>
      <c r="AA438" s="1653"/>
      <c r="AB438" s="1653"/>
      <c r="AC438" s="1653"/>
      <c r="AD438" s="1653"/>
      <c r="AE438" s="1653"/>
      <c r="AF438" s="1654"/>
      <c r="AG438" s="1821">
        <v>135</v>
      </c>
      <c r="AH438" s="1821"/>
      <c r="AI438" s="1821"/>
      <c r="AJ438" s="1821"/>
    </row>
    <row r="439" spans="1:110" ht="13.25" customHeight="1">
      <c r="D439" s="1652" t="s">
        <v>1093</v>
      </c>
      <c r="E439" s="1653"/>
      <c r="F439" s="1653"/>
      <c r="G439" s="1653"/>
      <c r="H439" s="1653"/>
      <c r="I439" s="1653"/>
      <c r="J439" s="1653"/>
      <c r="K439" s="1653"/>
      <c r="L439" s="1653"/>
      <c r="M439" s="1653"/>
      <c r="N439" s="1653"/>
      <c r="O439" s="1653"/>
      <c r="P439" s="1653"/>
      <c r="Q439" s="1653"/>
      <c r="R439" s="1653"/>
      <c r="S439" s="1653"/>
      <c r="T439" s="1653"/>
      <c r="U439" s="1653"/>
      <c r="V439" s="1653"/>
      <c r="W439" s="1653"/>
      <c r="X439" s="1653"/>
      <c r="Y439" s="1653"/>
      <c r="Z439" s="1653"/>
      <c r="AA439" s="1653"/>
      <c r="AB439" s="1653"/>
      <c r="AC439" s="1653"/>
      <c r="AD439" s="1653"/>
      <c r="AE439" s="1653"/>
      <c r="AF439" s="1654"/>
      <c r="AG439" s="1821">
        <v>135</v>
      </c>
      <c r="AH439" s="1821"/>
      <c r="AI439" s="1821"/>
      <c r="AJ439" s="1821"/>
    </row>
    <row r="440" spans="1:110" ht="13.25" customHeight="1">
      <c r="D440" s="1652" t="s">
        <v>1095</v>
      </c>
      <c r="E440" s="1653"/>
      <c r="F440" s="1653"/>
      <c r="G440" s="1653"/>
      <c r="H440" s="1653"/>
      <c r="I440" s="1653"/>
      <c r="J440" s="1653"/>
      <c r="K440" s="1653"/>
      <c r="L440" s="1653"/>
      <c r="M440" s="1653"/>
      <c r="N440" s="1653"/>
      <c r="O440" s="1653"/>
      <c r="P440" s="1653"/>
      <c r="Q440" s="1653"/>
      <c r="R440" s="1653"/>
      <c r="S440" s="1653"/>
      <c r="T440" s="1653"/>
      <c r="U440" s="1653"/>
      <c r="V440" s="1653"/>
      <c r="W440" s="1653"/>
      <c r="X440" s="1653"/>
      <c r="Y440" s="1653"/>
      <c r="Z440" s="1653"/>
      <c r="AA440" s="1653"/>
      <c r="AB440" s="1653"/>
      <c r="AC440" s="1653"/>
      <c r="AD440" s="1653"/>
      <c r="AE440" s="1653"/>
      <c r="AF440" s="1654"/>
      <c r="AG440" s="1835">
        <f>IF(ISERROR(AG439/AG438),"",AG439/AG438)</f>
        <v>1</v>
      </c>
      <c r="AH440" s="1835"/>
      <c r="AI440" s="1835"/>
      <c r="AJ440" s="1835"/>
    </row>
    <row r="441" spans="1:110" ht="13.25" customHeight="1">
      <c r="D441" s="1652" t="s">
        <v>1094</v>
      </c>
      <c r="E441" s="1653"/>
      <c r="F441" s="1653"/>
      <c r="G441" s="1653"/>
      <c r="H441" s="1653"/>
      <c r="I441" s="1653"/>
      <c r="J441" s="1653"/>
      <c r="K441" s="1653"/>
      <c r="L441" s="1653"/>
      <c r="M441" s="1653"/>
      <c r="N441" s="1653"/>
      <c r="O441" s="1653"/>
      <c r="P441" s="1653"/>
      <c r="Q441" s="1653"/>
      <c r="R441" s="1653"/>
      <c r="S441" s="1653"/>
      <c r="T441" s="1653"/>
      <c r="U441" s="1653"/>
      <c r="V441" s="1653"/>
      <c r="W441" s="1653"/>
      <c r="X441" s="1653"/>
      <c r="Y441" s="1653"/>
      <c r="Z441" s="1653"/>
      <c r="AA441" s="1653"/>
      <c r="AB441" s="1653"/>
      <c r="AC441" s="1653"/>
      <c r="AD441" s="1653"/>
      <c r="AE441" s="1653"/>
      <c r="AF441" s="1654"/>
      <c r="AG441" s="1834">
        <v>118620</v>
      </c>
      <c r="AH441" s="1834"/>
      <c r="AI441" s="1834"/>
      <c r="AJ441" s="1834"/>
    </row>
    <row r="442" spans="1:110" ht="13.25" customHeight="1">
      <c r="D442" s="1652" t="s">
        <v>1096</v>
      </c>
      <c r="E442" s="1653"/>
      <c r="F442" s="1653"/>
      <c r="G442" s="1653"/>
      <c r="H442" s="1653"/>
      <c r="I442" s="1653"/>
      <c r="J442" s="1653"/>
      <c r="K442" s="1653"/>
      <c r="L442" s="1653"/>
      <c r="M442" s="1653"/>
      <c r="N442" s="1653"/>
      <c r="O442" s="1653"/>
      <c r="P442" s="1653"/>
      <c r="Q442" s="1653"/>
      <c r="R442" s="1653"/>
      <c r="S442" s="1653"/>
      <c r="T442" s="1653"/>
      <c r="U442" s="1653"/>
      <c r="V442" s="1653"/>
      <c r="W442" s="1653"/>
      <c r="X442" s="1653"/>
      <c r="Y442" s="1653"/>
      <c r="Z442" s="1653"/>
      <c r="AA442" s="1653"/>
      <c r="AB442" s="1653"/>
      <c r="AC442" s="1653"/>
      <c r="AD442" s="1653"/>
      <c r="AE442" s="1653"/>
      <c r="AF442" s="1654"/>
      <c r="AG442" s="1834">
        <v>118620</v>
      </c>
      <c r="AH442" s="1834"/>
      <c r="AI442" s="1834"/>
      <c r="AJ442" s="1834"/>
    </row>
    <row r="443" spans="1:110" ht="13.25" customHeight="1">
      <c r="D443" s="1652" t="s">
        <v>1097</v>
      </c>
      <c r="E443" s="1653"/>
      <c r="F443" s="1653"/>
      <c r="G443" s="1653"/>
      <c r="H443" s="1653"/>
      <c r="I443" s="1653"/>
      <c r="J443" s="1653"/>
      <c r="K443" s="1653"/>
      <c r="L443" s="1653"/>
      <c r="M443" s="1653"/>
      <c r="N443" s="1653"/>
      <c r="O443" s="1653"/>
      <c r="P443" s="1653"/>
      <c r="Q443" s="1653"/>
      <c r="R443" s="1653"/>
      <c r="S443" s="1653"/>
      <c r="T443" s="1653"/>
      <c r="U443" s="1653"/>
      <c r="V443" s="1653"/>
      <c r="W443" s="1653"/>
      <c r="X443" s="1653"/>
      <c r="Y443" s="1653"/>
      <c r="Z443" s="1653"/>
      <c r="AA443" s="1653"/>
      <c r="AB443" s="1653"/>
      <c r="AC443" s="1653"/>
      <c r="AD443" s="1653"/>
      <c r="AE443" s="1653"/>
      <c r="AF443" s="1654"/>
      <c r="AG443" s="1835">
        <f>IF(ISERROR(AG442/AG441),"",AG442/AG441)</f>
        <v>1</v>
      </c>
      <c r="AH443" s="1835"/>
      <c r="AI443" s="1835"/>
      <c r="AJ443" s="1835"/>
    </row>
    <row r="444" spans="1:110" ht="13.25" customHeight="1">
      <c r="D444" s="1652" t="s">
        <v>1098</v>
      </c>
      <c r="E444" s="1653"/>
      <c r="F444" s="1653"/>
      <c r="G444" s="1653"/>
      <c r="H444" s="1653"/>
      <c r="I444" s="1653"/>
      <c r="J444" s="1653"/>
      <c r="K444" s="1653"/>
      <c r="L444" s="1653"/>
      <c r="M444" s="1653"/>
      <c r="N444" s="1653"/>
      <c r="O444" s="1653"/>
      <c r="P444" s="1653"/>
      <c r="Q444" s="1653"/>
      <c r="R444" s="1653"/>
      <c r="S444" s="1653"/>
      <c r="T444" s="1653"/>
      <c r="U444" s="1653"/>
      <c r="V444" s="1653"/>
      <c r="W444" s="1653"/>
      <c r="X444" s="1653"/>
      <c r="Y444" s="1653"/>
      <c r="Z444" s="1653"/>
      <c r="AA444" s="1653"/>
      <c r="AB444" s="1653"/>
      <c r="AC444" s="1653"/>
      <c r="AD444" s="1653"/>
      <c r="AE444" s="1653"/>
      <c r="AF444" s="1654"/>
      <c r="AG444" s="1835">
        <f>MIN(IF(AG440&gt;AG443,AG443,AG440),1)</f>
        <v>1</v>
      </c>
      <c r="AH444" s="1835"/>
      <c r="AI444" s="1835"/>
      <c r="AJ444" s="1835"/>
    </row>
    <row r="445" spans="1:110" ht="13.25" customHeight="1">
      <c r="D445" s="1652" t="s">
        <v>2511</v>
      </c>
      <c r="E445" s="1637"/>
      <c r="F445" s="1637"/>
      <c r="G445" s="1637"/>
      <c r="H445" s="1637"/>
      <c r="I445" s="1637"/>
      <c r="J445" s="1637"/>
      <c r="K445" s="1637"/>
      <c r="L445" s="1637"/>
      <c r="M445" s="1637"/>
      <c r="N445" s="1637"/>
      <c r="O445" s="1637"/>
      <c r="P445" s="1637"/>
      <c r="Q445" s="1637"/>
      <c r="R445" s="1637"/>
      <c r="S445" s="1637"/>
      <c r="T445" s="1637"/>
      <c r="U445" s="1637"/>
      <c r="V445" s="1637"/>
      <c r="W445" s="1637"/>
      <c r="X445" s="1637"/>
      <c r="Y445" s="1637"/>
      <c r="Z445" s="1637"/>
      <c r="AA445" s="1637"/>
      <c r="AB445" s="1637"/>
      <c r="AC445" s="1637"/>
      <c r="AD445" s="1637"/>
      <c r="AE445" s="1637"/>
      <c r="AF445" s="1828"/>
      <c r="AG445" s="1834">
        <v>3941</v>
      </c>
      <c r="AH445" s="1834"/>
      <c r="AI445" s="1834"/>
      <c r="AJ445" s="1834"/>
    </row>
    <row r="446" spans="1:110" ht="13.25" customHeight="1">
      <c r="D446" s="1636" t="s">
        <v>579</v>
      </c>
      <c r="E446" s="1637"/>
      <c r="F446" s="1637"/>
      <c r="G446" s="1637"/>
      <c r="H446" s="1637"/>
      <c r="I446" s="1637"/>
      <c r="J446" s="1637"/>
      <c r="K446" s="1637"/>
      <c r="L446" s="1637"/>
      <c r="M446" s="1637"/>
      <c r="N446" s="1637"/>
      <c r="O446" s="1637"/>
      <c r="P446" s="1637"/>
      <c r="Q446" s="1637"/>
      <c r="R446" s="1637"/>
      <c r="S446" s="1637"/>
      <c r="T446" s="1637"/>
      <c r="U446" s="1637"/>
      <c r="V446" s="1637"/>
      <c r="W446" s="1637"/>
      <c r="X446" s="1637"/>
      <c r="Y446" s="1637"/>
      <c r="Z446" s="1637"/>
      <c r="AA446" s="1637"/>
      <c r="AB446" s="1637"/>
      <c r="AC446" s="1637"/>
      <c r="AD446" s="1637"/>
      <c r="AE446" s="1637"/>
      <c r="AF446" s="1828"/>
      <c r="AG446" s="1834">
        <v>0</v>
      </c>
      <c r="AH446" s="1834"/>
      <c r="AI446" s="1834"/>
      <c r="AJ446" s="18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25" customHeight="1">
      <c r="D447" s="1652" t="s">
        <v>1348</v>
      </c>
      <c r="E447" s="1637"/>
      <c r="F447" s="1637"/>
      <c r="G447" s="1637"/>
      <c r="H447" s="1637"/>
      <c r="I447" s="1637"/>
      <c r="J447" s="1637"/>
      <c r="K447" s="1637"/>
      <c r="L447" s="1637"/>
      <c r="M447" s="1637"/>
      <c r="N447" s="1637"/>
      <c r="O447" s="1637"/>
      <c r="P447" s="1637"/>
      <c r="Q447" s="1637"/>
      <c r="R447" s="1637"/>
      <c r="S447" s="1637"/>
      <c r="T447" s="1637"/>
      <c r="U447" s="1637"/>
      <c r="V447" s="1637"/>
      <c r="W447" s="1637"/>
      <c r="X447" s="1637"/>
      <c r="Y447" s="1637"/>
      <c r="Z447" s="1637"/>
      <c r="AA447" s="1637"/>
      <c r="AB447" s="1637"/>
      <c r="AC447" s="1637"/>
      <c r="AD447" s="1637"/>
      <c r="AE447" s="1637"/>
      <c r="AF447" s="1828"/>
      <c r="AG447" s="1834">
        <v>38570</v>
      </c>
      <c r="AH447" s="1834"/>
      <c r="AI447" s="1834"/>
      <c r="AJ447" s="183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5" customHeight="1">
      <c r="D448" s="1652" t="s">
        <v>1099</v>
      </c>
      <c r="E448" s="1637"/>
      <c r="F448" s="1637"/>
      <c r="G448" s="1637"/>
      <c r="H448" s="1637"/>
      <c r="I448" s="1637"/>
      <c r="J448" s="1637"/>
      <c r="K448" s="1637"/>
      <c r="L448" s="1637"/>
      <c r="M448" s="1637"/>
      <c r="N448" s="1637"/>
      <c r="O448" s="1637"/>
      <c r="P448" s="1637"/>
      <c r="Q448" s="1637"/>
      <c r="R448" s="1637"/>
      <c r="S448" s="1637"/>
      <c r="T448" s="1637"/>
      <c r="U448" s="1637"/>
      <c r="V448" s="1637"/>
      <c r="W448" s="1637"/>
      <c r="X448" s="1637"/>
      <c r="Y448" s="1637"/>
      <c r="Z448" s="1637"/>
      <c r="AA448" s="1637"/>
      <c r="AB448" s="1637"/>
      <c r="AC448" s="1637"/>
      <c r="AD448" s="1637"/>
      <c r="AE448" s="1637"/>
      <c r="AF448" s="1828"/>
      <c r="AG448" s="1823">
        <v>74147</v>
      </c>
      <c r="AH448" s="1823"/>
      <c r="AI448" s="1823"/>
      <c r="AJ448" s="182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5" customHeight="1">
      <c r="D449" s="1795" t="s">
        <v>1100</v>
      </c>
      <c r="E449" s="1796"/>
      <c r="F449" s="1796"/>
      <c r="G449" s="1796"/>
      <c r="H449" s="1796"/>
      <c r="I449" s="1796"/>
      <c r="J449" s="1796"/>
      <c r="K449" s="1796"/>
      <c r="L449" s="1796"/>
      <c r="M449" s="1796"/>
      <c r="N449" s="1796"/>
      <c r="O449" s="1796"/>
      <c r="P449" s="1796"/>
      <c r="Q449" s="1796"/>
      <c r="R449" s="1796"/>
      <c r="S449" s="1796"/>
      <c r="T449" s="1796"/>
      <c r="U449" s="1796"/>
      <c r="V449" s="1796"/>
      <c r="W449" s="1796"/>
      <c r="X449" s="1796"/>
      <c r="Y449" s="1796"/>
      <c r="Z449" s="1796"/>
      <c r="AA449" s="1796"/>
      <c r="AB449" s="1796"/>
      <c r="AC449" s="1796"/>
      <c r="AD449" s="1796"/>
      <c r="AE449" s="1796"/>
      <c r="AF449" s="1797"/>
      <c r="AG449" s="1822">
        <f>AG441+AG445+AG447+AG448</f>
        <v>235278</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5" customHeight="1">
      <c r="D450" s="1798" t="s">
        <v>1349</v>
      </c>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c r="AA450" s="1798"/>
      <c r="AB450" s="1798"/>
      <c r="AC450" s="1798"/>
      <c r="AD450" s="1798"/>
      <c r="AE450" s="1798"/>
      <c r="AF450" s="1798"/>
      <c r="AG450" s="1798"/>
      <c r="AH450" s="1798"/>
      <c r="AI450" s="1798"/>
      <c r="AJ450" s="179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5" customHeight="1">
      <c r="D451" s="1799"/>
      <c r="E451" s="1799"/>
      <c r="F451" s="1799"/>
      <c r="G451" s="1799"/>
      <c r="H451" s="1799"/>
      <c r="I451" s="1799"/>
      <c r="J451" s="1799"/>
      <c r="K451" s="1799"/>
      <c r="L451" s="1799"/>
      <c r="M451" s="1799"/>
      <c r="N451" s="1799"/>
      <c r="O451" s="1799"/>
      <c r="P451" s="1799"/>
      <c r="Q451" s="1799"/>
      <c r="R451" s="1799"/>
      <c r="S451" s="1799"/>
      <c r="T451" s="1799"/>
      <c r="U451" s="1799"/>
      <c r="V451" s="1799"/>
      <c r="W451" s="1799"/>
      <c r="X451" s="1799"/>
      <c r="Y451" s="1799"/>
      <c r="Z451" s="1799"/>
      <c r="AA451" s="1799"/>
      <c r="AB451" s="1799"/>
      <c r="AC451" s="1799"/>
      <c r="AD451" s="1799"/>
      <c r="AE451" s="1799"/>
      <c r="AF451" s="1799"/>
      <c r="AG451" s="1799"/>
      <c r="AH451" s="1799"/>
      <c r="AI451" s="1799"/>
      <c r="AJ451" s="179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5" customHeight="1">
      <c r="D452" s="557"/>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5" customHeight="1">
      <c r="D453" s="218"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3">
        <f>'Sources and Uses Budget'!B105/Application!AG436</f>
        <v>1033449.0147058824</v>
      </c>
      <c r="AD453" s="1803"/>
      <c r="AE453" s="1803"/>
      <c r="AF453" s="180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5" customHeight="1">
      <c r="D454" s="218"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3">
        <f>'Sources and Uses Budget'!C105/Application!AG436</f>
        <v>1033449.0147058824</v>
      </c>
      <c r="AD454" s="1803"/>
      <c r="AE454" s="1803"/>
      <c r="AF454" s="180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5" customHeight="1">
      <c r="D455" s="218"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3">
        <f>('Sources and Uses Budget'!$S$107+'Sources and Uses Budget'!$T$107)/Application!AG436</f>
        <v>941818.91911764711</v>
      </c>
      <c r="AD455" s="1803"/>
      <c r="AE455" s="1803"/>
      <c r="AF455" s="180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5" customHeight="1">
      <c r="D456" s="186"/>
      <c r="E456" s="186"/>
      <c r="F456" s="180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01"/>
      <c r="H456" s="1801"/>
      <c r="I456" s="1801"/>
      <c r="J456" s="1801"/>
      <c r="K456" s="1801"/>
      <c r="L456" s="1801"/>
      <c r="M456" s="1801"/>
      <c r="N456" s="1801"/>
      <c r="O456" s="1801"/>
      <c r="P456" s="1801"/>
      <c r="Q456" s="1801"/>
      <c r="R456" s="1801"/>
      <c r="S456" s="1801"/>
      <c r="T456" s="1801"/>
      <c r="U456" s="1801"/>
      <c r="V456" s="1801"/>
      <c r="W456" s="1801"/>
      <c r="X456" s="1801"/>
      <c r="Y456" s="1801"/>
      <c r="Z456" s="1801"/>
      <c r="AA456" s="1801"/>
      <c r="AB456" s="1801"/>
      <c r="AC456" s="541"/>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5" customHeight="1">
      <c r="A457" s="2"/>
      <c r="D457" s="2"/>
      <c r="E457" s="186"/>
      <c r="F457" s="1801"/>
      <c r="G457" s="1801"/>
      <c r="H457" s="1801"/>
      <c r="I457" s="1801"/>
      <c r="J457" s="1801"/>
      <c r="K457" s="1801"/>
      <c r="L457" s="1801"/>
      <c r="M457" s="1801"/>
      <c r="N457" s="1801"/>
      <c r="O457" s="1801"/>
      <c r="P457" s="1801"/>
      <c r="Q457" s="1801"/>
      <c r="R457" s="1801"/>
      <c r="S457" s="1801"/>
      <c r="T457" s="1801"/>
      <c r="U457" s="1801"/>
      <c r="V457" s="1801"/>
      <c r="W457" s="1801"/>
      <c r="X457" s="1801"/>
      <c r="Y457" s="1801"/>
      <c r="Z457" s="1801"/>
      <c r="AA457" s="1801"/>
      <c r="AB457" s="180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5" customHeight="1">
      <c r="D462" s="557"/>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5" customHeight="1">
      <c r="A464" s="3"/>
      <c r="B464" s="3"/>
      <c r="C464" s="3"/>
      <c r="D464" s="1815" t="s">
        <v>2527</v>
      </c>
      <c r="E464" s="1781"/>
      <c r="F464" s="1781"/>
      <c r="G464" s="1781"/>
      <c r="H464" s="1781"/>
      <c r="I464" s="1781"/>
      <c r="J464" s="1781"/>
      <c r="K464" s="1781"/>
      <c r="L464" s="1781"/>
      <c r="M464" s="1781"/>
      <c r="N464" s="1781"/>
      <c r="O464" s="1781"/>
      <c r="P464" s="1781"/>
      <c r="Q464" s="1781"/>
      <c r="R464" s="1781"/>
      <c r="S464" s="1781"/>
      <c r="T464" s="1781"/>
      <c r="U464" s="1781"/>
      <c r="V464" s="1782"/>
      <c r="W464" s="1648">
        <v>8</v>
      </c>
      <c r="X464" s="1649"/>
      <c r="Y464" s="1650"/>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5" customHeight="1">
      <c r="A465" s="3"/>
      <c r="B465" s="3"/>
      <c r="C465" s="3"/>
      <c r="D465" s="1780" t="s">
        <v>704</v>
      </c>
      <c r="E465" s="1781"/>
      <c r="F465" s="1781"/>
      <c r="G465" s="1781"/>
      <c r="H465" s="1781"/>
      <c r="I465" s="1781"/>
      <c r="J465" s="1781"/>
      <c r="K465" s="1781"/>
      <c r="L465" s="1781"/>
      <c r="M465" s="1781"/>
      <c r="N465" s="1781"/>
      <c r="O465" s="1781"/>
      <c r="P465" s="1781"/>
      <c r="Q465" s="1781"/>
      <c r="R465" s="1781"/>
      <c r="S465" s="1781"/>
      <c r="T465" s="1781"/>
      <c r="U465" s="1781"/>
      <c r="V465" s="1782"/>
      <c r="W465" s="1648">
        <v>0</v>
      </c>
      <c r="X465" s="1649"/>
      <c r="Y465" s="1650"/>
      <c r="Z465" s="193"/>
      <c r="AA465" s="193"/>
      <c r="AB465" s="193"/>
      <c r="AC465" s="193"/>
      <c r="AD465" s="186"/>
      <c r="AE465" s="186"/>
      <c r="AF465" s="186"/>
      <c r="AG465" s="186"/>
      <c r="AH465" s="186"/>
      <c r="AI465" s="186"/>
      <c r="AJ465" s="192"/>
      <c r="AZ465" s="3"/>
      <c r="BA465" s="3"/>
      <c r="BB465" s="3"/>
      <c r="BC465" s="3"/>
      <c r="BD465" s="3"/>
      <c r="BE465" s="3"/>
      <c r="BF465" s="3"/>
      <c r="BG465" s="3"/>
      <c r="BH465" s="3"/>
      <c r="BI465" s="922"/>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5" customHeight="1">
      <c r="A466" s="3"/>
      <c r="B466" s="3"/>
      <c r="C466" s="3"/>
      <c r="D466" s="1780" t="s">
        <v>705</v>
      </c>
      <c r="E466" s="1781"/>
      <c r="F466" s="1781"/>
      <c r="G466" s="1781"/>
      <c r="H466" s="1781"/>
      <c r="I466" s="1781"/>
      <c r="J466" s="1781"/>
      <c r="K466" s="1781"/>
      <c r="L466" s="1781"/>
      <c r="M466" s="1781"/>
      <c r="N466" s="1781"/>
      <c r="O466" s="1781"/>
      <c r="P466" s="1781"/>
      <c r="Q466" s="1781"/>
      <c r="R466" s="1781"/>
      <c r="S466" s="1781"/>
      <c r="T466" s="1781"/>
      <c r="U466" s="1781"/>
      <c r="V466" s="1782"/>
      <c r="W466" s="1648">
        <v>0</v>
      </c>
      <c r="X466" s="1649"/>
      <c r="Y466" s="165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5" customHeight="1">
      <c r="A467" s="3"/>
      <c r="B467" s="3"/>
      <c r="C467" s="3"/>
      <c r="D467" s="1780" t="s">
        <v>706</v>
      </c>
      <c r="E467" s="1781"/>
      <c r="F467" s="1781"/>
      <c r="G467" s="1781"/>
      <c r="H467" s="1781"/>
      <c r="I467" s="1781"/>
      <c r="J467" s="1781"/>
      <c r="K467" s="1781"/>
      <c r="L467" s="1781"/>
      <c r="M467" s="1781"/>
      <c r="N467" s="1781"/>
      <c r="O467" s="1781"/>
      <c r="P467" s="1781"/>
      <c r="Q467" s="1781"/>
      <c r="R467" s="1781"/>
      <c r="S467" s="1781"/>
      <c r="T467" s="1781"/>
      <c r="U467" s="1781"/>
      <c r="V467" s="1782"/>
      <c r="W467" s="1648">
        <v>0</v>
      </c>
      <c r="X467" s="1649"/>
      <c r="Y467" s="165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5" customHeight="1">
      <c r="A468" s="3"/>
      <c r="B468" s="3"/>
      <c r="C468" s="3"/>
      <c r="D468" s="1780" t="s">
        <v>911</v>
      </c>
      <c r="E468" s="1781"/>
      <c r="F468" s="1781"/>
      <c r="G468" s="1781"/>
      <c r="H468" s="1781"/>
      <c r="I468" s="1781"/>
      <c r="J468" s="1781"/>
      <c r="K468" s="1781"/>
      <c r="L468" s="1781"/>
      <c r="M468" s="1781"/>
      <c r="N468" s="1781"/>
      <c r="O468" s="1781"/>
      <c r="P468" s="1781"/>
      <c r="Q468" s="1781"/>
      <c r="R468" s="1781"/>
      <c r="S468" s="1781"/>
      <c r="T468" s="1781"/>
      <c r="U468" s="1781"/>
      <c r="V468" s="1782"/>
      <c r="W468" s="1648">
        <v>0</v>
      </c>
      <c r="X468" s="1649"/>
      <c r="Y468" s="165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5" customHeight="1">
      <c r="A469" s="3"/>
      <c r="B469" s="3"/>
      <c r="C469" s="3"/>
      <c r="D469" s="1780" t="s">
        <v>707</v>
      </c>
      <c r="E469" s="1781"/>
      <c r="F469" s="1781"/>
      <c r="G469" s="1781"/>
      <c r="H469" s="1781"/>
      <c r="I469" s="1781"/>
      <c r="J469" s="1781"/>
      <c r="K469" s="1781"/>
      <c r="L469" s="1781"/>
      <c r="M469" s="1781"/>
      <c r="N469" s="1781"/>
      <c r="O469" s="1781"/>
      <c r="P469" s="1781"/>
      <c r="Q469" s="1781"/>
      <c r="R469" s="1781"/>
      <c r="S469" s="1781"/>
      <c r="T469" s="1781"/>
      <c r="U469" s="1781"/>
      <c r="V469" s="1782"/>
      <c r="W469" s="1648">
        <v>0</v>
      </c>
      <c r="X469" s="1649"/>
      <c r="Y469" s="1650"/>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5" customHeight="1">
      <c r="A470" s="3"/>
      <c r="B470" s="3"/>
      <c r="C470" s="3"/>
      <c r="D470" s="1780" t="s">
        <v>1069</v>
      </c>
      <c r="E470" s="1781"/>
      <c r="F470" s="1781"/>
      <c r="G470" s="1781"/>
      <c r="H470" s="1781"/>
      <c r="I470" s="1781"/>
      <c r="J470" s="1781"/>
      <c r="K470" s="1781"/>
      <c r="L470" s="1781"/>
      <c r="M470" s="1781"/>
      <c r="N470" s="1781"/>
      <c r="O470" s="1781"/>
      <c r="P470" s="1781"/>
      <c r="Q470" s="1781"/>
      <c r="R470" s="1781"/>
      <c r="S470" s="1781"/>
      <c r="T470" s="1781"/>
      <c r="U470" s="1781"/>
      <c r="V470" s="1782"/>
      <c r="W470" s="1648">
        <v>0</v>
      </c>
      <c r="X470" s="1649"/>
      <c r="Y470" s="1650"/>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5" customHeight="1">
      <c r="A471" s="3"/>
      <c r="B471" s="3"/>
      <c r="C471" s="3"/>
      <c r="D471" s="1815" t="s">
        <v>1835</v>
      </c>
      <c r="E471" s="1781"/>
      <c r="F471" s="1781"/>
      <c r="G471" s="1781"/>
      <c r="H471" s="1781"/>
      <c r="I471" s="1781"/>
      <c r="J471" s="1781"/>
      <c r="K471" s="1781"/>
      <c r="L471" s="1781"/>
      <c r="M471" s="1781"/>
      <c r="N471" s="1781"/>
      <c r="O471" s="1781"/>
      <c r="P471" s="1781"/>
      <c r="Q471" s="1781"/>
      <c r="R471" s="1781"/>
      <c r="S471" s="1781"/>
      <c r="T471" s="1781"/>
      <c r="U471" s="1781"/>
      <c r="V471" s="1782"/>
      <c r="W471" s="1648">
        <v>25</v>
      </c>
      <c r="X471" s="1649"/>
      <c r="Y471" s="165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5" customHeight="1">
      <c r="A472" s="3"/>
      <c r="B472" s="3"/>
      <c r="C472" s="3"/>
      <c r="D472" s="253" t="s">
        <v>171</v>
      </c>
      <c r="E472" s="254"/>
      <c r="F472" s="255"/>
      <c r="G472" s="1818"/>
      <c r="H472" s="1819"/>
      <c r="I472" s="1819"/>
      <c r="J472" s="1819"/>
      <c r="K472" s="1819"/>
      <c r="L472" s="1819"/>
      <c r="M472" s="1819"/>
      <c r="N472" s="1819"/>
      <c r="O472" s="1819"/>
      <c r="P472" s="1819"/>
      <c r="Q472" s="1819"/>
      <c r="R472" s="1819"/>
      <c r="S472" s="1819"/>
      <c r="T472" s="1819"/>
      <c r="U472" s="1819"/>
      <c r="V472" s="1820"/>
      <c r="W472" s="1648">
        <v>0</v>
      </c>
      <c r="X472" s="1649"/>
      <c r="Y472" s="165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5" customHeight="1">
      <c r="A473" s="3"/>
      <c r="B473" s="3"/>
      <c r="C473" s="3"/>
      <c r="D473" s="256" t="s">
        <v>912</v>
      </c>
      <c r="E473" s="257"/>
      <c r="F473" s="257"/>
      <c r="G473" s="194"/>
      <c r="H473" s="194"/>
      <c r="I473" s="194"/>
      <c r="J473" s="194"/>
      <c r="K473" s="194"/>
      <c r="L473" s="194"/>
      <c r="M473" s="194"/>
      <c r="N473" s="194"/>
      <c r="O473" s="194"/>
      <c r="P473" s="194"/>
      <c r="Q473" s="194"/>
      <c r="R473" s="194"/>
      <c r="S473" s="194"/>
      <c r="T473" s="194"/>
      <c r="U473" s="194"/>
      <c r="V473" s="194"/>
      <c r="W473" s="258"/>
      <c r="X473" s="258"/>
      <c r="Y473" s="25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5" customHeight="1">
      <c r="A474" s="3"/>
      <c r="B474" s="3"/>
      <c r="C474" s="3"/>
      <c r="D474" s="1256" t="s">
        <v>2797</v>
      </c>
      <c r="E474" s="260"/>
      <c r="F474" s="260"/>
      <c r="G474" s="260"/>
      <c r="H474" s="260"/>
      <c r="I474" s="260"/>
      <c r="J474" s="260"/>
      <c r="K474" s="260"/>
      <c r="L474" s="260"/>
      <c r="M474" s="260"/>
      <c r="N474" s="260"/>
      <c r="O474" s="260"/>
      <c r="P474" s="260"/>
      <c r="Q474" s="260"/>
      <c r="R474" s="260"/>
      <c r="S474" s="260"/>
      <c r="T474" s="260"/>
      <c r="U474" s="260"/>
      <c r="V474" s="260"/>
      <c r="W474" s="261"/>
      <c r="X474" s="261"/>
      <c r="Y474" s="26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5" customHeight="1">
      <c r="A475" s="3"/>
      <c r="B475" s="3"/>
      <c r="C475" s="3"/>
      <c r="D475" s="1256" t="s">
        <v>2798</v>
      </c>
      <c r="E475" s="260"/>
      <c r="F475" s="260"/>
      <c r="G475" s="260"/>
      <c r="H475" s="260"/>
      <c r="I475" s="260"/>
      <c r="J475" s="260"/>
      <c r="K475" s="260"/>
      <c r="L475" s="260"/>
      <c r="M475" s="260"/>
      <c r="N475" s="260"/>
      <c r="O475" s="260"/>
      <c r="P475" s="260"/>
      <c r="Q475" s="260"/>
      <c r="R475" s="260"/>
      <c r="S475" s="260"/>
      <c r="T475" s="260"/>
      <c r="U475" s="260"/>
      <c r="V475" s="260"/>
      <c r="W475" s="261"/>
      <c r="X475" s="261"/>
      <c r="Y475" s="262"/>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5" customHeight="1">
      <c r="A476" s="3"/>
      <c r="B476" s="3"/>
      <c r="C476" s="3"/>
      <c r="D476" s="1256" t="s">
        <v>2799</v>
      </c>
      <c r="E476" s="260"/>
      <c r="F476" s="260"/>
      <c r="G476" s="260"/>
      <c r="H476" s="260"/>
      <c r="I476" s="260"/>
      <c r="J476" s="260"/>
      <c r="K476" s="260"/>
      <c r="L476" s="260"/>
      <c r="M476" s="260"/>
      <c r="N476" s="260"/>
      <c r="O476" s="260"/>
      <c r="P476" s="260"/>
      <c r="Q476" s="260"/>
      <c r="R476" s="260"/>
      <c r="S476" s="260"/>
      <c r="T476" s="260"/>
      <c r="U476" s="260"/>
      <c r="V476" s="260"/>
      <c r="W476" s="261"/>
      <c r="X476" s="261"/>
      <c r="Y476" s="262"/>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5" customHeight="1">
      <c r="A478" s="1639" t="s">
        <v>836</v>
      </c>
      <c r="B478" s="1639"/>
      <c r="C478" s="1639"/>
      <c r="D478" s="1639"/>
      <c r="E478" s="1639"/>
      <c r="F478" s="1639"/>
      <c r="G478" s="1639"/>
      <c r="H478" s="1639"/>
      <c r="I478" s="1639"/>
      <c r="J478" s="1639"/>
      <c r="K478" s="1639"/>
      <c r="L478" s="1639"/>
      <c r="M478" s="1639"/>
      <c r="N478" s="1639"/>
      <c r="O478" s="1639"/>
      <c r="P478" s="1639"/>
      <c r="Q478" s="1639"/>
      <c r="R478" s="1639"/>
      <c r="S478" s="1639"/>
      <c r="T478" s="1639"/>
      <c r="U478" s="1639"/>
      <c r="V478" s="1639"/>
      <c r="W478" s="1639"/>
      <c r="X478" s="1639"/>
      <c r="Y478" s="1639"/>
      <c r="Z478" s="1639"/>
      <c r="AA478" s="1639"/>
      <c r="AB478" s="1639"/>
      <c r="AC478" s="1639"/>
      <c r="AD478" s="1639"/>
      <c r="AE478" s="1639"/>
      <c r="AF478" s="1639"/>
      <c r="AG478" s="1639"/>
      <c r="AH478" s="1639"/>
      <c r="AI478" s="1639"/>
      <c r="AJ478" s="1639"/>
      <c r="AK478" s="1639"/>
      <c r="AL478" s="1639"/>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5" customHeight="1" thickBot="1">
      <c r="A479" s="1640"/>
      <c r="B479" s="1640"/>
      <c r="C479" s="1640"/>
      <c r="D479" s="1640"/>
      <c r="E479" s="1640"/>
      <c r="F479" s="1640"/>
      <c r="G479" s="1640"/>
      <c r="H479" s="1640"/>
      <c r="I479" s="1640"/>
      <c r="J479" s="1640"/>
      <c r="K479" s="1640"/>
      <c r="L479" s="1640"/>
      <c r="M479" s="1640"/>
      <c r="N479" s="1640"/>
      <c r="O479" s="1640"/>
      <c r="P479" s="1640"/>
      <c r="Q479" s="1640"/>
      <c r="R479" s="1640"/>
      <c r="S479" s="1640"/>
      <c r="T479" s="1640"/>
      <c r="U479" s="1640"/>
      <c r="V479" s="1640"/>
      <c r="W479" s="1640"/>
      <c r="X479" s="1640"/>
      <c r="Y479" s="1640"/>
      <c r="Z479" s="1640"/>
      <c r="AA479" s="1640"/>
      <c r="AB479" s="1640"/>
      <c r="AC479" s="1640"/>
      <c r="AD479" s="1640"/>
      <c r="AE479" s="1640"/>
      <c r="AF479" s="1640"/>
      <c r="AG479" s="1640"/>
      <c r="AH479" s="1640"/>
      <c r="AI479" s="1640"/>
      <c r="AJ479" s="1640"/>
      <c r="AK479" s="1640"/>
      <c r="AL479" s="164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5" customHeight="1">
      <c r="B483" s="45"/>
      <c r="C483" s="5"/>
      <c r="D483" s="5"/>
      <c r="E483" s="5"/>
      <c r="F483" s="5"/>
      <c r="G483" s="5"/>
      <c r="H483" s="5"/>
      <c r="I483" s="5"/>
      <c r="J483" s="5"/>
      <c r="K483" s="5"/>
      <c r="L483" s="5"/>
      <c r="M483" s="5"/>
      <c r="N483" s="5"/>
      <c r="O483" s="5"/>
      <c r="P483" s="46"/>
      <c r="Q483" s="1789" t="s">
        <v>395</v>
      </c>
      <c r="R483" s="1790"/>
      <c r="S483" s="1790"/>
      <c r="T483" s="1790"/>
      <c r="U483" s="1790"/>
      <c r="V483" s="1790"/>
      <c r="W483" s="1790"/>
      <c r="X483" s="1790"/>
      <c r="Y483" s="1790"/>
      <c r="Z483" s="1790"/>
      <c r="AA483" s="1790"/>
      <c r="AB483" s="1790"/>
      <c r="AC483" s="1790"/>
      <c r="AD483" s="1790"/>
      <c r="AE483" s="1790"/>
      <c r="AF483" s="1790"/>
      <c r="AG483" s="1790"/>
      <c r="AH483" s="1790"/>
      <c r="AI483" s="1790"/>
      <c r="AJ483" s="1790"/>
      <c r="AK483" s="179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5" customHeight="1">
      <c r="B484" s="45" t="s">
        <v>396</v>
      </c>
      <c r="C484" s="5"/>
      <c r="D484" s="5"/>
      <c r="E484" s="5"/>
      <c r="F484" s="5"/>
      <c r="G484" s="5"/>
      <c r="H484" s="5"/>
      <c r="I484" s="5"/>
      <c r="J484" s="5"/>
      <c r="K484" s="5"/>
      <c r="L484" s="5"/>
      <c r="M484" s="5"/>
      <c r="N484" s="5"/>
      <c r="O484" s="5"/>
      <c r="P484" s="5"/>
      <c r="Q484" s="1678" t="s">
        <v>2713</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5" customHeight="1">
      <c r="B485" s="45" t="s">
        <v>397</v>
      </c>
      <c r="C485" s="5"/>
      <c r="D485" s="5"/>
      <c r="E485" s="5"/>
      <c r="F485" s="5"/>
      <c r="G485" s="5"/>
      <c r="H485" s="5"/>
      <c r="I485" s="5"/>
      <c r="J485" s="5"/>
      <c r="K485" s="5"/>
      <c r="L485" s="5"/>
      <c r="M485" s="5"/>
      <c r="N485" s="5"/>
      <c r="O485" s="5"/>
      <c r="P485" s="5"/>
      <c r="Q485" s="1678" t="s">
        <v>2714</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5" customHeight="1">
      <c r="B486" s="45" t="s">
        <v>398</v>
      </c>
      <c r="C486" s="5"/>
      <c r="D486" s="5"/>
      <c r="E486" s="5"/>
      <c r="F486" s="5"/>
      <c r="G486" s="5"/>
      <c r="H486" s="5"/>
      <c r="I486" s="5"/>
      <c r="J486" s="5"/>
      <c r="K486" s="5"/>
      <c r="L486" s="5"/>
      <c r="M486" s="5"/>
      <c r="N486" s="5"/>
      <c r="O486" s="5"/>
      <c r="P486" s="5"/>
      <c r="Q486" s="1678" t="s">
        <v>2715</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5" customHeight="1">
      <c r="B487" s="1841" t="s">
        <v>399</v>
      </c>
      <c r="C487" s="1842"/>
      <c r="D487" s="1842"/>
      <c r="E487" s="1842"/>
      <c r="F487" s="1842"/>
      <c r="G487" s="1842"/>
      <c r="H487" s="1842"/>
      <c r="I487" s="1842"/>
      <c r="J487" s="1842"/>
      <c r="K487" s="1842"/>
      <c r="L487" s="1842"/>
      <c r="M487" s="1842"/>
      <c r="N487" s="1842"/>
      <c r="O487" s="1842"/>
      <c r="P487" s="1843"/>
      <c r="Q487" s="1847" t="s">
        <v>679</v>
      </c>
      <c r="R487" s="1848"/>
      <c r="S487" s="1592" t="s">
        <v>167</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5" customHeight="1">
      <c r="B488" s="1844"/>
      <c r="C488" s="1845"/>
      <c r="D488" s="1845"/>
      <c r="E488" s="1845"/>
      <c r="F488" s="1845"/>
      <c r="G488" s="1845"/>
      <c r="H488" s="1845"/>
      <c r="I488" s="1845"/>
      <c r="J488" s="1845"/>
      <c r="K488" s="1845"/>
      <c r="L488" s="1845"/>
      <c r="M488" s="1845"/>
      <c r="N488" s="1845"/>
      <c r="O488" s="1845"/>
      <c r="P488" s="1846"/>
      <c r="Q488" s="1849"/>
      <c r="R488" s="1850"/>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5" customHeight="1">
      <c r="B489" s="923" t="s">
        <v>1853</v>
      </c>
      <c r="C489" s="900"/>
      <c r="D489" s="900"/>
      <c r="E489" s="900"/>
      <c r="F489" s="900"/>
      <c r="G489" s="900"/>
      <c r="H489" s="900"/>
      <c r="I489" s="900"/>
      <c r="J489" s="900"/>
      <c r="K489" s="900"/>
      <c r="L489" s="900"/>
      <c r="M489" s="900"/>
      <c r="N489" s="900"/>
      <c r="O489" s="900"/>
      <c r="P489" s="900"/>
      <c r="Q489" s="1831" t="s">
        <v>679</v>
      </c>
      <c r="R489" s="1832"/>
      <c r="S489" s="1832"/>
      <c r="T489" s="1832"/>
      <c r="U489" s="1832"/>
      <c r="V489" s="1832"/>
      <c r="W489" s="1832"/>
      <c r="X489" s="1832"/>
      <c r="Y489" s="1832"/>
      <c r="Z489" s="1832"/>
      <c r="AA489" s="1832"/>
      <c r="AB489" s="1832"/>
      <c r="AC489" s="1832"/>
      <c r="AD489" s="1832"/>
      <c r="AE489" s="1832"/>
      <c r="AF489" s="1832"/>
      <c r="AG489" s="1832"/>
      <c r="AH489" s="1832"/>
      <c r="AI489" s="1832"/>
      <c r="AJ489" s="1832"/>
      <c r="AK489" s="183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5" customHeight="1">
      <c r="B490" s="45" t="s">
        <v>400</v>
      </c>
      <c r="C490" s="5"/>
      <c r="D490" s="5"/>
      <c r="E490" s="5"/>
      <c r="F490" s="5"/>
      <c r="G490" s="5"/>
      <c r="H490" s="5"/>
      <c r="I490" s="5"/>
      <c r="J490" s="5"/>
      <c r="K490" s="5"/>
      <c r="L490" s="5"/>
      <c r="M490" s="5"/>
      <c r="N490" s="5"/>
      <c r="O490" s="5"/>
      <c r="P490" s="5"/>
      <c r="Q490" s="1678" t="s">
        <v>2716</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5" customHeight="1">
      <c r="B491" s="45" t="s">
        <v>401</v>
      </c>
      <c r="C491" s="5"/>
      <c r="D491" s="5"/>
      <c r="E491" s="5"/>
      <c r="F491" s="5"/>
      <c r="G491" s="5"/>
      <c r="H491" s="5"/>
      <c r="I491" s="5"/>
      <c r="J491" s="5"/>
      <c r="K491" s="5"/>
      <c r="L491" s="5"/>
      <c r="M491" s="5"/>
      <c r="N491" s="5"/>
      <c r="O491" s="5"/>
      <c r="P491" s="5"/>
      <c r="Q491" s="1678" t="s">
        <v>2717</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5" customHeight="1">
      <c r="B492" s="121" t="s">
        <v>1850</v>
      </c>
      <c r="C492" s="5"/>
      <c r="D492" s="5"/>
      <c r="E492" s="5"/>
      <c r="F492" s="5"/>
      <c r="G492" s="5"/>
      <c r="H492" s="5"/>
      <c r="I492" s="5"/>
      <c r="J492" s="5"/>
      <c r="K492" s="5"/>
      <c r="L492" s="5"/>
      <c r="M492" s="5"/>
      <c r="N492" s="5"/>
      <c r="O492" s="5"/>
      <c r="P492" s="5"/>
      <c r="Q492" s="1678">
        <v>212</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5" customHeight="1">
      <c r="B493" s="121" t="s">
        <v>1851</v>
      </c>
      <c r="C493" s="5"/>
      <c r="D493" s="5"/>
      <c r="E493" s="5"/>
      <c r="F493" s="5"/>
      <c r="G493" s="5"/>
      <c r="H493" s="5"/>
      <c r="I493" s="5"/>
      <c r="J493" s="5"/>
      <c r="K493" s="5"/>
      <c r="L493" s="5"/>
      <c r="M493" s="1429">
        <v>159</v>
      </c>
      <c r="N493" s="1430"/>
      <c r="O493" s="1430"/>
      <c r="P493" s="1431"/>
      <c r="Q493" s="121" t="s">
        <v>1852</v>
      </c>
      <c r="R493" s="5"/>
      <c r="S493" s="5"/>
      <c r="T493" s="5"/>
      <c r="U493" s="5"/>
      <c r="V493" s="5"/>
      <c r="W493" s="5"/>
      <c r="X493" s="5"/>
      <c r="Y493" s="5"/>
      <c r="Z493" s="5"/>
      <c r="AA493" s="5"/>
      <c r="AB493" s="5"/>
      <c r="AC493" s="5"/>
      <c r="AD493" s="5"/>
      <c r="AE493" s="5"/>
      <c r="AF493" s="5"/>
      <c r="AG493" s="5"/>
      <c r="AH493" s="1429">
        <v>53</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5" customHeight="1">
      <c r="B494" s="538"/>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5" customHeight="1">
      <c r="B496" s="554"/>
      <c r="C496" s="538"/>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2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9" t="s">
        <v>403</v>
      </c>
      <c r="AD497" s="1790"/>
      <c r="AE497" s="1790"/>
      <c r="AF497" s="1790"/>
      <c r="AG497" s="1790"/>
      <c r="AH497" s="1790"/>
      <c r="AI497" s="1790"/>
      <c r="AJ497" s="1790"/>
      <c r="AK497" s="179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2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9" t="s">
        <v>404</v>
      </c>
      <c r="AD498" s="1790"/>
      <c r="AE498" s="1790"/>
      <c r="AF498" s="1790"/>
      <c r="AG498" s="50" t="s">
        <v>405</v>
      </c>
      <c r="AH498" s="1790" t="s">
        <v>406</v>
      </c>
      <c r="AI498" s="1790"/>
      <c r="AJ498" s="1790"/>
      <c r="AK498" s="17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25" customHeight="1">
      <c r="B499" s="1733" t="s">
        <v>407</v>
      </c>
      <c r="C499" s="1371"/>
      <c r="D499" s="1371"/>
      <c r="E499" s="1371"/>
      <c r="F499" s="1371"/>
      <c r="G499" s="1371"/>
      <c r="H499" s="1372"/>
      <c r="I499" s="42" t="s">
        <v>408</v>
      </c>
      <c r="J499" s="42"/>
      <c r="K499" s="42"/>
      <c r="L499" s="42"/>
      <c r="M499" s="42"/>
      <c r="N499" s="42"/>
      <c r="O499" s="42"/>
      <c r="P499" s="42"/>
      <c r="Q499" s="42"/>
      <c r="R499" s="42"/>
      <c r="S499" s="42"/>
      <c r="T499" s="42"/>
      <c r="U499" s="42"/>
      <c r="V499" s="42"/>
      <c r="W499" s="42"/>
      <c r="AC499" s="1785">
        <v>12</v>
      </c>
      <c r="AD499" s="1731"/>
      <c r="AE499" s="1731"/>
      <c r="AF499" s="1731"/>
      <c r="AG499" s="13" t="s">
        <v>405</v>
      </c>
      <c r="AH499" s="1517">
        <v>2019</v>
      </c>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25" customHeight="1">
      <c r="B500" s="1734"/>
      <c r="C500" s="1373"/>
      <c r="D500" s="1373"/>
      <c r="E500" s="1373"/>
      <c r="F500" s="1373"/>
      <c r="G500" s="1373"/>
      <c r="H500" s="1374"/>
      <c r="I500" s="48" t="s">
        <v>409</v>
      </c>
      <c r="J500" s="48"/>
      <c r="K500" s="48"/>
      <c r="L500" s="48"/>
      <c r="M500" s="48"/>
      <c r="N500" s="48"/>
      <c r="O500" s="48"/>
      <c r="P500" s="48"/>
      <c r="Q500" s="48"/>
      <c r="R500" s="48"/>
      <c r="S500" s="48"/>
      <c r="T500" s="48"/>
      <c r="U500" s="48"/>
      <c r="V500" s="48"/>
      <c r="W500" s="48"/>
      <c r="X500" s="48"/>
      <c r="Y500" s="48"/>
      <c r="Z500" s="48"/>
      <c r="AA500" s="48"/>
      <c r="AB500" s="48"/>
      <c r="AC500" s="1785">
        <v>10</v>
      </c>
      <c r="AD500" s="1731"/>
      <c r="AE500" s="1731"/>
      <c r="AF500" s="1731"/>
      <c r="AG500" s="38" t="s">
        <v>405</v>
      </c>
      <c r="AH500" s="1517">
        <v>2023</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25" customHeight="1">
      <c r="B501" s="1733" t="s">
        <v>410</v>
      </c>
      <c r="C501" s="1371"/>
      <c r="D501" s="1371"/>
      <c r="E501" s="1371"/>
      <c r="F501" s="1371"/>
      <c r="G501" s="1371"/>
      <c r="H501" s="1372"/>
      <c r="I501" s="42" t="s">
        <v>411</v>
      </c>
      <c r="J501" s="42"/>
      <c r="K501" s="42"/>
      <c r="L501" s="42"/>
      <c r="M501" s="42"/>
      <c r="N501" s="42"/>
      <c r="O501" s="42"/>
      <c r="P501" s="42"/>
      <c r="Q501" s="42"/>
      <c r="R501" s="42"/>
      <c r="S501" s="42"/>
      <c r="T501" s="42"/>
      <c r="U501" s="42"/>
      <c r="V501" s="42"/>
      <c r="W501" s="42"/>
      <c r="AC501" s="1785" t="s">
        <v>601</v>
      </c>
      <c r="AD501" s="1731"/>
      <c r="AE501" s="1731"/>
      <c r="AF501" s="1731"/>
      <c r="AG501" s="13" t="s">
        <v>405</v>
      </c>
      <c r="AH501" s="1517"/>
      <c r="AI501" s="1517"/>
      <c r="AJ501" s="1517"/>
      <c r="AK501" s="151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25" customHeight="1">
      <c r="B502" s="1734"/>
      <c r="C502" s="1373"/>
      <c r="D502" s="1373"/>
      <c r="E502" s="1373"/>
      <c r="F502" s="1373"/>
      <c r="G502" s="1373"/>
      <c r="H502" s="1374"/>
      <c r="I502" t="s">
        <v>412</v>
      </c>
      <c r="AC502" s="1785" t="s">
        <v>601</v>
      </c>
      <c r="AD502" s="1731"/>
      <c r="AE502" s="1731"/>
      <c r="AF502" s="1731"/>
      <c r="AG502" s="13" t="s">
        <v>405</v>
      </c>
      <c r="AH502" s="1517"/>
      <c r="AI502" s="1517"/>
      <c r="AJ502" s="1517"/>
      <c r="AK502" s="151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25" customHeight="1">
      <c r="B503" s="1734"/>
      <c r="C503" s="1373"/>
      <c r="D503" s="1373"/>
      <c r="E503" s="1373"/>
      <c r="F503" s="1373"/>
      <c r="G503" s="1373"/>
      <c r="H503" s="1374"/>
      <c r="I503" t="s">
        <v>413</v>
      </c>
      <c r="AC503" s="1785" t="s">
        <v>601</v>
      </c>
      <c r="AD503" s="1731"/>
      <c r="AE503" s="1731"/>
      <c r="AF503" s="1731"/>
      <c r="AG503" s="13" t="s">
        <v>405</v>
      </c>
      <c r="AH503" s="1517"/>
      <c r="AI503" s="1517"/>
      <c r="AJ503" s="1517"/>
      <c r="AK503" s="151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25" customHeight="1">
      <c r="B504" s="1734"/>
      <c r="C504" s="1373"/>
      <c r="D504" s="1373"/>
      <c r="E504" s="1373"/>
      <c r="F504" s="1373"/>
      <c r="G504" s="1373"/>
      <c r="H504" s="1374"/>
      <c r="I504" t="s">
        <v>414</v>
      </c>
      <c r="AC504" s="1785" t="s">
        <v>601</v>
      </c>
      <c r="AD504" s="1731"/>
      <c r="AE504" s="1731"/>
      <c r="AF504" s="1731"/>
      <c r="AG504" s="13" t="s">
        <v>405</v>
      </c>
      <c r="AH504" s="1517"/>
      <c r="AI504" s="1517"/>
      <c r="AJ504" s="1517"/>
      <c r="AK504" s="151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25" customHeight="1">
      <c r="B505" s="1734"/>
      <c r="C505" s="1373"/>
      <c r="D505" s="1373"/>
      <c r="E505" s="1373"/>
      <c r="F505" s="1373"/>
      <c r="G505" s="1373"/>
      <c r="H505" s="1374"/>
      <c r="I505" s="3" t="s">
        <v>415</v>
      </c>
      <c r="AC505" s="1383">
        <v>10</v>
      </c>
      <c r="AD505" s="1384"/>
      <c r="AE505" s="1384"/>
      <c r="AF505" s="1384"/>
      <c r="AG505" s="13" t="s">
        <v>405</v>
      </c>
      <c r="AH505" s="1517">
        <v>2023</v>
      </c>
      <c r="AI505" s="1517"/>
      <c r="AJ505" s="1517"/>
      <c r="AK505" s="151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25" customHeight="1">
      <c r="B506" s="1734"/>
      <c r="C506" s="1373"/>
      <c r="D506" s="1373"/>
      <c r="E506" s="1373"/>
      <c r="F506" s="1373"/>
      <c r="G506" s="1373"/>
      <c r="H506" s="1374"/>
      <c r="I506" s="924" t="s">
        <v>171</v>
      </c>
      <c r="J506" s="48"/>
      <c r="K506" s="48"/>
      <c r="L506" s="1792" t="s">
        <v>336</v>
      </c>
      <c r="M506" s="1793"/>
      <c r="N506" s="1793"/>
      <c r="O506" s="1793"/>
      <c r="P506" s="1793"/>
      <c r="Q506" s="1793"/>
      <c r="R506" s="1793"/>
      <c r="S506" s="1793"/>
      <c r="T506" s="1793"/>
      <c r="U506" s="1793"/>
      <c r="V506" s="1793"/>
      <c r="W506" s="1793"/>
      <c r="X506" s="1793"/>
      <c r="Y506" s="1793"/>
      <c r="Z506" s="1793"/>
      <c r="AA506" s="1793"/>
      <c r="AB506" s="1839"/>
      <c r="AC506" s="1785" t="s">
        <v>601</v>
      </c>
      <c r="AD506" s="1731"/>
      <c r="AE506" s="1731"/>
      <c r="AF506" s="1731"/>
      <c r="AG506" s="38" t="s">
        <v>405</v>
      </c>
      <c r="AH506" s="1517"/>
      <c r="AI506" s="1517"/>
      <c r="AJ506" s="1517"/>
      <c r="AK506" s="151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25" customHeight="1">
      <c r="B507" s="898"/>
      <c r="C507" s="130"/>
      <c r="D507" s="130"/>
      <c r="E507" s="130"/>
      <c r="F507" s="130"/>
      <c r="G507" s="130"/>
      <c r="H507" s="899"/>
      <c r="I507" s="3" t="s">
        <v>1857</v>
      </c>
      <c r="AC507" s="1838" t="s">
        <v>555</v>
      </c>
      <c r="AD507" s="1838"/>
      <c r="AE507" s="1838"/>
      <c r="AF507" s="1838"/>
      <c r="AG507" s="13"/>
      <c r="AH507" s="1294"/>
      <c r="AI507" s="1294"/>
      <c r="AJ507" s="1294"/>
      <c r="AK507" s="184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25" customHeight="1">
      <c r="B508" s="898"/>
      <c r="C508" s="130"/>
      <c r="D508" s="130"/>
      <c r="E508" s="130"/>
      <c r="F508" s="130"/>
      <c r="G508" s="130"/>
      <c r="H508" s="899"/>
      <c r="I508" t="s">
        <v>1854</v>
      </c>
      <c r="AC508" s="1383">
        <v>1</v>
      </c>
      <c r="AD508" s="1384"/>
      <c r="AE508" s="1384"/>
      <c r="AF508" s="1385"/>
      <c r="AG508" s="13"/>
      <c r="AH508" s="1294"/>
      <c r="AI508" s="1294"/>
      <c r="AJ508" s="1294"/>
      <c r="AK508" s="184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25" customHeight="1">
      <c r="B509" s="898"/>
      <c r="C509" s="130"/>
      <c r="D509" s="130"/>
      <c r="E509" s="130"/>
      <c r="F509" s="130"/>
      <c r="G509" s="130"/>
      <c r="H509" s="899"/>
      <c r="I509" t="s">
        <v>1855</v>
      </c>
      <c r="AC509" s="917"/>
      <c r="AD509" s="918"/>
      <c r="AE509" s="918"/>
      <c r="AF509" s="919"/>
      <c r="AG509" s="13"/>
      <c r="AH509" s="1"/>
      <c r="AI509" s="1"/>
      <c r="AJ509" s="1"/>
      <c r="AK509" s="1025"/>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25" customHeight="1">
      <c r="B510" s="898"/>
      <c r="C510" s="130"/>
      <c r="D510" s="130"/>
      <c r="E510" s="130"/>
      <c r="F510" s="130"/>
      <c r="G510" s="130"/>
      <c r="H510" s="899"/>
      <c r="I510" s="925" t="s">
        <v>1856</v>
      </c>
      <c r="J510" s="48"/>
      <c r="K510" s="48"/>
      <c r="L510" s="48"/>
      <c r="M510" s="48"/>
      <c r="N510" s="48"/>
      <c r="O510" s="48"/>
      <c r="P510" s="48"/>
      <c r="Q510" s="48"/>
      <c r="R510" s="48"/>
      <c r="S510" s="48"/>
      <c r="T510" s="48"/>
      <c r="U510" s="48"/>
      <c r="V510" s="48"/>
      <c r="W510" s="48"/>
      <c r="X510" s="48"/>
      <c r="Y510" s="48"/>
      <c r="Z510" s="48"/>
      <c r="AA510" s="48"/>
      <c r="AB510" s="48"/>
      <c r="AC510" s="1854">
        <v>0.5</v>
      </c>
      <c r="AD510" s="1855"/>
      <c r="AE510" s="1855"/>
      <c r="AF510" s="1856"/>
      <c r="AG510" s="38"/>
      <c r="AH510" s="1857"/>
      <c r="AI510" s="1857"/>
      <c r="AJ510" s="1857"/>
      <c r="AK510" s="185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25" customHeight="1">
      <c r="B511" s="898"/>
      <c r="C511" s="130"/>
      <c r="D511" s="130"/>
      <c r="E511" s="130"/>
      <c r="F511" s="130"/>
      <c r="G511" s="130"/>
      <c r="H511" s="899"/>
      <c r="I511" s="3"/>
      <c r="L511" s="8"/>
      <c r="M511" s="8"/>
      <c r="N511" s="8"/>
      <c r="O511" s="8"/>
      <c r="P511" s="8"/>
      <c r="Q511" s="8"/>
      <c r="R511" s="8"/>
      <c r="S511" s="8"/>
      <c r="T511" s="8"/>
      <c r="U511" s="8"/>
      <c r="V511" s="8"/>
      <c r="W511" s="8"/>
      <c r="X511" s="1026"/>
      <c r="Y511" s="1026"/>
      <c r="Z511" s="1026"/>
      <c r="AA511" s="1026"/>
      <c r="AB511" s="1033"/>
      <c r="AC511" s="1829" t="s">
        <v>404</v>
      </c>
      <c r="AD511" s="1545"/>
      <c r="AE511" s="1545"/>
      <c r="AF511" s="1545"/>
      <c r="AG511" s="38" t="s">
        <v>405</v>
      </c>
      <c r="AH511" s="1545" t="s">
        <v>406</v>
      </c>
      <c r="AI511" s="1545"/>
      <c r="AJ511" s="1545"/>
      <c r="AK511" s="183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25" customHeight="1">
      <c r="B512" s="1733" t="s">
        <v>416</v>
      </c>
      <c r="C512" s="1371"/>
      <c r="D512" s="1371"/>
      <c r="E512" s="1371"/>
      <c r="F512" s="1371"/>
      <c r="G512" s="1371"/>
      <c r="H512" s="1372"/>
      <c r="I512" s="42" t="s">
        <v>417</v>
      </c>
      <c r="J512" s="42"/>
      <c r="K512" s="42"/>
      <c r="L512" s="42"/>
      <c r="M512" s="42"/>
      <c r="N512" s="42"/>
      <c r="O512" s="42"/>
      <c r="P512" s="42"/>
      <c r="Q512" s="42"/>
      <c r="R512" s="42"/>
      <c r="S512" s="42"/>
      <c r="T512" s="42"/>
      <c r="U512" s="42"/>
      <c r="V512" s="42"/>
      <c r="W512" s="42"/>
      <c r="AC512" s="1785">
        <v>1</v>
      </c>
      <c r="AD512" s="1731"/>
      <c r="AE512" s="1731"/>
      <c r="AF512" s="1731"/>
      <c r="AG512" s="13" t="s">
        <v>405</v>
      </c>
      <c r="AH512" s="1517">
        <v>2023</v>
      </c>
      <c r="AI512" s="1517"/>
      <c r="AJ512" s="1517"/>
      <c r="AK512" s="1518"/>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25" customHeight="1">
      <c r="B513" s="1734"/>
      <c r="C513" s="1373"/>
      <c r="D513" s="1373"/>
      <c r="E513" s="1373"/>
      <c r="F513" s="1373"/>
      <c r="G513" s="1373"/>
      <c r="H513" s="1374"/>
      <c r="I513" t="s">
        <v>418</v>
      </c>
      <c r="AC513" s="1785">
        <v>1</v>
      </c>
      <c r="AD513" s="1731"/>
      <c r="AE513" s="1731"/>
      <c r="AF513" s="1731"/>
      <c r="AG513" s="13" t="s">
        <v>405</v>
      </c>
      <c r="AH513" s="1517">
        <v>2023</v>
      </c>
      <c r="AI513" s="1517"/>
      <c r="AJ513" s="1517"/>
      <c r="AK513" s="1518"/>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25" customHeight="1">
      <c r="B514" s="1734"/>
      <c r="C514" s="1373"/>
      <c r="D514" s="1373"/>
      <c r="E514" s="1373"/>
      <c r="F514" s="1373"/>
      <c r="G514" s="1373"/>
      <c r="H514" s="1374"/>
      <c r="I514" s="48" t="s">
        <v>419</v>
      </c>
      <c r="J514" s="48"/>
      <c r="K514" s="48"/>
      <c r="L514" s="48"/>
      <c r="M514" s="48"/>
      <c r="N514" s="48"/>
      <c r="O514" s="48"/>
      <c r="P514" s="48"/>
      <c r="Q514" s="48"/>
      <c r="R514" s="48"/>
      <c r="S514" s="48"/>
      <c r="T514" s="48"/>
      <c r="U514" s="48"/>
      <c r="V514" s="48"/>
      <c r="W514" s="48"/>
      <c r="X514" s="48"/>
      <c r="Y514" s="48"/>
      <c r="Z514" s="48"/>
      <c r="AA514" s="48"/>
      <c r="AB514" s="48"/>
      <c r="AC514" s="1785">
        <v>10</v>
      </c>
      <c r="AD514" s="1731"/>
      <c r="AE514" s="1731"/>
      <c r="AF514" s="1731"/>
      <c r="AG514" s="38" t="s">
        <v>405</v>
      </c>
      <c r="AH514" s="1517">
        <v>2023</v>
      </c>
      <c r="AI514" s="1517"/>
      <c r="AJ514" s="1517"/>
      <c r="AK514" s="1518"/>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25" customHeight="1">
      <c r="B515" s="1733" t="s">
        <v>420</v>
      </c>
      <c r="C515" s="1371"/>
      <c r="D515" s="1371"/>
      <c r="E515" s="1371"/>
      <c r="F515" s="1371"/>
      <c r="G515" s="1371"/>
      <c r="H515" s="1372"/>
      <c r="I515" s="42" t="s">
        <v>417</v>
      </c>
      <c r="J515" s="42"/>
      <c r="K515" s="42"/>
      <c r="L515" s="42"/>
      <c r="M515" s="42"/>
      <c r="N515" s="42"/>
      <c r="O515" s="42"/>
      <c r="P515" s="42"/>
      <c r="Q515" s="42"/>
      <c r="R515" s="42"/>
      <c r="S515" s="42"/>
      <c r="T515" s="42"/>
      <c r="U515" s="42"/>
      <c r="V515" s="42"/>
      <c r="W515" s="42"/>
      <c r="X515" s="42"/>
      <c r="Y515" s="42"/>
      <c r="Z515" s="42"/>
      <c r="AA515" s="42"/>
      <c r="AB515" s="42"/>
      <c r="AC515" s="1383">
        <v>1</v>
      </c>
      <c r="AD515" s="1384"/>
      <c r="AE515" s="1384"/>
      <c r="AF515" s="1384"/>
      <c r="AG515" s="129" t="s">
        <v>405</v>
      </c>
      <c r="AH515" s="1517">
        <v>2023</v>
      </c>
      <c r="AI515" s="1517"/>
      <c r="AJ515" s="1517"/>
      <c r="AK515" s="1518"/>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25" customHeight="1">
      <c r="B516" s="1734"/>
      <c r="C516" s="1373"/>
      <c r="D516" s="1373"/>
      <c r="E516" s="1373"/>
      <c r="F516" s="1373"/>
      <c r="G516" s="1373"/>
      <c r="H516" s="1374"/>
      <c r="I516" t="s">
        <v>418</v>
      </c>
      <c r="AC516" s="1785">
        <v>1</v>
      </c>
      <c r="AD516" s="1731"/>
      <c r="AE516" s="1731"/>
      <c r="AF516" s="1731"/>
      <c r="AG516" s="13" t="s">
        <v>405</v>
      </c>
      <c r="AH516" s="1517">
        <v>2023</v>
      </c>
      <c r="AI516" s="1517"/>
      <c r="AJ516" s="1517"/>
      <c r="AK516" s="1518"/>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25" customHeight="1">
      <c r="B517" s="1735"/>
      <c r="C517" s="1375"/>
      <c r="D517" s="1375"/>
      <c r="E517" s="1375"/>
      <c r="F517" s="1375"/>
      <c r="G517" s="1375"/>
      <c r="H517" s="1376"/>
      <c r="I517" s="48" t="s">
        <v>419</v>
      </c>
      <c r="J517" s="48"/>
      <c r="K517" s="48"/>
      <c r="L517" s="48"/>
      <c r="M517" s="48"/>
      <c r="N517" s="48"/>
      <c r="O517" s="48"/>
      <c r="P517" s="48"/>
      <c r="Q517" s="48"/>
      <c r="R517" s="48"/>
      <c r="S517" s="48"/>
      <c r="T517" s="48"/>
      <c r="U517" s="48"/>
      <c r="V517" s="48"/>
      <c r="W517" s="48"/>
      <c r="X517" s="48"/>
      <c r="Y517" s="48"/>
      <c r="Z517" s="48"/>
      <c r="AA517" s="48"/>
      <c r="AB517" s="48"/>
      <c r="AC517" s="1785">
        <v>10</v>
      </c>
      <c r="AD517" s="1731"/>
      <c r="AE517" s="1731"/>
      <c r="AF517" s="1731"/>
      <c r="AG517" s="38" t="s">
        <v>405</v>
      </c>
      <c r="AH517" s="1517">
        <v>2023</v>
      </c>
      <c r="AI517" s="1517"/>
      <c r="AJ517" s="1517"/>
      <c r="AK517" s="1518"/>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25" customHeight="1">
      <c r="B518" s="1733" t="s">
        <v>421</v>
      </c>
      <c r="C518" s="1371"/>
      <c r="D518" s="1371"/>
      <c r="E518" s="1371"/>
      <c r="F518" s="1371"/>
      <c r="G518" s="1371"/>
      <c r="H518" s="1372"/>
      <c r="I518" s="41" t="s">
        <v>422</v>
      </c>
      <c r="J518" s="42"/>
      <c r="K518" s="42"/>
      <c r="L518" s="42"/>
      <c r="M518" s="42"/>
      <c r="N518" s="42"/>
      <c r="O518" s="1792" t="s">
        <v>2718</v>
      </c>
      <c r="P518" s="1793"/>
      <c r="Q518" s="1793"/>
      <c r="R518" s="1793"/>
      <c r="S518" s="1793"/>
      <c r="T518" s="1793"/>
      <c r="U518" s="1793"/>
      <c r="V518" s="1793"/>
      <c r="W518" s="1793"/>
      <c r="X518" s="1793"/>
      <c r="Y518" s="1793"/>
      <c r="Z518" s="1793"/>
      <c r="AA518" s="1793"/>
      <c r="AB518" s="58"/>
      <c r="AC518" s="1383"/>
      <c r="AD518" s="1384"/>
      <c r="AE518" s="1384"/>
      <c r="AF518" s="1384"/>
      <c r="AG518" s="129" t="s">
        <v>405</v>
      </c>
      <c r="AH518" s="1517"/>
      <c r="AI518" s="1517"/>
      <c r="AJ518" s="1517"/>
      <c r="AK518" s="1518"/>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25" customHeight="1">
      <c r="B519" s="1734"/>
      <c r="C519" s="1373"/>
      <c r="D519" s="1373"/>
      <c r="E519" s="1373"/>
      <c r="F519" s="1373"/>
      <c r="G519" s="1373"/>
      <c r="H519" s="1374"/>
      <c r="I519" s="114" t="s">
        <v>423</v>
      </c>
      <c r="AB519" s="65"/>
      <c r="AC519" s="1785">
        <v>6</v>
      </c>
      <c r="AD519" s="1731"/>
      <c r="AE519" s="1731"/>
      <c r="AF519" s="1731"/>
      <c r="AG519" s="13" t="s">
        <v>405</v>
      </c>
      <c r="AH519" s="1517">
        <v>2021</v>
      </c>
      <c r="AI519" s="1517"/>
      <c r="AJ519" s="1517"/>
      <c r="AK519" s="1518"/>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25" customHeight="1">
      <c r="B520" s="1734"/>
      <c r="C520" s="1373"/>
      <c r="D520" s="1373"/>
      <c r="E520" s="1373"/>
      <c r="F520" s="1373"/>
      <c r="G520" s="1373"/>
      <c r="H520" s="1374"/>
      <c r="I520" s="47" t="s">
        <v>424</v>
      </c>
      <c r="J520" s="48"/>
      <c r="K520" s="48"/>
      <c r="L520" s="48"/>
      <c r="M520" s="48"/>
      <c r="N520" s="48"/>
      <c r="O520" s="48"/>
      <c r="P520" s="48"/>
      <c r="Q520" s="48"/>
      <c r="R520" s="48"/>
      <c r="S520" s="48"/>
      <c r="T520" s="48"/>
      <c r="U520" s="48"/>
      <c r="V520" s="48"/>
      <c r="W520" s="48"/>
      <c r="X520" s="48"/>
      <c r="Y520" s="48"/>
      <c r="Z520" s="48"/>
      <c r="AA520" s="48"/>
      <c r="AB520" s="49"/>
      <c r="AC520" s="1785">
        <v>2</v>
      </c>
      <c r="AD520" s="1731"/>
      <c r="AE520" s="1731"/>
      <c r="AF520" s="1731"/>
      <c r="AG520" s="38" t="s">
        <v>405</v>
      </c>
      <c r="AH520" s="1517">
        <v>2022</v>
      </c>
      <c r="AI520" s="1517"/>
      <c r="AJ520" s="1517"/>
      <c r="AK520" s="1518"/>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25" customHeight="1">
      <c r="B521" s="1734"/>
      <c r="C521" s="1373"/>
      <c r="D521" s="1373"/>
      <c r="E521" s="1373"/>
      <c r="F521" s="1373"/>
      <c r="G521" s="1373"/>
      <c r="H521" s="1374"/>
      <c r="I521" s="42" t="s">
        <v>425</v>
      </c>
      <c r="J521" s="42"/>
      <c r="K521" s="42"/>
      <c r="L521" s="42"/>
      <c r="M521" s="42"/>
      <c r="N521" s="42"/>
      <c r="O521" s="1792" t="s">
        <v>2719</v>
      </c>
      <c r="P521" s="1793"/>
      <c r="Q521" s="1793"/>
      <c r="R521" s="1793"/>
      <c r="S521" s="1793"/>
      <c r="T521" s="1793"/>
      <c r="U521" s="1793"/>
      <c r="V521" s="1793"/>
      <c r="W521" s="1793"/>
      <c r="X521" s="1793"/>
      <c r="Y521" s="1793"/>
      <c r="Z521" s="1793"/>
      <c r="AA521" s="1793"/>
      <c r="AC521" s="1785"/>
      <c r="AD521" s="1731"/>
      <c r="AE521" s="1731"/>
      <c r="AF521" s="1731"/>
      <c r="AG521" s="13" t="s">
        <v>405</v>
      </c>
      <c r="AH521" s="1517"/>
      <c r="AI521" s="1517"/>
      <c r="AJ521" s="1517"/>
      <c r="AK521" s="1518"/>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5" customHeight="1">
      <c r="B522" s="1734"/>
      <c r="C522" s="1373"/>
      <c r="D522" s="1373"/>
      <c r="E522" s="1373"/>
      <c r="F522" s="1373"/>
      <c r="G522" s="1373"/>
      <c r="H522" s="1374"/>
      <c r="I522" t="s">
        <v>423</v>
      </c>
      <c r="AC522" s="1785">
        <v>8</v>
      </c>
      <c r="AD522" s="1731"/>
      <c r="AE522" s="1731"/>
      <c r="AF522" s="1731"/>
      <c r="AG522" s="13" t="s">
        <v>405</v>
      </c>
      <c r="AH522" s="1517">
        <v>2022</v>
      </c>
      <c r="AI522" s="1517"/>
      <c r="AJ522" s="1517"/>
      <c r="AK522" s="1518"/>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5" customHeight="1">
      <c r="B523" s="1734"/>
      <c r="C523" s="1373"/>
      <c r="D523" s="1373"/>
      <c r="E523" s="1373"/>
      <c r="F523" s="1373"/>
      <c r="G523" s="1373"/>
      <c r="H523" s="1374"/>
      <c r="I523" s="48" t="s">
        <v>424</v>
      </c>
      <c r="J523" s="48"/>
      <c r="K523" s="48"/>
      <c r="L523" s="48"/>
      <c r="M523" s="48"/>
      <c r="N523" s="48"/>
      <c r="O523" s="48"/>
      <c r="P523" s="48"/>
      <c r="Q523" s="48"/>
      <c r="R523" s="48"/>
      <c r="S523" s="48"/>
      <c r="T523" s="48"/>
      <c r="U523" s="48"/>
      <c r="V523" s="48"/>
      <c r="W523" s="48"/>
      <c r="X523" s="48"/>
      <c r="Y523" s="48"/>
      <c r="Z523" s="48"/>
      <c r="AA523" s="48"/>
      <c r="AB523" s="48"/>
      <c r="AC523" s="1785">
        <v>10</v>
      </c>
      <c r="AD523" s="1731"/>
      <c r="AE523" s="1731"/>
      <c r="AF523" s="1731"/>
      <c r="AG523" s="38" t="s">
        <v>405</v>
      </c>
      <c r="AH523" s="1517">
        <v>2022</v>
      </c>
      <c r="AI523" s="1517"/>
      <c r="AJ523" s="1517"/>
      <c r="AK523" s="1518"/>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5" customHeight="1">
      <c r="B524" s="1734"/>
      <c r="C524" s="1373"/>
      <c r="D524" s="1373"/>
      <c r="E524" s="1373"/>
      <c r="F524" s="1373"/>
      <c r="G524" s="1373"/>
      <c r="H524" s="1374"/>
      <c r="I524" s="42" t="s">
        <v>425</v>
      </c>
      <c r="J524" s="42"/>
      <c r="K524" s="42"/>
      <c r="L524" s="42"/>
      <c r="M524" s="42"/>
      <c r="N524" s="42"/>
      <c r="O524" s="1792" t="s">
        <v>2630</v>
      </c>
      <c r="P524" s="1793"/>
      <c r="Q524" s="1793"/>
      <c r="R524" s="1793"/>
      <c r="S524" s="1793"/>
      <c r="T524" s="1793"/>
      <c r="U524" s="1793"/>
      <c r="V524" s="1793"/>
      <c r="W524" s="1793"/>
      <c r="X524" s="1793"/>
      <c r="Y524" s="1793"/>
      <c r="Z524" s="1793"/>
      <c r="AA524" s="1793"/>
      <c r="AC524" s="1785"/>
      <c r="AD524" s="1731"/>
      <c r="AE524" s="1731"/>
      <c r="AF524" s="1731"/>
      <c r="AG524" s="13" t="s">
        <v>405</v>
      </c>
      <c r="AH524" s="1517"/>
      <c r="AI524" s="1517"/>
      <c r="AJ524" s="1517"/>
      <c r="AK524" s="1518"/>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25" customHeight="1">
      <c r="B525" s="1734"/>
      <c r="C525" s="1373"/>
      <c r="D525" s="1373"/>
      <c r="E525" s="1373"/>
      <c r="F525" s="1373"/>
      <c r="G525" s="1373"/>
      <c r="H525" s="1374"/>
      <c r="I525" t="s">
        <v>423</v>
      </c>
      <c r="AC525" s="1794">
        <v>3</v>
      </c>
      <c r="AD525" s="1731"/>
      <c r="AE525" s="1731"/>
      <c r="AF525" s="1731"/>
      <c r="AG525" s="13" t="s">
        <v>405</v>
      </c>
      <c r="AH525" s="1794">
        <v>2022</v>
      </c>
      <c r="AI525" s="1731"/>
      <c r="AJ525" s="1731"/>
      <c r="AK525" s="1731"/>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5" customHeight="1">
      <c r="B526" s="1734"/>
      <c r="C526" s="1373"/>
      <c r="D526" s="1373"/>
      <c r="E526" s="1373"/>
      <c r="F526" s="1373"/>
      <c r="G526" s="1373"/>
      <c r="H526" s="1374"/>
      <c r="I526" s="48" t="s">
        <v>424</v>
      </c>
      <c r="J526" s="48"/>
      <c r="K526" s="48"/>
      <c r="L526" s="48"/>
      <c r="M526" s="48"/>
      <c r="N526" s="48"/>
      <c r="O526" s="48"/>
      <c r="P526" s="48"/>
      <c r="Q526" s="48"/>
      <c r="R526" s="48"/>
      <c r="S526" s="48"/>
      <c r="T526" s="48"/>
      <c r="U526" s="48"/>
      <c r="V526" s="48"/>
      <c r="W526" s="48"/>
      <c r="X526" s="48"/>
      <c r="Y526" s="48"/>
      <c r="Z526" s="48"/>
      <c r="AA526" s="48"/>
      <c r="AB526" s="48"/>
      <c r="AC526" s="1785">
        <v>7</v>
      </c>
      <c r="AD526" s="1731"/>
      <c r="AE526" s="1731"/>
      <c r="AF526" s="1731"/>
      <c r="AG526" s="38" t="s">
        <v>405</v>
      </c>
      <c r="AH526" s="1517">
        <v>2022</v>
      </c>
      <c r="AI526" s="1517"/>
      <c r="AJ526" s="1517"/>
      <c r="AK526" s="1518"/>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5" customHeight="1">
      <c r="B527" s="1734"/>
      <c r="C527" s="1373"/>
      <c r="D527" s="1373"/>
      <c r="E527" s="1373"/>
      <c r="F527" s="1373"/>
      <c r="G527" s="1373"/>
      <c r="H527" s="1374"/>
      <c r="I527" s="42" t="s">
        <v>425</v>
      </c>
      <c r="J527" s="42"/>
      <c r="K527" s="42"/>
      <c r="L527" s="42"/>
      <c r="M527" s="42"/>
      <c r="N527" s="42"/>
      <c r="O527" s="1792" t="s">
        <v>2720</v>
      </c>
      <c r="P527" s="1793"/>
      <c r="Q527" s="1793"/>
      <c r="R527" s="1793"/>
      <c r="S527" s="1793"/>
      <c r="T527" s="1793"/>
      <c r="U527" s="1793"/>
      <c r="V527" s="1793"/>
      <c r="W527" s="1793"/>
      <c r="X527" s="1793"/>
      <c r="Y527" s="1793"/>
      <c r="Z527" s="1793"/>
      <c r="AA527" s="1793"/>
      <c r="AC527" s="1785"/>
      <c r="AD527" s="1731"/>
      <c r="AE527" s="1731"/>
      <c r="AF527" s="1731"/>
      <c r="AG527" s="13" t="s">
        <v>405</v>
      </c>
      <c r="AH527" s="1517"/>
      <c r="AI527" s="1517"/>
      <c r="AJ527" s="1517"/>
      <c r="AK527" s="1518"/>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5" customHeight="1">
      <c r="B528" s="1734"/>
      <c r="C528" s="1373"/>
      <c r="D528" s="1373"/>
      <c r="E528" s="1373"/>
      <c r="F528" s="1373"/>
      <c r="G528" s="1373"/>
      <c r="H528" s="1374"/>
      <c r="I528" t="s">
        <v>423</v>
      </c>
      <c r="AC528" s="1785">
        <v>7</v>
      </c>
      <c r="AD528" s="1731"/>
      <c r="AE528" s="1731"/>
      <c r="AF528" s="1731"/>
      <c r="AG528" s="13" t="s">
        <v>405</v>
      </c>
      <c r="AH528" s="1517">
        <v>2020</v>
      </c>
      <c r="AI528" s="1517"/>
      <c r="AJ528" s="1517"/>
      <c r="AK528" s="1518"/>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5" customHeight="1">
      <c r="B529" s="1734"/>
      <c r="C529" s="1373"/>
      <c r="D529" s="1373"/>
      <c r="E529" s="1373"/>
      <c r="F529" s="1373"/>
      <c r="G529" s="1373"/>
      <c r="H529" s="1374"/>
      <c r="I529" s="48" t="s">
        <v>424</v>
      </c>
      <c r="J529" s="48"/>
      <c r="K529" s="48"/>
      <c r="L529" s="48"/>
      <c r="M529" s="48"/>
      <c r="N529" s="48"/>
      <c r="O529" s="48"/>
      <c r="P529" s="48"/>
      <c r="Q529" s="48"/>
      <c r="R529" s="48"/>
      <c r="S529" s="48"/>
      <c r="T529" s="48"/>
      <c r="U529" s="48"/>
      <c r="V529" s="48"/>
      <c r="W529" s="48"/>
      <c r="X529" s="48"/>
      <c r="Y529" s="48"/>
      <c r="Z529" s="48"/>
      <c r="AA529" s="48"/>
      <c r="AB529" s="48"/>
      <c r="AC529" s="1785">
        <v>4</v>
      </c>
      <c r="AD529" s="1731"/>
      <c r="AE529" s="1731"/>
      <c r="AF529" s="1731"/>
      <c r="AG529" s="38" t="s">
        <v>405</v>
      </c>
      <c r="AH529" s="1517">
        <v>2021</v>
      </c>
      <c r="AI529" s="1517"/>
      <c r="AJ529" s="1517"/>
      <c r="AK529" s="1518"/>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5" customHeight="1">
      <c r="B530" s="1734"/>
      <c r="C530" s="1373"/>
      <c r="D530" s="1373"/>
      <c r="E530" s="1373"/>
      <c r="F530" s="1373"/>
      <c r="G530" s="1373"/>
      <c r="H530" s="1374"/>
      <c r="I530" s="42" t="s">
        <v>425</v>
      </c>
      <c r="J530" s="42"/>
      <c r="K530" s="42"/>
      <c r="L530" s="42"/>
      <c r="M530" s="42"/>
      <c r="N530" s="42"/>
      <c r="O530" s="1792" t="s">
        <v>2721</v>
      </c>
      <c r="P530" s="1793"/>
      <c r="Q530" s="1793"/>
      <c r="R530" s="1793"/>
      <c r="S530" s="1793"/>
      <c r="T530" s="1793"/>
      <c r="U530" s="1793"/>
      <c r="V530" s="1793"/>
      <c r="W530" s="1793"/>
      <c r="X530" s="1793"/>
      <c r="Y530" s="1793"/>
      <c r="Z530" s="1793"/>
      <c r="AA530" s="1793"/>
      <c r="AC530" s="1785"/>
      <c r="AD530" s="1731"/>
      <c r="AE530" s="1731"/>
      <c r="AF530" s="1731"/>
      <c r="AG530" s="13" t="s">
        <v>405</v>
      </c>
      <c r="AH530" s="1517"/>
      <c r="AI530" s="1517"/>
      <c r="AJ530" s="1517"/>
      <c r="AK530" s="1518"/>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5" customHeight="1">
      <c r="B531" s="1734"/>
      <c r="C531" s="1373"/>
      <c r="D531" s="1373"/>
      <c r="E531" s="1373"/>
      <c r="F531" s="1373"/>
      <c r="G531" s="1373"/>
      <c r="H531" s="1374"/>
      <c r="I531" t="s">
        <v>423</v>
      </c>
      <c r="AC531" s="1794" t="s">
        <v>601</v>
      </c>
      <c r="AD531" s="1731"/>
      <c r="AE531" s="1731"/>
      <c r="AF531" s="1731"/>
      <c r="AG531" s="38" t="s">
        <v>405</v>
      </c>
      <c r="AH531" s="1794" t="s">
        <v>601</v>
      </c>
      <c r="AI531" s="1731"/>
      <c r="AJ531" s="1731"/>
      <c r="AK531" s="1731"/>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5" customHeight="1">
      <c r="B532" s="1734"/>
      <c r="C532" s="1373"/>
      <c r="D532" s="1373"/>
      <c r="E532" s="1373"/>
      <c r="F532" s="1373"/>
      <c r="G532" s="1373"/>
      <c r="H532" s="1374"/>
      <c r="I532" s="48" t="s">
        <v>424</v>
      </c>
      <c r="J532" s="48"/>
      <c r="K532" s="48"/>
      <c r="L532" s="48"/>
      <c r="M532" s="48"/>
      <c r="N532" s="48"/>
      <c r="O532" s="48"/>
      <c r="P532" s="48"/>
      <c r="Q532" s="48"/>
      <c r="R532" s="48"/>
      <c r="S532" s="48"/>
      <c r="T532" s="48"/>
      <c r="U532" s="48"/>
      <c r="V532" s="48"/>
      <c r="W532" s="48"/>
      <c r="X532" s="48"/>
      <c r="Y532" s="48"/>
      <c r="Z532" s="48"/>
      <c r="AA532" s="48"/>
      <c r="AB532" s="48"/>
      <c r="AC532" s="1785">
        <v>1</v>
      </c>
      <c r="AD532" s="1731"/>
      <c r="AE532" s="1731"/>
      <c r="AF532" s="1731"/>
      <c r="AG532" s="13" t="s">
        <v>405</v>
      </c>
      <c r="AH532" s="1517">
        <v>2020</v>
      </c>
      <c r="AI532" s="1517"/>
      <c r="AJ532" s="1517"/>
      <c r="AK532" s="1518"/>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5" customHeight="1">
      <c r="B533" s="1734"/>
      <c r="C533" s="1373"/>
      <c r="D533" s="1373"/>
      <c r="E533" s="1373"/>
      <c r="F533" s="1373"/>
      <c r="G533" s="1373"/>
      <c r="H533" s="1374"/>
      <c r="I533" s="42" t="s">
        <v>425</v>
      </c>
      <c r="J533" s="42"/>
      <c r="K533" s="42"/>
      <c r="L533" s="42"/>
      <c r="M533" s="42"/>
      <c r="N533" s="42"/>
      <c r="O533" s="1792" t="s">
        <v>2722</v>
      </c>
      <c r="P533" s="1793"/>
      <c r="Q533" s="1793"/>
      <c r="R533" s="1793"/>
      <c r="S533" s="1793"/>
      <c r="T533" s="1793"/>
      <c r="U533" s="1793"/>
      <c r="V533" s="1793"/>
      <c r="W533" s="1793"/>
      <c r="X533" s="1793"/>
      <c r="Y533" s="1793"/>
      <c r="Z533" s="1793"/>
      <c r="AA533" s="1793"/>
      <c r="AC533" s="1785"/>
      <c r="AD533" s="1731"/>
      <c r="AE533" s="1731"/>
      <c r="AF533" s="1731"/>
      <c r="AG533" s="38" t="s">
        <v>405</v>
      </c>
      <c r="AH533" s="1517"/>
      <c r="AI533" s="1517"/>
      <c r="AJ533" s="1517"/>
      <c r="AK533" s="1518"/>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5" customHeight="1">
      <c r="B534" s="1734"/>
      <c r="C534" s="1373"/>
      <c r="D534" s="1373"/>
      <c r="E534" s="1373"/>
      <c r="F534" s="1373"/>
      <c r="G534" s="1373"/>
      <c r="H534" s="1374"/>
      <c r="I534" t="s">
        <v>423</v>
      </c>
      <c r="AC534" s="1785"/>
      <c r="AD534" s="1731"/>
      <c r="AE534" s="1731"/>
      <c r="AF534" s="1731"/>
      <c r="AG534" s="13" t="s">
        <v>405</v>
      </c>
      <c r="AH534" s="1517"/>
      <c r="AI534" s="1517"/>
      <c r="AJ534" s="1517"/>
      <c r="AK534" s="1518"/>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5" customHeight="1">
      <c r="B535" s="1734"/>
      <c r="C535" s="1373"/>
      <c r="D535" s="1373"/>
      <c r="E535" s="1373"/>
      <c r="F535" s="1373"/>
      <c r="G535" s="1373"/>
      <c r="H535" s="1374"/>
      <c r="I535" s="48" t="s">
        <v>424</v>
      </c>
      <c r="J535" s="48"/>
      <c r="K535" s="48"/>
      <c r="L535" s="48"/>
      <c r="M535" s="48"/>
      <c r="N535" s="48"/>
      <c r="O535" s="48"/>
      <c r="P535" s="48"/>
      <c r="Q535" s="48"/>
      <c r="R535" s="48"/>
      <c r="S535" s="48"/>
      <c r="T535" s="48"/>
      <c r="U535" s="48"/>
      <c r="V535" s="48"/>
      <c r="W535" s="48"/>
      <c r="X535" s="48"/>
      <c r="Y535" s="48"/>
      <c r="Z535" s="48"/>
      <c r="AA535" s="48"/>
      <c r="AB535" s="48"/>
      <c r="AC535" s="1785"/>
      <c r="AD535" s="1731"/>
      <c r="AE535" s="1731"/>
      <c r="AF535" s="1731"/>
      <c r="AG535" s="38" t="s">
        <v>405</v>
      </c>
      <c r="AH535" s="1517"/>
      <c r="AI535" s="1517"/>
      <c r="AJ535" s="1517"/>
      <c r="AK535" s="1518"/>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5" customHeight="1">
      <c r="B536" s="1734"/>
      <c r="C536" s="1373"/>
      <c r="D536" s="1373"/>
      <c r="E536" s="1373"/>
      <c r="F536" s="1373"/>
      <c r="G536" s="1373"/>
      <c r="H536" s="1374"/>
      <c r="I536" s="42" t="s">
        <v>572</v>
      </c>
      <c r="J536" s="42"/>
      <c r="K536" s="42"/>
      <c r="L536" s="42"/>
      <c r="M536" s="42"/>
      <c r="N536" s="42"/>
      <c r="O536" s="42"/>
      <c r="P536" s="42"/>
      <c r="Q536" s="42"/>
      <c r="R536" s="42"/>
      <c r="S536" s="42"/>
      <c r="T536" s="42"/>
      <c r="U536" s="42"/>
      <c r="V536" s="42"/>
      <c r="W536" s="42"/>
      <c r="AC536" s="1785">
        <v>1</v>
      </c>
      <c r="AD536" s="1731"/>
      <c r="AE536" s="1731"/>
      <c r="AF536" s="1731"/>
      <c r="AG536" s="38" t="s">
        <v>405</v>
      </c>
      <c r="AH536" s="1517">
        <v>2024</v>
      </c>
      <c r="AI536" s="1517"/>
      <c r="AJ536" s="1517"/>
      <c r="AK536" s="1518"/>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5" customHeight="1">
      <c r="B537" s="1734"/>
      <c r="C537" s="1373"/>
      <c r="D537" s="1373"/>
      <c r="E537" s="1373"/>
      <c r="F537" s="1373"/>
      <c r="G537" s="1373"/>
      <c r="H537" s="1374"/>
      <c r="I537" t="s">
        <v>573</v>
      </c>
      <c r="AC537" s="1785">
        <v>10</v>
      </c>
      <c r="AD537" s="1731"/>
      <c r="AE537" s="1731"/>
      <c r="AF537" s="1731"/>
      <c r="AG537" s="13" t="s">
        <v>405</v>
      </c>
      <c r="AH537" s="1517">
        <v>2023</v>
      </c>
      <c r="AI537" s="1517"/>
      <c r="AJ537" s="1517"/>
      <c r="AK537" s="151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5" customHeight="1">
      <c r="B538" s="1734"/>
      <c r="C538" s="1373"/>
      <c r="D538" s="1373"/>
      <c r="E538" s="1373"/>
      <c r="F538" s="1373"/>
      <c r="G538" s="1373"/>
      <c r="H538" s="1374"/>
      <c r="I538" t="s">
        <v>574</v>
      </c>
      <c r="AC538" s="1785">
        <v>7</v>
      </c>
      <c r="AD538" s="1731"/>
      <c r="AE538" s="1731"/>
      <c r="AF538" s="1731"/>
      <c r="AG538" s="38" t="s">
        <v>405</v>
      </c>
      <c r="AH538" s="1517">
        <v>2025</v>
      </c>
      <c r="AI538" s="1517"/>
      <c r="AJ538" s="1517"/>
      <c r="AK538" s="151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5" customHeight="1">
      <c r="B539" s="1734"/>
      <c r="C539" s="1373"/>
      <c r="D539" s="1373"/>
      <c r="E539" s="1373"/>
      <c r="F539" s="1373"/>
      <c r="G539" s="1373"/>
      <c r="H539" s="1374"/>
      <c r="I539" t="s">
        <v>575</v>
      </c>
      <c r="AC539" s="1785">
        <v>7</v>
      </c>
      <c r="AD539" s="1731"/>
      <c r="AE539" s="1731"/>
      <c r="AF539" s="1731"/>
      <c r="AG539" s="38" t="s">
        <v>405</v>
      </c>
      <c r="AH539" s="1517">
        <v>2025</v>
      </c>
      <c r="AI539" s="1517"/>
      <c r="AJ539" s="1517"/>
      <c r="AK539" s="151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5" customHeight="1">
      <c r="B540" s="1735"/>
      <c r="C540" s="1375"/>
      <c r="D540" s="1375"/>
      <c r="E540" s="1375"/>
      <c r="F540" s="1375"/>
      <c r="G540" s="1375"/>
      <c r="H540" s="1376"/>
      <c r="I540" s="48" t="s">
        <v>461</v>
      </c>
      <c r="J540" s="48"/>
      <c r="K540" s="48"/>
      <c r="L540" s="48"/>
      <c r="M540" s="48"/>
      <c r="N540" s="48"/>
      <c r="O540" s="48"/>
      <c r="P540" s="48"/>
      <c r="Q540" s="48"/>
      <c r="R540" s="48"/>
      <c r="S540" s="48"/>
      <c r="T540" s="48"/>
      <c r="U540" s="48"/>
      <c r="V540" s="48"/>
      <c r="W540" s="48"/>
      <c r="X540" s="48"/>
      <c r="Y540" s="48"/>
      <c r="Z540" s="48"/>
      <c r="AA540" s="48"/>
      <c r="AB540" s="48"/>
      <c r="AC540" s="1785">
        <v>12</v>
      </c>
      <c r="AD540" s="1731"/>
      <c r="AE540" s="1731"/>
      <c r="AF540" s="1731"/>
      <c r="AG540" s="38" t="s">
        <v>405</v>
      </c>
      <c r="AH540" s="1517">
        <v>2025</v>
      </c>
      <c r="AI540" s="1517"/>
      <c r="AJ540" s="1517"/>
      <c r="AK540" s="151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5" customHeight="1">
      <c r="B541" s="558"/>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5" customHeight="1">
      <c r="A542" s="1257" t="s">
        <v>553</v>
      </c>
      <c r="B542" s="1257"/>
      <c r="C542" s="1257"/>
      <c r="D542" s="1257"/>
      <c r="E542" s="1257"/>
      <c r="F542" s="1257"/>
      <c r="G542" s="1257"/>
      <c r="H542" s="1257"/>
      <c r="I542" s="1257"/>
      <c r="J542" s="1257"/>
      <c r="K542" s="1257"/>
      <c r="L542" s="1257"/>
      <c r="M542" s="1257"/>
      <c r="N542" s="1257"/>
      <c r="O542" s="1257"/>
      <c r="P542" s="1257"/>
      <c r="Q542" s="1257"/>
      <c r="R542" s="1257"/>
      <c r="S542" s="1257"/>
      <c r="T542" s="1257"/>
      <c r="U542" s="1257"/>
      <c r="V542" s="1257"/>
      <c r="W542" s="1257"/>
      <c r="X542" s="1257"/>
      <c r="Y542" s="1257"/>
      <c r="Z542" s="1257"/>
      <c r="AA542" s="1257"/>
      <c r="AB542" s="1257"/>
      <c r="AC542" s="1257"/>
      <c r="AD542" s="1257"/>
      <c r="AE542" s="1257"/>
      <c r="AF542" s="1257"/>
      <c r="AG542" s="1257"/>
      <c r="AH542" s="1257"/>
      <c r="AI542" s="1257"/>
      <c r="AJ542" s="1257"/>
      <c r="AK542" s="1257"/>
      <c r="AL542" s="1257"/>
      <c r="AM542" s="1257"/>
      <c r="AN542" s="1257"/>
      <c r="AO542" s="1257"/>
      <c r="AP542" s="1257"/>
      <c r="AQ542" s="1257"/>
      <c r="AR542" s="1257"/>
      <c r="AS542" s="1257"/>
      <c r="AT542" s="927"/>
      <c r="AU542" s="927"/>
      <c r="AV542" s="927"/>
      <c r="AW542" s="927"/>
      <c r="AX542" s="927"/>
      <c r="AY542" s="927"/>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5" customHeight="1">
      <c r="A543" s="1257"/>
      <c r="B543" s="1257"/>
      <c r="C543" s="1257"/>
      <c r="D543" s="1257"/>
      <c r="E543" s="1257"/>
      <c r="F543" s="1257"/>
      <c r="G543" s="1257"/>
      <c r="H543" s="1257"/>
      <c r="I543" s="1257"/>
      <c r="J543" s="1257"/>
      <c r="K543" s="1257"/>
      <c r="L543" s="1257"/>
      <c r="M543" s="1257"/>
      <c r="N543" s="1257"/>
      <c r="O543" s="1257"/>
      <c r="P543" s="1257"/>
      <c r="Q543" s="1257"/>
      <c r="R543" s="1257"/>
      <c r="S543" s="1257"/>
      <c r="T543" s="1257"/>
      <c r="U543" s="1257"/>
      <c r="V543" s="1257"/>
      <c r="W543" s="1257"/>
      <c r="X543" s="1257"/>
      <c r="Y543" s="1257"/>
      <c r="Z543" s="1257"/>
      <c r="AA543" s="1257"/>
      <c r="AB543" s="1257"/>
      <c r="AC543" s="1257"/>
      <c r="AD543" s="1257"/>
      <c r="AE543" s="1257"/>
      <c r="AF543" s="1257"/>
      <c r="AG543" s="1257"/>
      <c r="AH543" s="1257"/>
      <c r="AI543" s="1257"/>
      <c r="AJ543" s="1257"/>
      <c r="AK543" s="1257"/>
      <c r="AL543" s="1257"/>
      <c r="AM543" s="1257"/>
      <c r="AN543" s="1257"/>
      <c r="AO543" s="1257"/>
      <c r="AP543" s="1257"/>
      <c r="AQ543" s="1257"/>
      <c r="AR543" s="1257"/>
      <c r="AS543" s="1257"/>
      <c r="AT543" s="927"/>
      <c r="AU543" s="927"/>
      <c r="AV543" s="927"/>
      <c r="AW543" s="927"/>
      <c r="AX543" s="927"/>
      <c r="AY543" s="927"/>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5" customHeight="1">
      <c r="B548" s="538"/>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6" t="s">
        <v>2531</v>
      </c>
      <c r="C549" s="1787"/>
      <c r="D549" s="1787"/>
      <c r="E549" s="1787"/>
      <c r="F549" s="1787"/>
      <c r="G549" s="1787"/>
      <c r="H549" s="1787"/>
      <c r="I549" s="1787"/>
      <c r="J549" s="1787"/>
      <c r="K549" s="1787"/>
      <c r="L549" s="1788"/>
      <c r="M549" s="1368" t="s">
        <v>2532</v>
      </c>
      <c r="N549" s="1368"/>
      <c r="O549" s="1368"/>
      <c r="P549" s="1368"/>
      <c r="Q549" s="1786" t="s">
        <v>2558</v>
      </c>
      <c r="R549" s="1787"/>
      <c r="S549" s="1788"/>
      <c r="T549" s="1786" t="s">
        <v>2559</v>
      </c>
      <c r="U549" s="1787"/>
      <c r="V549" s="1788"/>
      <c r="W549" s="1786" t="s">
        <v>463</v>
      </c>
      <c r="X549" s="1787"/>
      <c r="Y549" s="1788"/>
      <c r="Z549" s="1786" t="s">
        <v>2115</v>
      </c>
      <c r="AA549" s="1787"/>
      <c r="AB549" s="1787"/>
      <c r="AC549" s="1787"/>
      <c r="AD549" s="1787"/>
      <c r="AE549" s="1786" t="s">
        <v>1936</v>
      </c>
      <c r="AF549" s="1787"/>
      <c r="AG549" s="1787"/>
      <c r="AH549" s="1788"/>
      <c r="AI549" s="1786" t="s">
        <v>1937</v>
      </c>
      <c r="AJ549" s="1787"/>
      <c r="AK549" s="1787"/>
      <c r="AL549" s="1788"/>
      <c r="AM549" s="1786" t="s">
        <v>464</v>
      </c>
      <c r="AN549" s="1787"/>
      <c r="AO549" s="1787"/>
      <c r="AP549" s="1787"/>
      <c r="AQ549" s="1787"/>
      <c r="AR549" s="1787"/>
      <c r="AS549" s="178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7" t="s">
        <v>2723</v>
      </c>
      <c r="D550" s="1357"/>
      <c r="E550" s="1357"/>
      <c r="F550" s="1357"/>
      <c r="G550" s="1357"/>
      <c r="H550" s="1357"/>
      <c r="I550" s="1357"/>
      <c r="J550" s="1357"/>
      <c r="K550" s="1357"/>
      <c r="L550" s="1357"/>
      <c r="M550" s="1357" t="s">
        <v>2548</v>
      </c>
      <c r="N550" s="1357"/>
      <c r="O550" s="1357"/>
      <c r="P550" s="1357"/>
      <c r="Q550" s="1361">
        <v>31</v>
      </c>
      <c r="R550" s="1361"/>
      <c r="S550" s="1362"/>
      <c r="T550" s="1360"/>
      <c r="U550" s="1361"/>
      <c r="V550" s="1362"/>
      <c r="W550" s="1619">
        <v>8.3500000000000005E-2</v>
      </c>
      <c r="X550" s="1620"/>
      <c r="Y550" s="1621"/>
      <c r="Z550" s="1363" t="s">
        <v>2734</v>
      </c>
      <c r="AA550" s="1363"/>
      <c r="AB550" s="1363"/>
      <c r="AC550" s="1363"/>
      <c r="AD550" s="1363"/>
      <c r="AE550" s="1804">
        <v>1</v>
      </c>
      <c r="AF550" s="1805"/>
      <c r="AG550" s="1805"/>
      <c r="AH550" s="1806"/>
      <c r="AI550" s="1810">
        <f>+AM550</f>
        <v>67797000</v>
      </c>
      <c r="AJ550" s="1811"/>
      <c r="AK550" s="1811"/>
      <c r="AL550" s="1812"/>
      <c r="AM550" s="1807">
        <v>67797000</v>
      </c>
      <c r="AN550" s="1808"/>
      <c r="AO550" s="1808"/>
      <c r="AP550" s="1808"/>
      <c r="AQ550" s="1808"/>
      <c r="AR550" s="1808"/>
      <c r="AS550" s="1809"/>
      <c r="AT550" s="1183"/>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5" customHeight="1">
      <c r="B551" s="52" t="s">
        <v>114</v>
      </c>
      <c r="C551" s="1656" t="s">
        <v>2724</v>
      </c>
      <c r="D551" s="1656"/>
      <c r="E551" s="1656"/>
      <c r="F551" s="1656"/>
      <c r="G551" s="1656"/>
      <c r="H551" s="1656"/>
      <c r="I551" s="1656"/>
      <c r="J551" s="1656"/>
      <c r="K551" s="1656"/>
      <c r="L551" s="1656"/>
      <c r="M551" s="1357" t="s">
        <v>2547</v>
      </c>
      <c r="N551" s="1357"/>
      <c r="O551" s="1357"/>
      <c r="P551" s="1357"/>
      <c r="Q551" s="1360">
        <f>+Q550</f>
        <v>31</v>
      </c>
      <c r="R551" s="1361"/>
      <c r="S551" s="1362"/>
      <c r="T551" s="1360"/>
      <c r="U551" s="1361"/>
      <c r="V551" s="1362"/>
      <c r="W551" s="1619">
        <v>8.4500000000000006E-2</v>
      </c>
      <c r="X551" s="1620"/>
      <c r="Y551" s="1621"/>
      <c r="Z551" s="1363" t="s">
        <v>2734</v>
      </c>
      <c r="AA551" s="1363"/>
      <c r="AB551" s="1363"/>
      <c r="AC551" s="1363"/>
      <c r="AD551" s="1363"/>
      <c r="AE551" s="1804">
        <v>2</v>
      </c>
      <c r="AF551" s="1805"/>
      <c r="AG551" s="1805"/>
      <c r="AH551" s="1806"/>
      <c r="AI551" s="1810">
        <f>+AM551</f>
        <v>16382222</v>
      </c>
      <c r="AJ551" s="1811"/>
      <c r="AK551" s="1811"/>
      <c r="AL551" s="1812"/>
      <c r="AM551" s="1807">
        <v>16382222</v>
      </c>
      <c r="AN551" s="1808"/>
      <c r="AO551" s="1808"/>
      <c r="AP551" s="1808"/>
      <c r="AQ551" s="1808"/>
      <c r="AR551" s="1808"/>
      <c r="AS551" s="1809"/>
      <c r="AT551" s="1183" t="str">
        <f>IF(AND(NOT(C550=""),C551="",NOT(C552="")),"!","")</f>
        <v/>
      </c>
      <c r="AU551" s="1182"/>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5" customHeight="1">
      <c r="B552" s="52" t="s">
        <v>120</v>
      </c>
      <c r="C552" s="1656" t="s">
        <v>2725</v>
      </c>
      <c r="D552" s="1656"/>
      <c r="E552" s="1656"/>
      <c r="F552" s="1656"/>
      <c r="G552" s="1656"/>
      <c r="H552" s="1656"/>
      <c r="I552" s="1656"/>
      <c r="J552" s="1656"/>
      <c r="K552" s="1656"/>
      <c r="L552" s="1656"/>
      <c r="M552" s="1357" t="s">
        <v>2544</v>
      </c>
      <c r="N552" s="1357"/>
      <c r="O552" s="1357"/>
      <c r="P552" s="1357"/>
      <c r="Q552" s="1360">
        <f t="shared" ref="Q552:Q561" si="0">+Q551</f>
        <v>31</v>
      </c>
      <c r="R552" s="1361"/>
      <c r="S552" s="1362"/>
      <c r="T552" s="1360"/>
      <c r="U552" s="1361"/>
      <c r="V552" s="1362"/>
      <c r="W552" s="1619">
        <v>0.03</v>
      </c>
      <c r="X552" s="1620"/>
      <c r="Y552" s="1621"/>
      <c r="Z552" s="1363" t="s">
        <v>2735</v>
      </c>
      <c r="AA552" s="1363"/>
      <c r="AB552" s="1363"/>
      <c r="AC552" s="1363"/>
      <c r="AD552" s="1363"/>
      <c r="AE552" s="1804">
        <v>3</v>
      </c>
      <c r="AF552" s="1805"/>
      <c r="AG552" s="1805"/>
      <c r="AH552" s="1806"/>
      <c r="AI552" s="1810"/>
      <c r="AJ552" s="1811"/>
      <c r="AK552" s="1811"/>
      <c r="AL552" s="1812"/>
      <c r="AM552" s="1807">
        <v>20687540</v>
      </c>
      <c r="AN552" s="1808"/>
      <c r="AO552" s="1808"/>
      <c r="AP552" s="1808"/>
      <c r="AQ552" s="1808"/>
      <c r="AR552" s="1808"/>
      <c r="AS552" s="1809"/>
      <c r="AT552" s="1183" t="str">
        <f>IF(AND(NOT(C551=""),C552="",NOT(C553="")),"!","")</f>
        <v/>
      </c>
      <c r="AU552" s="1182"/>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5" customHeight="1">
      <c r="B553" s="52" t="s">
        <v>591</v>
      </c>
      <c r="C553" s="1656" t="s">
        <v>2726</v>
      </c>
      <c r="D553" s="1656"/>
      <c r="E553" s="1656"/>
      <c r="F553" s="1656"/>
      <c r="G553" s="1656"/>
      <c r="H553" s="1656"/>
      <c r="I553" s="1656"/>
      <c r="J553" s="1656"/>
      <c r="K553" s="1656"/>
      <c r="L553" s="1656"/>
      <c r="M553" s="1357" t="s">
        <v>2544</v>
      </c>
      <c r="N553" s="1357"/>
      <c r="O553" s="1357"/>
      <c r="P553" s="1357"/>
      <c r="Q553" s="1360">
        <f t="shared" si="0"/>
        <v>31</v>
      </c>
      <c r="R553" s="1361"/>
      <c r="S553" s="1362"/>
      <c r="T553" s="1360"/>
      <c r="U553" s="1361"/>
      <c r="V553" s="1362"/>
      <c r="W553" s="1619">
        <v>0.03</v>
      </c>
      <c r="X553" s="1620"/>
      <c r="Y553" s="1621"/>
      <c r="Z553" s="1363" t="s">
        <v>2735</v>
      </c>
      <c r="AA553" s="1363"/>
      <c r="AB553" s="1363"/>
      <c r="AC553" s="1363"/>
      <c r="AD553" s="1363"/>
      <c r="AE553" s="1804">
        <v>4</v>
      </c>
      <c r="AF553" s="1805"/>
      <c r="AG553" s="1805"/>
      <c r="AH553" s="1806"/>
      <c r="AI553" s="1810"/>
      <c r="AJ553" s="1811"/>
      <c r="AK553" s="1811"/>
      <c r="AL553" s="1812"/>
      <c r="AM553" s="1807">
        <v>1500000</v>
      </c>
      <c r="AN553" s="1808"/>
      <c r="AO553" s="1808"/>
      <c r="AP553" s="1808"/>
      <c r="AQ553" s="1808"/>
      <c r="AR553" s="1808"/>
      <c r="AS553" s="1809"/>
      <c r="AT553" s="1183" t="str">
        <f>IF(AND(NOT(C552=""),C553="",NOT(C554="")),"!","")</f>
        <v/>
      </c>
      <c r="AU553" s="1182"/>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5" customHeight="1">
      <c r="B554" s="52" t="s">
        <v>788</v>
      </c>
      <c r="C554" s="1656" t="s">
        <v>2727</v>
      </c>
      <c r="D554" s="1656"/>
      <c r="E554" s="1656"/>
      <c r="F554" s="1656"/>
      <c r="G554" s="1656"/>
      <c r="H554" s="1656"/>
      <c r="I554" s="1656"/>
      <c r="J554" s="1656"/>
      <c r="K554" s="1656"/>
      <c r="L554" s="1656"/>
      <c r="M554" s="1357" t="s">
        <v>2544</v>
      </c>
      <c r="N554" s="1357"/>
      <c r="O554" s="1357"/>
      <c r="P554" s="1357"/>
      <c r="Q554" s="1360">
        <f t="shared" si="0"/>
        <v>31</v>
      </c>
      <c r="R554" s="1361"/>
      <c r="S554" s="1362"/>
      <c r="T554" s="1360"/>
      <c r="U554" s="1361"/>
      <c r="V554" s="1362"/>
      <c r="W554" s="1619">
        <v>0.03</v>
      </c>
      <c r="X554" s="1620"/>
      <c r="Y554" s="1621"/>
      <c r="Z554" s="1363" t="s">
        <v>2735</v>
      </c>
      <c r="AA554" s="1363"/>
      <c r="AB554" s="1363"/>
      <c r="AC554" s="1363"/>
      <c r="AD554" s="1363"/>
      <c r="AE554" s="1804">
        <v>5</v>
      </c>
      <c r="AF554" s="1805"/>
      <c r="AG554" s="1805"/>
      <c r="AH554" s="1806"/>
      <c r="AI554" s="1810"/>
      <c r="AJ554" s="1811"/>
      <c r="AK554" s="1811"/>
      <c r="AL554" s="1812"/>
      <c r="AM554" s="1807">
        <v>7214000</v>
      </c>
      <c r="AN554" s="1808"/>
      <c r="AO554" s="1808"/>
      <c r="AP554" s="1808"/>
      <c r="AQ554" s="1808"/>
      <c r="AR554" s="1808"/>
      <c r="AS554" s="1809"/>
      <c r="AT554" s="1183" t="str">
        <f t="shared" ref="AT554:AT561" si="1">IF(AND(NOT(C553=""),C554="",NOT(C555="")),"!","")</f>
        <v/>
      </c>
      <c r="AU554" s="1182"/>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5" customHeight="1">
      <c r="B555" s="52" t="s">
        <v>594</v>
      </c>
      <c r="C555" s="1656" t="s">
        <v>2728</v>
      </c>
      <c r="D555" s="1656"/>
      <c r="E555" s="1656"/>
      <c r="F555" s="1656"/>
      <c r="G555" s="1656"/>
      <c r="H555" s="1656"/>
      <c r="I555" s="1656"/>
      <c r="J555" s="1656"/>
      <c r="K555" s="1656"/>
      <c r="L555" s="1656"/>
      <c r="M555" s="1357" t="s">
        <v>2544</v>
      </c>
      <c r="N555" s="1357"/>
      <c r="O555" s="1357"/>
      <c r="P555" s="1357"/>
      <c r="Q555" s="1360">
        <f t="shared" si="0"/>
        <v>31</v>
      </c>
      <c r="R555" s="1361"/>
      <c r="S555" s="1362"/>
      <c r="T555" s="1360"/>
      <c r="U555" s="1361"/>
      <c r="V555" s="1362"/>
      <c r="W555" s="1619">
        <v>0.03</v>
      </c>
      <c r="X555" s="1620"/>
      <c r="Y555" s="1621"/>
      <c r="Z555" s="1363" t="s">
        <v>2735</v>
      </c>
      <c r="AA555" s="1363"/>
      <c r="AB555" s="1363"/>
      <c r="AC555" s="1363"/>
      <c r="AD555" s="1363"/>
      <c r="AE555" s="1804">
        <v>6</v>
      </c>
      <c r="AF555" s="1805"/>
      <c r="AG555" s="1805"/>
      <c r="AH555" s="1806"/>
      <c r="AI555" s="1810"/>
      <c r="AJ555" s="1811"/>
      <c r="AK555" s="1811"/>
      <c r="AL555" s="1812"/>
      <c r="AM555" s="1807">
        <v>3230000</v>
      </c>
      <c r="AN555" s="1808"/>
      <c r="AO555" s="1808"/>
      <c r="AP555" s="1808"/>
      <c r="AQ555" s="1808"/>
      <c r="AR555" s="1808"/>
      <c r="AS555" s="1809"/>
      <c r="AT555" s="1183" t="str">
        <f t="shared" si="1"/>
        <v/>
      </c>
      <c r="AU555" s="1182"/>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5" customHeight="1">
      <c r="B556" s="52" t="s">
        <v>465</v>
      </c>
      <c r="C556" s="1656" t="s">
        <v>2729</v>
      </c>
      <c r="D556" s="1656"/>
      <c r="E556" s="1656"/>
      <c r="F556" s="1656"/>
      <c r="G556" s="1656"/>
      <c r="H556" s="1656"/>
      <c r="I556" s="1656"/>
      <c r="J556" s="1656"/>
      <c r="K556" s="1656"/>
      <c r="L556" s="1656"/>
      <c r="M556" s="1357" t="s">
        <v>2544</v>
      </c>
      <c r="N556" s="1357"/>
      <c r="O556" s="1357"/>
      <c r="P556" s="1357"/>
      <c r="Q556" s="1360">
        <f t="shared" si="0"/>
        <v>31</v>
      </c>
      <c r="R556" s="1361"/>
      <c r="S556" s="1362"/>
      <c r="T556" s="1360"/>
      <c r="U556" s="1361"/>
      <c r="V556" s="1362"/>
      <c r="W556" s="1619">
        <v>5.0000000000000001E-3</v>
      </c>
      <c r="X556" s="1620"/>
      <c r="Y556" s="1621"/>
      <c r="Z556" s="1363" t="s">
        <v>2735</v>
      </c>
      <c r="AA556" s="1363"/>
      <c r="AB556" s="1363"/>
      <c r="AC556" s="1363"/>
      <c r="AD556" s="1363"/>
      <c r="AE556" s="1804">
        <v>7</v>
      </c>
      <c r="AF556" s="1805"/>
      <c r="AG556" s="1805"/>
      <c r="AH556" s="1806"/>
      <c r="AI556" s="1810"/>
      <c r="AJ556" s="1811"/>
      <c r="AK556" s="1811"/>
      <c r="AL556" s="1812"/>
      <c r="AM556" s="1807">
        <v>5286000</v>
      </c>
      <c r="AN556" s="1808"/>
      <c r="AO556" s="1808"/>
      <c r="AP556" s="1808"/>
      <c r="AQ556" s="1808"/>
      <c r="AR556" s="1808"/>
      <c r="AS556" s="1809"/>
      <c r="AT556" s="1183" t="str">
        <f t="shared" si="1"/>
        <v/>
      </c>
      <c r="AU556" s="1182"/>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5" customHeight="1">
      <c r="B557" s="52" t="s">
        <v>466</v>
      </c>
      <c r="C557" s="1656" t="s">
        <v>2730</v>
      </c>
      <c r="D557" s="1656"/>
      <c r="E557" s="1656"/>
      <c r="F557" s="1656"/>
      <c r="G557" s="1656"/>
      <c r="H557" s="1656"/>
      <c r="I557" s="1656"/>
      <c r="J557" s="1656"/>
      <c r="K557" s="1656"/>
      <c r="L557" s="1656"/>
      <c r="M557" s="1357" t="s">
        <v>2557</v>
      </c>
      <c r="N557" s="1357"/>
      <c r="O557" s="1357"/>
      <c r="P557" s="1357"/>
      <c r="Q557" s="1360">
        <f t="shared" si="0"/>
        <v>31</v>
      </c>
      <c r="R557" s="1361"/>
      <c r="S557" s="1362"/>
      <c r="T557" s="1360"/>
      <c r="U557" s="1361"/>
      <c r="V557" s="1362"/>
      <c r="W557" s="1619"/>
      <c r="X557" s="1620"/>
      <c r="Y557" s="1621"/>
      <c r="Z557" s="1363" t="s">
        <v>601</v>
      </c>
      <c r="AA557" s="1363"/>
      <c r="AB557" s="1363"/>
      <c r="AC557" s="1363"/>
      <c r="AD557" s="1363"/>
      <c r="AE557" s="1804"/>
      <c r="AF557" s="1805"/>
      <c r="AG557" s="1805"/>
      <c r="AH557" s="1806"/>
      <c r="AI557" s="1810"/>
      <c r="AJ557" s="1811"/>
      <c r="AK557" s="1811"/>
      <c r="AL557" s="1812"/>
      <c r="AM557" s="1807">
        <v>3330452</v>
      </c>
      <c r="AN557" s="1808"/>
      <c r="AO557" s="1808"/>
      <c r="AP557" s="1808"/>
      <c r="AQ557" s="1808"/>
      <c r="AR557" s="1808"/>
      <c r="AS557" s="1809"/>
      <c r="AT557" s="1183" t="str">
        <f t="shared" si="1"/>
        <v/>
      </c>
      <c r="AU557" s="1182"/>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5" customHeight="1">
      <c r="B558" s="52" t="s">
        <v>471</v>
      </c>
      <c r="C558" s="1656" t="s">
        <v>2731</v>
      </c>
      <c r="D558" s="1656"/>
      <c r="E558" s="1656"/>
      <c r="F558" s="1656"/>
      <c r="G558" s="1656"/>
      <c r="H558" s="1656"/>
      <c r="I558" s="1656"/>
      <c r="J558" s="1656"/>
      <c r="K558" s="1656"/>
      <c r="L558" s="1656"/>
      <c r="M558" s="1357" t="s">
        <v>2534</v>
      </c>
      <c r="N558" s="1357"/>
      <c r="O558" s="1357"/>
      <c r="P558" s="1357"/>
      <c r="Q558" s="1360">
        <f t="shared" si="0"/>
        <v>31</v>
      </c>
      <c r="R558" s="1361"/>
      <c r="S558" s="1362"/>
      <c r="T558" s="1360"/>
      <c r="U558" s="1361"/>
      <c r="V558" s="1362"/>
      <c r="W558" s="1619"/>
      <c r="X558" s="1620"/>
      <c r="Y558" s="1621"/>
      <c r="Z558" s="1363" t="s">
        <v>601</v>
      </c>
      <c r="AA558" s="1363"/>
      <c r="AB558" s="1363"/>
      <c r="AC558" s="1363"/>
      <c r="AD558" s="1363"/>
      <c r="AE558" s="1804"/>
      <c r="AF558" s="1805"/>
      <c r="AG558" s="1805"/>
      <c r="AH558" s="1806"/>
      <c r="AI558" s="1810"/>
      <c r="AJ558" s="1811"/>
      <c r="AK558" s="1811"/>
      <c r="AL558" s="1812"/>
      <c r="AM558" s="1807">
        <v>3120665</v>
      </c>
      <c r="AN558" s="1808"/>
      <c r="AO558" s="1808"/>
      <c r="AP558" s="1808"/>
      <c r="AQ558" s="1808"/>
      <c r="AR558" s="1808"/>
      <c r="AS558" s="1809"/>
      <c r="AT558" s="1183" t="str">
        <f t="shared" si="1"/>
        <v/>
      </c>
      <c r="AU558" s="1182"/>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5" customHeight="1">
      <c r="B559" s="52" t="s">
        <v>656</v>
      </c>
      <c r="C559" s="1656" t="s">
        <v>1922</v>
      </c>
      <c r="D559" s="1656"/>
      <c r="E559" s="1656"/>
      <c r="F559" s="1656"/>
      <c r="G559" s="1656"/>
      <c r="H559" s="1656"/>
      <c r="I559" s="1656"/>
      <c r="J559" s="1656"/>
      <c r="K559" s="1656"/>
      <c r="L559" s="1656"/>
      <c r="M559" s="1357" t="s">
        <v>2535</v>
      </c>
      <c r="N559" s="1357"/>
      <c r="O559" s="1357"/>
      <c r="P559" s="1357"/>
      <c r="Q559" s="1360">
        <f t="shared" si="0"/>
        <v>31</v>
      </c>
      <c r="R559" s="1361"/>
      <c r="S559" s="1362"/>
      <c r="T559" s="1360"/>
      <c r="U559" s="1361"/>
      <c r="V559" s="1362"/>
      <c r="W559" s="1619"/>
      <c r="X559" s="1620"/>
      <c r="Y559" s="1621"/>
      <c r="Z559" s="1363" t="s">
        <v>601</v>
      </c>
      <c r="AA559" s="1363"/>
      <c r="AB559" s="1363"/>
      <c r="AC559" s="1363"/>
      <c r="AD559" s="1363"/>
      <c r="AE559" s="1804"/>
      <c r="AF559" s="1805"/>
      <c r="AG559" s="1805"/>
      <c r="AH559" s="1806"/>
      <c r="AI559" s="1810"/>
      <c r="AJ559" s="1811"/>
      <c r="AK559" s="1811"/>
      <c r="AL559" s="1812"/>
      <c r="AM559" s="1807">
        <v>4750527</v>
      </c>
      <c r="AN559" s="1808"/>
      <c r="AO559" s="1808"/>
      <c r="AP559" s="1808"/>
      <c r="AQ559" s="1808"/>
      <c r="AR559" s="1808"/>
      <c r="AS559" s="1809"/>
      <c r="AT559" s="1183" t="str">
        <f t="shared" si="1"/>
        <v/>
      </c>
      <c r="AU559" s="1182"/>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5" customHeight="1">
      <c r="B560" s="52" t="s">
        <v>364</v>
      </c>
      <c r="C560" s="1656" t="s">
        <v>2732</v>
      </c>
      <c r="D560" s="1656"/>
      <c r="E560" s="1656"/>
      <c r="F560" s="1656"/>
      <c r="G560" s="1656"/>
      <c r="H560" s="1656"/>
      <c r="I560" s="1656"/>
      <c r="J560" s="1656"/>
      <c r="K560" s="1656"/>
      <c r="L560" s="1656"/>
      <c r="M560" s="1357" t="s">
        <v>2539</v>
      </c>
      <c r="N560" s="1357"/>
      <c r="O560" s="1357"/>
      <c r="P560" s="1357"/>
      <c r="Q560" s="1360">
        <f t="shared" si="0"/>
        <v>31</v>
      </c>
      <c r="R560" s="1361"/>
      <c r="S560" s="1362"/>
      <c r="T560" s="1360"/>
      <c r="U560" s="1361"/>
      <c r="V560" s="1362"/>
      <c r="W560" s="1619"/>
      <c r="X560" s="1620"/>
      <c r="Y560" s="1621"/>
      <c r="Z560" s="1363" t="s">
        <v>601</v>
      </c>
      <c r="AA560" s="1363"/>
      <c r="AB560" s="1363"/>
      <c r="AC560" s="1363"/>
      <c r="AD560" s="1363"/>
      <c r="AE560" s="1804"/>
      <c r="AF560" s="1805"/>
      <c r="AG560" s="1805"/>
      <c r="AH560" s="1806"/>
      <c r="AI560" s="1810"/>
      <c r="AJ560" s="1811"/>
      <c r="AK560" s="1811"/>
      <c r="AL560" s="1812"/>
      <c r="AM560" s="1807">
        <v>6205482</v>
      </c>
      <c r="AN560" s="1808"/>
      <c r="AO560" s="1808"/>
      <c r="AP560" s="1808"/>
      <c r="AQ560" s="1808"/>
      <c r="AR560" s="1808"/>
      <c r="AS560" s="1809"/>
      <c r="AT560" s="1183" t="str">
        <f t="shared" si="1"/>
        <v/>
      </c>
      <c r="AU560" s="118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5" customHeight="1">
      <c r="B561" s="52" t="s">
        <v>365</v>
      </c>
      <c r="C561" s="1656" t="s">
        <v>2733</v>
      </c>
      <c r="D561" s="1656"/>
      <c r="E561" s="1656"/>
      <c r="F561" s="1656"/>
      <c r="G561" s="1656"/>
      <c r="H561" s="1656"/>
      <c r="I561" s="1656"/>
      <c r="J561" s="1656"/>
      <c r="K561" s="1656"/>
      <c r="L561" s="1656"/>
      <c r="M561" s="1357" t="s">
        <v>2533</v>
      </c>
      <c r="N561" s="1357"/>
      <c r="O561" s="1357"/>
      <c r="P561" s="1357"/>
      <c r="Q561" s="1360">
        <f t="shared" si="0"/>
        <v>31</v>
      </c>
      <c r="R561" s="1361"/>
      <c r="S561" s="1362"/>
      <c r="T561" s="1360"/>
      <c r="U561" s="1361"/>
      <c r="V561" s="1362"/>
      <c r="W561" s="1619"/>
      <c r="X561" s="1620"/>
      <c r="Y561" s="1621"/>
      <c r="Z561" s="1363" t="s">
        <v>601</v>
      </c>
      <c r="AA561" s="1363"/>
      <c r="AB561" s="1363"/>
      <c r="AC561" s="1363"/>
      <c r="AD561" s="1363"/>
      <c r="AE561" s="1804"/>
      <c r="AF561" s="1805"/>
      <c r="AG561" s="1805"/>
      <c r="AH561" s="1806"/>
      <c r="AI561" s="1810"/>
      <c r="AJ561" s="1811"/>
      <c r="AK561" s="1811"/>
      <c r="AL561" s="1812"/>
      <c r="AM561" s="1807">
        <v>1045178</v>
      </c>
      <c r="AN561" s="1808"/>
      <c r="AO561" s="1808"/>
      <c r="AP561" s="1808"/>
      <c r="AQ561" s="1808"/>
      <c r="AR561" s="1808"/>
      <c r="AS561" s="1809"/>
      <c r="AT561" s="1183" t="str">
        <f t="shared" si="1"/>
        <v/>
      </c>
      <c r="AU561" s="1182"/>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5" customHeight="1">
      <c r="B562" s="1577" t="s">
        <v>128</v>
      </c>
      <c r="C562" s="1578"/>
      <c r="D562" s="1578"/>
      <c r="E562" s="1578"/>
      <c r="F562" s="1578"/>
      <c r="G562" s="1578"/>
      <c r="H562" s="1578"/>
      <c r="I562" s="1578"/>
      <c r="J562" s="1578"/>
      <c r="K562" s="1578"/>
      <c r="L562" s="1578"/>
      <c r="M562" s="1578"/>
      <c r="N562" s="1578"/>
      <c r="O562" s="1578"/>
      <c r="P562" s="1578"/>
      <c r="Q562" s="1578"/>
      <c r="R562" s="1578"/>
      <c r="S562" s="1578"/>
      <c r="T562" s="1578"/>
      <c r="U562" s="1739"/>
      <c r="V562" s="1578"/>
      <c r="W562" s="1578"/>
      <c r="X562" s="1578"/>
      <c r="Y562" s="1578"/>
      <c r="Z562" s="1578"/>
      <c r="AA562" s="1578"/>
      <c r="AB562" s="1578"/>
      <c r="AC562" s="1578"/>
      <c r="AD562" s="1578"/>
      <c r="AE562" s="1578"/>
      <c r="AF562" s="1578"/>
      <c r="AG562" s="1578"/>
      <c r="AH562" s="1578"/>
      <c r="AI562" s="1578"/>
      <c r="AJ562" s="1578"/>
      <c r="AK562" s="1578"/>
      <c r="AL562" s="1579"/>
      <c r="AM562" s="1587">
        <f>SUM(AM550:AS561)</f>
        <v>140549066</v>
      </c>
      <c r="AN562" s="1588"/>
      <c r="AO562" s="1588"/>
      <c r="AP562" s="1588"/>
      <c r="AQ562" s="1588"/>
      <c r="AR562" s="1588"/>
      <c r="AS562" s="15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5" customHeight="1">
      <c r="A564" s="55" t="s">
        <v>113</v>
      </c>
      <c r="B564" t="s">
        <v>473</v>
      </c>
      <c r="G564" s="1348" t="str">
        <f>C550</f>
        <v>Wells Fargo TAX EXEMPT Const Loan</v>
      </c>
      <c r="H564" s="1348"/>
      <c r="I564" s="1348"/>
      <c r="J564" s="1348"/>
      <c r="K564" s="1348"/>
      <c r="L564" s="1348"/>
      <c r="M564" s="1348"/>
      <c r="N564" s="1348"/>
      <c r="O564" s="1348"/>
      <c r="P564" s="1348"/>
      <c r="Q564" s="1348"/>
      <c r="R564" s="1348"/>
      <c r="S564" s="8"/>
      <c r="T564" s="55" t="s">
        <v>114</v>
      </c>
      <c r="U564" t="s">
        <v>473</v>
      </c>
      <c r="Z564" s="1348" t="str">
        <f>C551</f>
        <v>Wells Fargo TAXABLE Const Loan</v>
      </c>
      <c r="AA564" s="1348"/>
      <c r="AB564" s="1348"/>
      <c r="AC564" s="1348"/>
      <c r="AD564" s="1348"/>
      <c r="AE564" s="1348"/>
      <c r="AF564" s="1348"/>
      <c r="AG564" s="1348"/>
      <c r="AH564" s="1348"/>
      <c r="AI564" s="1348"/>
      <c r="AJ564" s="1348"/>
      <c r="AK564" s="134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5" customHeight="1">
      <c r="A565" s="22"/>
      <c r="B565" t="s">
        <v>86</v>
      </c>
      <c r="G565" s="1350" t="s">
        <v>2760</v>
      </c>
      <c r="H565" s="1350"/>
      <c r="I565" s="1350"/>
      <c r="J565" s="1350"/>
      <c r="K565" s="1350"/>
      <c r="L565" s="1350"/>
      <c r="M565" s="1350"/>
      <c r="N565" s="1350"/>
      <c r="O565" s="1350"/>
      <c r="P565" s="1350"/>
      <c r="Q565" s="1350"/>
      <c r="R565" s="1350"/>
      <c r="S565" s="8"/>
      <c r="T565" s="22"/>
      <c r="U565" t="s">
        <v>86</v>
      </c>
      <c r="Z565" s="1350" t="s">
        <v>2760</v>
      </c>
      <c r="AA565" s="1350"/>
      <c r="AB565" s="1350"/>
      <c r="AC565" s="1350"/>
      <c r="AD565" s="1350"/>
      <c r="AE565" s="1350"/>
      <c r="AF565" s="1350"/>
      <c r="AG565" s="1350"/>
      <c r="AH565" s="1350"/>
      <c r="AI565" s="1350"/>
      <c r="AJ565" s="1350"/>
      <c r="AK565" s="1350"/>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5" customHeight="1">
      <c r="A566" s="22"/>
      <c r="B566" t="s">
        <v>590</v>
      </c>
      <c r="G566" s="1350" t="s">
        <v>2761</v>
      </c>
      <c r="H566" s="1350"/>
      <c r="I566" s="1350"/>
      <c r="J566" s="1350"/>
      <c r="K566" s="1350"/>
      <c r="L566" s="1350"/>
      <c r="M566" s="1350"/>
      <c r="N566" s="1350"/>
      <c r="O566" s="1350"/>
      <c r="P566" s="1350"/>
      <c r="Q566" s="1350"/>
      <c r="R566" s="1350"/>
      <c r="T566" s="22"/>
      <c r="U566" t="s">
        <v>590</v>
      </c>
      <c r="Z566" s="1350" t="s">
        <v>2761</v>
      </c>
      <c r="AA566" s="1350"/>
      <c r="AB566" s="1350"/>
      <c r="AC566" s="1350"/>
      <c r="AD566" s="1350"/>
      <c r="AE566" s="1350"/>
      <c r="AF566" s="1350"/>
      <c r="AG566" s="1350"/>
      <c r="AH566" s="1350"/>
      <c r="AI566" s="1350"/>
      <c r="AJ566" s="1350"/>
      <c r="AK566" s="1350"/>
      <c r="BB566" s="3"/>
      <c r="BC566" s="3"/>
      <c r="BD566" s="3"/>
      <c r="BE566" s="3"/>
      <c r="BF566" s="3"/>
      <c r="BG566" s="3"/>
      <c r="BH566" s="3" t="s">
        <v>466</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5" customHeight="1">
      <c r="A567" s="22"/>
      <c r="B567" t="s">
        <v>17</v>
      </c>
      <c r="G567" s="1350" t="s">
        <v>2762</v>
      </c>
      <c r="H567" s="1350"/>
      <c r="I567" s="1350"/>
      <c r="J567" s="1350"/>
      <c r="K567" s="1350"/>
      <c r="L567" s="1350"/>
      <c r="M567" s="1350"/>
      <c r="N567" s="1350"/>
      <c r="O567" s="1350"/>
      <c r="P567" s="1350"/>
      <c r="Q567" s="1350"/>
      <c r="R567" s="1350"/>
      <c r="S567" s="8"/>
      <c r="T567" s="22"/>
      <c r="U567" t="s">
        <v>17</v>
      </c>
      <c r="Z567" s="1350" t="s">
        <v>2762</v>
      </c>
      <c r="AA567" s="1350"/>
      <c r="AB567" s="1350"/>
      <c r="AC567" s="1350"/>
      <c r="AD567" s="1350"/>
      <c r="AE567" s="1350"/>
      <c r="AF567" s="1350"/>
      <c r="AG567" s="1350"/>
      <c r="AH567" s="1350"/>
      <c r="AI567" s="1350"/>
      <c r="AJ567" s="1350"/>
      <c r="AK567" s="135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5" customHeight="1">
      <c r="A568" s="22"/>
      <c r="B568" t="s">
        <v>318</v>
      </c>
      <c r="G568" s="1352" t="s">
        <v>2763</v>
      </c>
      <c r="H568" s="1353"/>
      <c r="I568" s="1353"/>
      <c r="J568" s="1353"/>
      <c r="K568" s="1353"/>
      <c r="L568" s="1353"/>
      <c r="O568" s="33" t="s">
        <v>208</v>
      </c>
      <c r="P568" s="1347"/>
      <c r="Q568" s="1347"/>
      <c r="R568" s="1347"/>
      <c r="S568" s="10"/>
      <c r="T568" s="22"/>
      <c r="U568" t="s">
        <v>318</v>
      </c>
      <c r="Z568" s="1352" t="s">
        <v>2763</v>
      </c>
      <c r="AA568" s="1353"/>
      <c r="AB568" s="1353"/>
      <c r="AC568" s="1353"/>
      <c r="AD568" s="1353"/>
      <c r="AE568" s="1353"/>
      <c r="AH568" s="33" t="s">
        <v>208</v>
      </c>
      <c r="AI568" s="1347"/>
      <c r="AJ568" s="1347"/>
      <c r="AK568" s="134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5" customHeight="1">
      <c r="A569" s="22"/>
      <c r="B569" t="s">
        <v>18</v>
      </c>
      <c r="H569" s="1350" t="s">
        <v>2764</v>
      </c>
      <c r="I569" s="1350"/>
      <c r="J569" s="1350"/>
      <c r="K569" s="1350"/>
      <c r="L569" s="1350"/>
      <c r="M569" s="1350"/>
      <c r="N569" s="1350"/>
      <c r="O569" s="1350"/>
      <c r="P569" s="1350"/>
      <c r="Q569" s="1350"/>
      <c r="R569" s="1350"/>
      <c r="S569" s="8"/>
      <c r="T569" s="22"/>
      <c r="U569" t="s">
        <v>18</v>
      </c>
      <c r="AA569" s="1350" t="s">
        <v>2764</v>
      </c>
      <c r="AB569" s="1350"/>
      <c r="AC569" s="1350"/>
      <c r="AD569" s="1350"/>
      <c r="AE569" s="1350"/>
      <c r="AF569" s="1350"/>
      <c r="AG569" s="1350"/>
      <c r="AH569" s="1350"/>
      <c r="AI569" s="1350"/>
      <c r="AJ569" s="1350"/>
      <c r="AK569" s="135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5" customHeight="1">
      <c r="A570" s="22"/>
      <c r="B570" s="340" t="s">
        <v>1328</v>
      </c>
      <c r="H570" s="8"/>
      <c r="I570" s="8"/>
      <c r="J570" s="8"/>
      <c r="K570" s="8"/>
      <c r="L570" s="8"/>
      <c r="M570" s="1658" t="s">
        <v>2769</v>
      </c>
      <c r="N570" s="1659"/>
      <c r="O570" s="1659"/>
      <c r="P570" s="1659"/>
      <c r="Q570" s="1659"/>
      <c r="R570" s="1659"/>
      <c r="S570" s="8"/>
      <c r="T570" s="22"/>
      <c r="U570" s="340" t="s">
        <v>1328</v>
      </c>
      <c r="AA570" s="8"/>
      <c r="AB570" s="8"/>
      <c r="AC570" s="8"/>
      <c r="AD570" s="8"/>
      <c r="AE570" s="8"/>
      <c r="AF570" s="1658" t="s">
        <v>2769</v>
      </c>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5" customHeight="1">
      <c r="A571" s="22"/>
      <c r="B571" t="s">
        <v>20</v>
      </c>
      <c r="N571" s="1351" t="s">
        <v>555</v>
      </c>
      <c r="O571" s="1351"/>
      <c r="T571" s="22"/>
      <c r="U571" t="s">
        <v>20</v>
      </c>
      <c r="AG571" s="1351" t="s">
        <v>555</v>
      </c>
      <c r="AH571" s="135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5" customHeight="1">
      <c r="A573" s="55" t="s">
        <v>120</v>
      </c>
      <c r="B573" t="s">
        <v>473</v>
      </c>
      <c r="G573" s="1348" t="str">
        <f>C552</f>
        <v>San Mateo County Loans</v>
      </c>
      <c r="H573" s="1348"/>
      <c r="I573" s="1348"/>
      <c r="J573" s="1348"/>
      <c r="K573" s="1348"/>
      <c r="L573" s="1348"/>
      <c r="M573" s="1348"/>
      <c r="N573" s="1348"/>
      <c r="O573" s="1348"/>
      <c r="P573" s="1348"/>
      <c r="Q573" s="1348"/>
      <c r="R573" s="1348"/>
      <c r="T573" s="55" t="s">
        <v>591</v>
      </c>
      <c r="U573" t="s">
        <v>473</v>
      </c>
      <c r="Z573" s="1348" t="str">
        <f>C553</f>
        <v>Santa Clara County - Stanford Funds</v>
      </c>
      <c r="AA573" s="1348"/>
      <c r="AB573" s="1348"/>
      <c r="AC573" s="1348"/>
      <c r="AD573" s="1348"/>
      <c r="AE573" s="1348"/>
      <c r="AF573" s="1348"/>
      <c r="AG573" s="1348"/>
      <c r="AH573" s="1348"/>
      <c r="AI573" s="1348"/>
      <c r="AJ573" s="1348"/>
      <c r="AK573" s="134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5" customHeight="1">
      <c r="A574" s="22"/>
      <c r="B574" t="s">
        <v>86</v>
      </c>
      <c r="G574" s="1350" t="s">
        <v>2765</v>
      </c>
      <c r="H574" s="1350"/>
      <c r="I574" s="1350"/>
      <c r="J574" s="1350"/>
      <c r="K574" s="1350"/>
      <c r="L574" s="1350"/>
      <c r="M574" s="1350"/>
      <c r="N574" s="1350"/>
      <c r="O574" s="1350"/>
      <c r="P574" s="1350"/>
      <c r="Q574" s="1350"/>
      <c r="R574" s="1350"/>
      <c r="T574" s="22"/>
      <c r="U574" t="s">
        <v>86</v>
      </c>
      <c r="Z574" s="1349" t="s">
        <v>2800</v>
      </c>
      <c r="AA574" s="1350"/>
      <c r="AB574" s="1350"/>
      <c r="AC574" s="1350"/>
      <c r="AD574" s="1350"/>
      <c r="AE574" s="1350"/>
      <c r="AF574" s="1350"/>
      <c r="AG574" s="1350"/>
      <c r="AH574" s="1350"/>
      <c r="AI574" s="1350"/>
      <c r="AJ574" s="1350"/>
      <c r="AK574" s="135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5" customHeight="1">
      <c r="A575" s="22"/>
      <c r="B575" t="s">
        <v>590</v>
      </c>
      <c r="G575" s="1358" t="s">
        <v>2766</v>
      </c>
      <c r="H575" s="1359"/>
      <c r="I575" s="1359"/>
      <c r="J575" s="1359"/>
      <c r="K575" s="1359"/>
      <c r="L575" s="1359"/>
      <c r="M575" s="1359"/>
      <c r="N575" s="1359"/>
      <c r="O575" s="1359"/>
      <c r="P575" s="1359"/>
      <c r="Q575" s="1359"/>
      <c r="R575" s="1359"/>
      <c r="T575" s="22"/>
      <c r="U575" t="s">
        <v>590</v>
      </c>
      <c r="Z575" s="1358" t="s">
        <v>2801</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5" customHeight="1">
      <c r="A576" s="22"/>
      <c r="B576" t="s">
        <v>17</v>
      </c>
      <c r="G576" s="1358" t="s">
        <v>2767</v>
      </c>
      <c r="H576" s="1359"/>
      <c r="I576" s="1359"/>
      <c r="J576" s="1359"/>
      <c r="K576" s="1359"/>
      <c r="L576" s="1359"/>
      <c r="M576" s="1359"/>
      <c r="N576" s="1359"/>
      <c r="O576" s="1359"/>
      <c r="P576" s="1359"/>
      <c r="Q576" s="1359"/>
      <c r="R576" s="1359"/>
      <c r="T576" s="22"/>
      <c r="U576" t="s">
        <v>17</v>
      </c>
      <c r="Z576" s="1358" t="s">
        <v>2802</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5" customHeight="1">
      <c r="A577" s="22"/>
      <c r="B577" t="s">
        <v>318</v>
      </c>
      <c r="G577" s="1352" t="s">
        <v>2768</v>
      </c>
      <c r="H577" s="1353"/>
      <c r="I577" s="1353"/>
      <c r="J577" s="1353"/>
      <c r="K577" s="1353"/>
      <c r="L577" s="1353"/>
      <c r="O577" s="33" t="s">
        <v>208</v>
      </c>
      <c r="P577" s="1347"/>
      <c r="Q577" s="1347"/>
      <c r="R577" s="1347"/>
      <c r="T577" s="22"/>
      <c r="U577" t="s">
        <v>318</v>
      </c>
      <c r="Z577" s="1352" t="s">
        <v>2803</v>
      </c>
      <c r="AA577" s="1353"/>
      <c r="AB577" s="1353"/>
      <c r="AC577" s="1353"/>
      <c r="AD577" s="1353"/>
      <c r="AE577" s="1353"/>
      <c r="AH577" s="33" t="s">
        <v>208</v>
      </c>
      <c r="AI577" s="1347"/>
      <c r="AJ577" s="1347"/>
      <c r="AK577" s="134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5" customHeight="1">
      <c r="A578" s="22"/>
      <c r="B578" t="s">
        <v>18</v>
      </c>
      <c r="H578" s="1349" t="s">
        <v>2770</v>
      </c>
      <c r="I578" s="1350"/>
      <c r="J578" s="1350"/>
      <c r="K578" s="1350"/>
      <c r="L578" s="1350"/>
      <c r="M578" s="1350"/>
      <c r="N578" s="1350"/>
      <c r="O578" s="1350"/>
      <c r="P578" s="1350"/>
      <c r="Q578" s="1350"/>
      <c r="R578" s="1350"/>
      <c r="T578" s="22"/>
      <c r="U578" t="s">
        <v>18</v>
      </c>
      <c r="AA578" s="1349" t="s">
        <v>2770</v>
      </c>
      <c r="AB578" s="1350"/>
      <c r="AC578" s="1350"/>
      <c r="AD578" s="1350"/>
      <c r="AE578" s="1350"/>
      <c r="AF578" s="1350"/>
      <c r="AG578" s="1350"/>
      <c r="AH578" s="1350"/>
      <c r="AI578" s="1350"/>
      <c r="AJ578" s="1350"/>
      <c r="AK578" s="135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5" customHeight="1">
      <c r="A579" s="22"/>
      <c r="B579" t="s">
        <v>20</v>
      </c>
      <c r="N579" s="1351" t="s">
        <v>555</v>
      </c>
      <c r="O579" s="1351"/>
      <c r="T579" s="22"/>
      <c r="U579" t="s">
        <v>20</v>
      </c>
      <c r="AG579" s="1351" t="s">
        <v>555</v>
      </c>
      <c r="AH579" s="135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5" customHeight="1">
      <c r="A581" s="55" t="s">
        <v>788</v>
      </c>
      <c r="B581" t="s">
        <v>473</v>
      </c>
      <c r="G581" s="1348" t="str">
        <f>C554</f>
        <v>City of East Palo Alto Loans</v>
      </c>
      <c r="H581" s="1348"/>
      <c r="I581" s="1348"/>
      <c r="J581" s="1348"/>
      <c r="K581" s="1348"/>
      <c r="L581" s="1348"/>
      <c r="M581" s="1348"/>
      <c r="N581" s="1348"/>
      <c r="O581" s="1348"/>
      <c r="P581" s="1348"/>
      <c r="Q581" s="1348"/>
      <c r="R581" s="1348"/>
      <c r="T581" s="55" t="s">
        <v>594</v>
      </c>
      <c r="U581" t="s">
        <v>473</v>
      </c>
      <c r="Z581" s="1348" t="str">
        <f>C555</f>
        <v>HEART - LHTF</v>
      </c>
      <c r="AA581" s="1348"/>
      <c r="AB581" s="1348"/>
      <c r="AC581" s="1348"/>
      <c r="AD581" s="1348"/>
      <c r="AE581" s="1348"/>
      <c r="AF581" s="1348"/>
      <c r="AG581" s="1348"/>
      <c r="AH581" s="1348"/>
      <c r="AI581" s="1348"/>
      <c r="AJ581" s="1348"/>
      <c r="AK581" s="134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5" customHeight="1">
      <c r="A582" s="22"/>
      <c r="B582" t="s">
        <v>86</v>
      </c>
      <c r="G582" s="1349" t="s">
        <v>2776</v>
      </c>
      <c r="H582" s="1350"/>
      <c r="I582" s="1350"/>
      <c r="J582" s="1350"/>
      <c r="K582" s="1350"/>
      <c r="L582" s="1350"/>
      <c r="M582" s="1350"/>
      <c r="N582" s="1350"/>
      <c r="O582" s="1350"/>
      <c r="P582" s="1350"/>
      <c r="Q582" s="1350"/>
      <c r="R582" s="1350"/>
      <c r="T582" s="22"/>
      <c r="U582" t="s">
        <v>86</v>
      </c>
      <c r="Z582" s="1349" t="s">
        <v>2781</v>
      </c>
      <c r="AA582" s="1350"/>
      <c r="AB582" s="1350"/>
      <c r="AC582" s="1350"/>
      <c r="AD582" s="1350"/>
      <c r="AE582" s="1350"/>
      <c r="AF582" s="1350"/>
      <c r="AG582" s="1350"/>
      <c r="AH582" s="1350"/>
      <c r="AI582" s="1350"/>
      <c r="AJ582" s="1350"/>
      <c r="AK582" s="135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5" customHeight="1">
      <c r="A583" s="22"/>
      <c r="B583" t="s">
        <v>590</v>
      </c>
      <c r="G583" s="1349" t="s">
        <v>2777</v>
      </c>
      <c r="H583" s="1350"/>
      <c r="I583" s="1350"/>
      <c r="J583" s="1350"/>
      <c r="K583" s="1350"/>
      <c r="L583" s="1350"/>
      <c r="M583" s="1350"/>
      <c r="N583" s="1350"/>
      <c r="O583" s="1350"/>
      <c r="P583" s="1350"/>
      <c r="Q583" s="1350"/>
      <c r="R583" s="1350"/>
      <c r="T583" s="22"/>
      <c r="U583" t="s">
        <v>590</v>
      </c>
      <c r="Z583" s="1358" t="s">
        <v>2782</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5" customHeight="1">
      <c r="A584" s="22"/>
      <c r="B584" t="s">
        <v>17</v>
      </c>
      <c r="G584" s="1349" t="s">
        <v>2778</v>
      </c>
      <c r="H584" s="1350"/>
      <c r="I584" s="1350"/>
      <c r="J584" s="1350"/>
      <c r="K584" s="1350"/>
      <c r="L584" s="1350"/>
      <c r="M584" s="1350"/>
      <c r="N584" s="1350"/>
      <c r="O584" s="1350"/>
      <c r="P584" s="1350"/>
      <c r="Q584" s="1350"/>
      <c r="R584" s="1350"/>
      <c r="T584" s="22"/>
      <c r="U584" t="s">
        <v>17</v>
      </c>
      <c r="Z584" s="1358" t="s">
        <v>2783</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5" customHeight="1">
      <c r="A585" s="22"/>
      <c r="B585" t="s">
        <v>318</v>
      </c>
      <c r="G585" s="1352" t="s">
        <v>2779</v>
      </c>
      <c r="H585" s="1353"/>
      <c r="I585" s="1353"/>
      <c r="J585" s="1353"/>
      <c r="K585" s="1353"/>
      <c r="L585" s="1353"/>
      <c r="O585" s="33" t="s">
        <v>208</v>
      </c>
      <c r="P585" s="1347"/>
      <c r="Q585" s="1347"/>
      <c r="R585" s="1347"/>
      <c r="T585" s="22"/>
      <c r="U585" t="s">
        <v>318</v>
      </c>
      <c r="Z585" s="1352" t="s">
        <v>2784</v>
      </c>
      <c r="AA585" s="1353"/>
      <c r="AB585" s="1353"/>
      <c r="AC585" s="1353"/>
      <c r="AD585" s="1353"/>
      <c r="AE585" s="1353"/>
      <c r="AH585" s="33" t="s">
        <v>208</v>
      </c>
      <c r="AI585" s="1347"/>
      <c r="AJ585" s="1347"/>
      <c r="AK585" s="134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5" customHeight="1">
      <c r="A586" s="22"/>
      <c r="B586" t="s">
        <v>18</v>
      </c>
      <c r="H586" s="1349" t="s">
        <v>2780</v>
      </c>
      <c r="I586" s="1350"/>
      <c r="J586" s="1350"/>
      <c r="K586" s="1350"/>
      <c r="L586" s="1350"/>
      <c r="M586" s="1350"/>
      <c r="N586" s="1350"/>
      <c r="O586" s="1350"/>
      <c r="P586" s="1350"/>
      <c r="Q586" s="1350"/>
      <c r="R586" s="1350"/>
      <c r="T586" s="22"/>
      <c r="U586" t="s">
        <v>18</v>
      </c>
      <c r="AA586" s="1349" t="s">
        <v>2780</v>
      </c>
      <c r="AB586" s="1350"/>
      <c r="AC586" s="1350"/>
      <c r="AD586" s="1350"/>
      <c r="AE586" s="1350"/>
      <c r="AF586" s="1350"/>
      <c r="AG586" s="1350"/>
      <c r="AH586" s="1350"/>
      <c r="AI586" s="1350"/>
      <c r="AJ586" s="1350"/>
      <c r="AK586" s="135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5" customHeight="1">
      <c r="A587" s="22"/>
      <c r="B587" t="s">
        <v>20</v>
      </c>
      <c r="N587" s="1351" t="s">
        <v>555</v>
      </c>
      <c r="O587" s="1351"/>
      <c r="T587" s="22"/>
      <c r="U587" t="s">
        <v>20</v>
      </c>
      <c r="AG587" s="1351" t="s">
        <v>555</v>
      </c>
      <c r="AH587" s="1351"/>
    </row>
    <row r="588" spans="1:110" ht="13.2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25" customHeight="1">
      <c r="A589" s="55" t="s">
        <v>465</v>
      </c>
      <c r="B589" t="s">
        <v>473</v>
      </c>
      <c r="G589" s="1348" t="str">
        <f>C556</f>
        <v>LISC Housing Catalyst Fund</v>
      </c>
      <c r="H589" s="1348"/>
      <c r="I589" s="1348"/>
      <c r="J589" s="1348"/>
      <c r="K589" s="1348"/>
      <c r="L589" s="1348"/>
      <c r="M589" s="1348"/>
      <c r="N589" s="1348"/>
      <c r="O589" s="1348"/>
      <c r="P589" s="1348"/>
      <c r="Q589" s="1348"/>
      <c r="R589" s="1348"/>
      <c r="T589" s="55" t="s">
        <v>466</v>
      </c>
      <c r="U589" t="s">
        <v>473</v>
      </c>
      <c r="Z589" s="1348" t="str">
        <f>C557</f>
        <v>Impact Fee Waiver</v>
      </c>
      <c r="AA589" s="1348"/>
      <c r="AB589" s="1348"/>
      <c r="AC589" s="1348"/>
      <c r="AD589" s="1348"/>
      <c r="AE589" s="1348"/>
      <c r="AF589" s="1348"/>
      <c r="AG589" s="1348"/>
      <c r="AH589" s="1348"/>
      <c r="AI589" s="1348"/>
      <c r="AJ589" s="1348"/>
      <c r="AK589" s="134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5" customHeight="1">
      <c r="A590" s="22"/>
      <c r="B590" t="s">
        <v>86</v>
      </c>
      <c r="G590" s="1349" t="s">
        <v>2796</v>
      </c>
      <c r="H590" s="1350"/>
      <c r="I590" s="1350"/>
      <c r="J590" s="1350"/>
      <c r="K590" s="1350"/>
      <c r="L590" s="1350"/>
      <c r="M590" s="1350"/>
      <c r="N590" s="1350"/>
      <c r="O590" s="1350"/>
      <c r="P590" s="1350"/>
      <c r="Q590" s="1350"/>
      <c r="R590" s="1350"/>
      <c r="T590" s="22"/>
      <c r="U590" t="s">
        <v>86</v>
      </c>
      <c r="Z590" s="1349" t="s">
        <v>2776</v>
      </c>
      <c r="AA590" s="1350"/>
      <c r="AB590" s="1350"/>
      <c r="AC590" s="1350"/>
      <c r="AD590" s="1350"/>
      <c r="AE590" s="1350"/>
      <c r="AF590" s="1350"/>
      <c r="AG590" s="1350"/>
      <c r="AH590" s="1350"/>
      <c r="AI590" s="1350"/>
      <c r="AJ590" s="1350"/>
      <c r="AK590" s="135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5" customHeight="1">
      <c r="A591" s="22"/>
      <c r="B591" t="s">
        <v>590</v>
      </c>
      <c r="G591" s="1760" t="s">
        <v>2662</v>
      </c>
      <c r="H591" s="1350"/>
      <c r="I591" s="1350"/>
      <c r="J591" s="1350"/>
      <c r="K591" s="1350"/>
      <c r="L591" s="1350"/>
      <c r="M591" s="1350"/>
      <c r="N591" s="1350"/>
      <c r="O591" s="1350"/>
      <c r="P591" s="1350"/>
      <c r="Q591" s="1350"/>
      <c r="R591" s="1350"/>
      <c r="T591" s="22"/>
      <c r="U591" t="s">
        <v>590</v>
      </c>
      <c r="Z591" s="1349" t="s">
        <v>2777</v>
      </c>
      <c r="AA591" s="1350"/>
      <c r="AB591" s="1350"/>
      <c r="AC591" s="1350"/>
      <c r="AD591" s="1350"/>
      <c r="AE591" s="1350"/>
      <c r="AF591" s="1350"/>
      <c r="AG591" s="1350"/>
      <c r="AH591" s="1350"/>
      <c r="AI591" s="1350"/>
      <c r="AJ591" s="1350"/>
      <c r="AK591" s="135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5" customHeight="1">
      <c r="A592" s="22"/>
      <c r="B592" t="s">
        <v>17</v>
      </c>
      <c r="G592" s="1349" t="s">
        <v>2785</v>
      </c>
      <c r="H592" s="1350"/>
      <c r="I592" s="1350"/>
      <c r="J592" s="1350"/>
      <c r="K592" s="1350"/>
      <c r="L592" s="1350"/>
      <c r="M592" s="1350"/>
      <c r="N592" s="1350"/>
      <c r="O592" s="1350"/>
      <c r="P592" s="1350"/>
      <c r="Q592" s="1350"/>
      <c r="R592" s="1350"/>
      <c r="T592" s="22"/>
      <c r="U592" t="s">
        <v>17</v>
      </c>
      <c r="Z592" s="1349" t="s">
        <v>2778</v>
      </c>
      <c r="AA592" s="1350"/>
      <c r="AB592" s="1350"/>
      <c r="AC592" s="1350"/>
      <c r="AD592" s="1350"/>
      <c r="AE592" s="1350"/>
      <c r="AF592" s="1350"/>
      <c r="AG592" s="1350"/>
      <c r="AH592" s="1350"/>
      <c r="AI592" s="1350"/>
      <c r="AJ592" s="1350"/>
      <c r="AK592" s="135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25" customHeight="1">
      <c r="A593" s="22"/>
      <c r="B593" t="s">
        <v>318</v>
      </c>
      <c r="C593"/>
      <c r="D593"/>
      <c r="E593"/>
      <c r="F593"/>
      <c r="G593" s="1352" t="s">
        <v>2795</v>
      </c>
      <c r="H593" s="1353"/>
      <c r="I593" s="1353"/>
      <c r="J593" s="1353"/>
      <c r="K593" s="1353"/>
      <c r="L593" s="1353"/>
      <c r="M593"/>
      <c r="N593"/>
      <c r="O593" s="33" t="s">
        <v>208</v>
      </c>
      <c r="P593" s="1347"/>
      <c r="Q593" s="1347"/>
      <c r="R593" s="1347"/>
      <c r="S593"/>
      <c r="T593" s="22"/>
      <c r="U593" t="s">
        <v>318</v>
      </c>
      <c r="V593"/>
      <c r="W593"/>
      <c r="X593"/>
      <c r="Y593"/>
      <c r="Z593" s="1352" t="s">
        <v>2779</v>
      </c>
      <c r="AA593" s="1353"/>
      <c r="AB593" s="1353"/>
      <c r="AC593" s="1353"/>
      <c r="AD593" s="1353"/>
      <c r="AE593" s="1353"/>
      <c r="AF593"/>
      <c r="AG593"/>
      <c r="AH593" s="33" t="s">
        <v>208</v>
      </c>
      <c r="AI593" s="1347"/>
      <c r="AJ593" s="1347"/>
      <c r="AK593" s="134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5" customHeight="1">
      <c r="A594" s="22"/>
      <c r="B594" t="s">
        <v>18</v>
      </c>
      <c r="C594"/>
      <c r="D594"/>
      <c r="E594"/>
      <c r="F594"/>
      <c r="G594"/>
      <c r="H594" s="1349" t="s">
        <v>2780</v>
      </c>
      <c r="I594" s="1350"/>
      <c r="J594" s="1350"/>
      <c r="K594" s="1350"/>
      <c r="L594" s="1350"/>
      <c r="M594" s="1350"/>
      <c r="N594" s="1350"/>
      <c r="O594" s="1350"/>
      <c r="P594" s="1350"/>
      <c r="Q594" s="1350"/>
      <c r="R594" s="1350"/>
      <c r="S594"/>
      <c r="T594" s="22"/>
      <c r="U594" t="s">
        <v>18</v>
      </c>
      <c r="V594"/>
      <c r="W594"/>
      <c r="X594"/>
      <c r="Y594"/>
      <c r="Z594"/>
      <c r="AA594" s="1349" t="s">
        <v>2730</v>
      </c>
      <c r="AB594" s="1350"/>
      <c r="AC594" s="1350"/>
      <c r="AD594" s="1350"/>
      <c r="AE594" s="1350"/>
      <c r="AF594" s="1350"/>
      <c r="AG594" s="1350"/>
      <c r="AH594" s="1350"/>
      <c r="AI594" s="1350"/>
      <c r="AJ594" s="1350"/>
      <c r="AK594" s="135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5" customHeight="1">
      <c r="A595" s="22"/>
      <c r="B595" t="s">
        <v>20</v>
      </c>
      <c r="C595"/>
      <c r="D595"/>
      <c r="E595"/>
      <c r="F595"/>
      <c r="G595"/>
      <c r="H595"/>
      <c r="I595"/>
      <c r="J595"/>
      <c r="K595"/>
      <c r="L595"/>
      <c r="M595"/>
      <c r="N595" s="1351" t="s">
        <v>555</v>
      </c>
      <c r="O595" s="1351"/>
      <c r="P595"/>
      <c r="Q595"/>
      <c r="R595"/>
      <c r="S595"/>
      <c r="T595" s="22"/>
      <c r="U595" t="s">
        <v>20</v>
      </c>
      <c r="V595"/>
      <c r="W595"/>
      <c r="X595"/>
      <c r="Y595"/>
      <c r="Z595"/>
      <c r="AA595"/>
      <c r="AB595"/>
      <c r="AC595"/>
      <c r="AD595"/>
      <c r="AE595"/>
      <c r="AF595"/>
      <c r="AG595" s="1351" t="s">
        <v>555</v>
      </c>
      <c r="AH595" s="1351"/>
      <c r="AI595"/>
      <c r="AJ595"/>
      <c r="AK595"/>
      <c r="AL595"/>
      <c r="AM595"/>
      <c r="AN595"/>
      <c r="AO595"/>
      <c r="AP595"/>
      <c r="AQ595"/>
      <c r="AR595"/>
      <c r="AS595"/>
      <c r="AT595"/>
      <c r="AU595"/>
      <c r="AV595"/>
      <c r="AW595"/>
      <c r="AX595"/>
      <c r="AY595"/>
      <c r="BA595" s="4" t="s">
        <v>326</v>
      </c>
      <c r="BB595" s="3"/>
      <c r="BC595" s="3"/>
      <c r="BD595" s="3"/>
      <c r="BE595" s="121" t="s">
        <v>484</v>
      </c>
      <c r="BF595" s="122"/>
      <c r="BG595" s="1427"/>
      <c r="BH595" s="1428"/>
      <c r="BI595" s="121" t="s">
        <v>485</v>
      </c>
      <c r="BJ595" s="122"/>
      <c r="BK595" s="1427"/>
      <c r="BL595" s="1428"/>
      <c r="BM595" s="3"/>
      <c r="BN595" s="1474" t="s">
        <v>643</v>
      </c>
      <c r="BO595" s="1475"/>
      <c r="BP595" s="1475"/>
      <c r="BQ595" s="1475"/>
      <c r="BR595" s="1476"/>
      <c r="BS595" s="1439" t="s">
        <v>327</v>
      </c>
      <c r="BT595" s="1439"/>
      <c r="BU595" s="1439"/>
      <c r="BV595" s="1439"/>
      <c r="BW595" s="1439"/>
      <c r="BX595" s="1439" t="s">
        <v>164</v>
      </c>
      <c r="BY595" s="1439"/>
      <c r="BZ595" s="1439"/>
      <c r="CA595" s="1439"/>
      <c r="CB595" s="1439"/>
      <c r="CC595" s="1439" t="s">
        <v>165</v>
      </c>
      <c r="CD595" s="1439"/>
      <c r="CE595" s="1439"/>
      <c r="CF595" s="1439"/>
      <c r="CG595" s="1439"/>
      <c r="CH595" s="1439" t="s">
        <v>470</v>
      </c>
      <c r="CI595" s="1439"/>
      <c r="CJ595" s="1439"/>
      <c r="CK595" s="1439"/>
      <c r="CL595" s="1439"/>
      <c r="CM595" s="1439" t="s">
        <v>30</v>
      </c>
      <c r="CN595" s="1439"/>
      <c r="CO595" s="1439"/>
      <c r="CP595" s="1439"/>
      <c r="CQ595" s="1439"/>
      <c r="CR595" s="89"/>
      <c r="CS595" s="1439" t="s">
        <v>643</v>
      </c>
      <c r="CT595" s="1439"/>
      <c r="CU595" s="1439"/>
      <c r="CV595" s="1439"/>
      <c r="CW595" s="1439"/>
      <c r="CX595" s="1439" t="s">
        <v>327</v>
      </c>
      <c r="CY595" s="1439"/>
      <c r="CZ595" s="1439"/>
      <c r="DA595" s="1439"/>
      <c r="DB595" s="1439"/>
      <c r="DC595" s="1439" t="s">
        <v>164</v>
      </c>
      <c r="DD595" s="1439"/>
      <c r="DE595" s="1439"/>
      <c r="DF595" s="1439"/>
      <c r="DG595" s="1439"/>
      <c r="DH595" s="1439" t="s">
        <v>165</v>
      </c>
      <c r="DI595" s="1439"/>
      <c r="DJ595" s="1439"/>
      <c r="DK595" s="1439"/>
      <c r="DL595" s="1439"/>
      <c r="DM595" s="1439" t="s">
        <v>470</v>
      </c>
      <c r="DN595" s="1439"/>
      <c r="DO595" s="1439"/>
      <c r="DP595" s="1439"/>
      <c r="DQ595" s="1439"/>
      <c r="DR595" s="1439" t="s">
        <v>30</v>
      </c>
      <c r="DS595" s="1439"/>
      <c r="DT595" s="1439"/>
      <c r="DU595" s="1439"/>
      <c r="DV595" s="1439"/>
      <c r="DX595" s="1439" t="s">
        <v>643</v>
      </c>
      <c r="DY595" s="1439"/>
      <c r="DZ595" s="1439"/>
      <c r="EA595" s="1439"/>
      <c r="EB595" s="1439"/>
      <c r="EC595" s="1439" t="s">
        <v>327</v>
      </c>
      <c r="ED595" s="1439"/>
      <c r="EE595" s="1439"/>
      <c r="EF595" s="1439"/>
      <c r="EG595" s="1439"/>
      <c r="EH595" s="1439" t="s">
        <v>164</v>
      </c>
      <c r="EI595" s="1439"/>
      <c r="EJ595" s="1439"/>
      <c r="EK595" s="1439"/>
      <c r="EL595" s="1439"/>
      <c r="EM595" s="1439" t="s">
        <v>165</v>
      </c>
      <c r="EN595" s="1439"/>
      <c r="EO595" s="1439"/>
      <c r="EP595" s="1439"/>
      <c r="EQ595" s="1439"/>
      <c r="ER595" s="1439" t="s">
        <v>470</v>
      </c>
      <c r="ES595" s="1439"/>
      <c r="ET595" s="1439"/>
      <c r="EU595" s="1439"/>
      <c r="EV595" s="1439"/>
      <c r="EW595" s="1439" t="s">
        <v>30</v>
      </c>
      <c r="EX595" s="1439"/>
      <c r="EY595" s="1439"/>
      <c r="EZ595" s="1439"/>
      <c r="FA595" s="1439"/>
    </row>
    <row r="596" spans="1:157" s="4" customFormat="1" ht="13.2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4">
        <f t="shared" ref="BE596:BE620" si="2">IF(AND(AC714&lt;=0.5,AC714&gt;=0.36),1,0)</f>
        <v>0</v>
      </c>
      <c r="BF596" s="1416"/>
      <c r="BG596" s="1427">
        <f t="shared" ref="BG596:BG620" si="3">IF(BE596=1,G714,0)</f>
        <v>0</v>
      </c>
      <c r="BH596" s="1428"/>
      <c r="BI596" s="1414">
        <f t="shared" ref="BI596:BI620" si="4">IF(AND(AC714&lt;=0.35,AC714&gt;0),1,0)</f>
        <v>1</v>
      </c>
      <c r="BJ596" s="1416"/>
      <c r="BK596" s="1427">
        <f t="shared" ref="BK596:BK620" si="5">IF(BI596=1,G714,0)</f>
        <v>4</v>
      </c>
      <c r="BL596" s="1428"/>
      <c r="BM596" s="3"/>
      <c r="BN596" s="1408">
        <f t="shared" ref="BN596:BN620" si="6">IF(B714="SRO/Studio",G714,0)</f>
        <v>4</v>
      </c>
      <c r="BO596" s="1409"/>
      <c r="BP596" s="1409"/>
      <c r="BQ596" s="1409"/>
      <c r="BR596" s="1410"/>
      <c r="BS596" s="1417">
        <f t="shared" ref="BS596:BS620" si="7">IF(B714="1 Bedroom",G714,0)</f>
        <v>0</v>
      </c>
      <c r="BT596" s="1417"/>
      <c r="BU596" s="1417"/>
      <c r="BV596" s="1417"/>
      <c r="BW596" s="1417"/>
      <c r="BX596" s="1417">
        <f t="shared" ref="BX596:BX620" si="8">IF(B714="2 Bedrooms",G714,0)</f>
        <v>0</v>
      </c>
      <c r="BY596" s="1417"/>
      <c r="BZ596" s="1417"/>
      <c r="CA596" s="1417"/>
      <c r="CB596" s="1417"/>
      <c r="CC596" s="1417">
        <f t="shared" ref="CC596:CC620" si="9">IF(B714="3 Bedrooms",G714,0)</f>
        <v>0</v>
      </c>
      <c r="CD596" s="1417"/>
      <c r="CE596" s="1417"/>
      <c r="CF596" s="1417"/>
      <c r="CG596" s="1417"/>
      <c r="CH596" s="1417">
        <f t="shared" ref="CH596:CH620" si="10">IF(B714="4 Bedrooms",G714,0)</f>
        <v>0</v>
      </c>
      <c r="CI596" s="1417"/>
      <c r="CJ596" s="1417"/>
      <c r="CK596" s="1417"/>
      <c r="CL596" s="1417"/>
      <c r="CM596" s="1417">
        <f t="shared" ref="CM596:CM620" si="11">IF(B714="5 Bedrooms",G714,0)</f>
        <v>0</v>
      </c>
      <c r="CN596" s="1417"/>
      <c r="CO596" s="1417"/>
      <c r="CP596" s="1417"/>
      <c r="CQ596" s="1417"/>
      <c r="CR596" s="6"/>
      <c r="CS596" s="1418">
        <f t="shared" ref="CS596:CS620" si="12">IF(AND(B714="SRO/Studio",AC714&lt;=0.3),G714,0)</f>
        <v>4</v>
      </c>
      <c r="CT596" s="1418"/>
      <c r="CU596" s="1418"/>
      <c r="CV596" s="1418"/>
      <c r="CW596" s="1418"/>
      <c r="CX596" s="1418">
        <f t="shared" ref="CX596:CX620" si="13">IF(AND(B714="1 Bedroom",AC714&lt;=0.3),G714,0)</f>
        <v>0</v>
      </c>
      <c r="CY596" s="1418"/>
      <c r="CZ596" s="1418"/>
      <c r="DA596" s="1418"/>
      <c r="DB596" s="1418"/>
      <c r="DC596" s="1418">
        <f t="shared" ref="DC596:DC620" si="14">IF(AND(B714="2 Bedrooms",AC714&lt;=0.3),G714,0)</f>
        <v>0</v>
      </c>
      <c r="DD596" s="1418"/>
      <c r="DE596" s="1418"/>
      <c r="DF596" s="1418"/>
      <c r="DG596" s="1418"/>
      <c r="DH596" s="1418">
        <f t="shared" ref="DH596:DH620" si="15">IF(AND(B714="3 Bedrooms",AC714&lt;=0.3),G714,0)</f>
        <v>0</v>
      </c>
      <c r="DI596" s="1418"/>
      <c r="DJ596" s="1418"/>
      <c r="DK596" s="1418"/>
      <c r="DL596" s="1418"/>
      <c r="DM596" s="1418">
        <f t="shared" ref="DM596:DM620" si="16">IF(AND(B714="4 Bedrooms",AC714&lt;=0.3),G714,0)</f>
        <v>0</v>
      </c>
      <c r="DN596" s="1418"/>
      <c r="DO596" s="1418"/>
      <c r="DP596" s="1418"/>
      <c r="DQ596" s="1418"/>
      <c r="DR596" s="1418">
        <f t="shared" ref="DR596:DR620" si="17">IF(AND(B714="5 Bedrooms",AC714&lt;=0.3),G714,0)</f>
        <v>0</v>
      </c>
      <c r="DS596" s="1418"/>
      <c r="DT596" s="1418"/>
      <c r="DU596" s="1418"/>
      <c r="DV596" s="1418"/>
      <c r="DX596" s="1414">
        <f t="shared" ref="DX596:DX620" si="18">IF(BN596&gt;0,O714," ")</f>
        <v>850</v>
      </c>
      <c r="DY596" s="1415"/>
      <c r="DZ596" s="1415"/>
      <c r="EA596" s="1415"/>
      <c r="EB596" s="1416"/>
      <c r="EC596" s="1414" t="str">
        <f t="shared" ref="EC596:EC620" si="19">IF(BS596&gt;0,O714," ")</f>
        <v xml:space="preserve"> </v>
      </c>
      <c r="ED596" s="1415"/>
      <c r="EE596" s="1415"/>
      <c r="EF596" s="1415"/>
      <c r="EG596" s="1416"/>
      <c r="EH596" s="1414" t="str">
        <f t="shared" ref="EH596:EH620" si="20">IF(BX596&gt;0,O714," ")</f>
        <v xml:space="preserve"> </v>
      </c>
      <c r="EI596" s="1415"/>
      <c r="EJ596" s="1415"/>
      <c r="EK596" s="1415"/>
      <c r="EL596" s="1416"/>
      <c r="EM596" s="1414" t="str">
        <f t="shared" ref="EM596:EM620" si="21">IF(CC596&gt;0,O714," ")</f>
        <v xml:space="preserve"> </v>
      </c>
      <c r="EN596" s="1415"/>
      <c r="EO596" s="1415"/>
      <c r="EP596" s="1415"/>
      <c r="EQ596" s="1416"/>
      <c r="ER596" s="1414" t="str">
        <f t="shared" ref="ER596:ER620" si="22">IF(CH596&gt;0,O714," ")</f>
        <v xml:space="preserve"> </v>
      </c>
      <c r="ES596" s="1415"/>
      <c r="ET596" s="1415"/>
      <c r="EU596" s="1415"/>
      <c r="EV596" s="1416"/>
      <c r="EW596" s="1414" t="str">
        <f t="shared" ref="EW596:EW620" si="23">IF(CM596&gt;0,O714," ")</f>
        <v xml:space="preserve"> </v>
      </c>
      <c r="EX596" s="1415"/>
      <c r="EY596" s="1415"/>
      <c r="EZ596" s="1415"/>
      <c r="FA596" s="1416"/>
    </row>
    <row r="597" spans="1:157" s="4" customFormat="1" ht="13.25" customHeight="1">
      <c r="A597" s="55" t="s">
        <v>471</v>
      </c>
      <c r="B597" t="s">
        <v>473</v>
      </c>
      <c r="C597"/>
      <c r="D597"/>
      <c r="E597"/>
      <c r="F597"/>
      <c r="G597" s="1348" t="str">
        <f>C558</f>
        <v>Costs Deferred til Perm</v>
      </c>
      <c r="H597" s="1348"/>
      <c r="I597" s="1348"/>
      <c r="J597" s="1348"/>
      <c r="K597" s="1348"/>
      <c r="L597" s="1348"/>
      <c r="M597" s="1348"/>
      <c r="N597" s="1348"/>
      <c r="O597" s="1348"/>
      <c r="P597" s="1348"/>
      <c r="Q597" s="1348"/>
      <c r="R597" s="1348"/>
      <c r="S597"/>
      <c r="T597" s="55" t="s">
        <v>656</v>
      </c>
      <c r="U597" t="s">
        <v>473</v>
      </c>
      <c r="V597"/>
      <c r="W597"/>
      <c r="X597"/>
      <c r="Y597"/>
      <c r="Z597" s="1348" t="str">
        <f>C559</f>
        <v>Deferred Developer Fee</v>
      </c>
      <c r="AA597" s="1348"/>
      <c r="AB597" s="1348"/>
      <c r="AC597" s="1348"/>
      <c r="AD597" s="1348"/>
      <c r="AE597" s="1348"/>
      <c r="AF597" s="1348"/>
      <c r="AG597" s="1348"/>
      <c r="AH597" s="1348"/>
      <c r="AI597" s="1348"/>
      <c r="AJ597" s="1348"/>
      <c r="AK597" s="1348"/>
      <c r="AL597"/>
      <c r="AM597"/>
      <c r="AN597"/>
      <c r="AO597"/>
      <c r="AP597"/>
      <c r="AQ597"/>
      <c r="AR597"/>
      <c r="AS597"/>
      <c r="AT597"/>
      <c r="AU597"/>
      <c r="AV597"/>
      <c r="AW597"/>
      <c r="AX597"/>
      <c r="AY597"/>
      <c r="BA597" s="4" t="s">
        <v>164</v>
      </c>
      <c r="BB597" s="3"/>
      <c r="BC597" s="3"/>
      <c r="BD597" s="3"/>
      <c r="BE597" s="1414">
        <f t="shared" si="2"/>
        <v>0</v>
      </c>
      <c r="BF597" s="1416"/>
      <c r="BG597" s="1427">
        <f t="shared" si="3"/>
        <v>0</v>
      </c>
      <c r="BH597" s="1428"/>
      <c r="BI597" s="1414">
        <f t="shared" si="4"/>
        <v>1</v>
      </c>
      <c r="BJ597" s="1416"/>
      <c r="BK597" s="1427">
        <f t="shared" si="5"/>
        <v>4</v>
      </c>
      <c r="BL597" s="1428"/>
      <c r="BM597" s="3"/>
      <c r="BN597" s="1408">
        <f t="shared" si="6"/>
        <v>0</v>
      </c>
      <c r="BO597" s="1409"/>
      <c r="BP597" s="1409"/>
      <c r="BQ597" s="1409"/>
      <c r="BR597" s="1410"/>
      <c r="BS597" s="1417">
        <f t="shared" si="7"/>
        <v>4</v>
      </c>
      <c r="BT597" s="1417"/>
      <c r="BU597" s="1417"/>
      <c r="BV597" s="1417"/>
      <c r="BW597" s="1417"/>
      <c r="BX597" s="1417">
        <f t="shared" si="8"/>
        <v>0</v>
      </c>
      <c r="BY597" s="1417"/>
      <c r="BZ597" s="1417"/>
      <c r="CA597" s="1417"/>
      <c r="CB597" s="1417"/>
      <c r="CC597" s="1417">
        <f t="shared" si="9"/>
        <v>0</v>
      </c>
      <c r="CD597" s="1417"/>
      <c r="CE597" s="1417"/>
      <c r="CF597" s="1417"/>
      <c r="CG597" s="1417"/>
      <c r="CH597" s="1417">
        <f t="shared" si="10"/>
        <v>0</v>
      </c>
      <c r="CI597" s="1417"/>
      <c r="CJ597" s="1417"/>
      <c r="CK597" s="1417"/>
      <c r="CL597" s="1417"/>
      <c r="CM597" s="1417">
        <f t="shared" si="11"/>
        <v>0</v>
      </c>
      <c r="CN597" s="1417"/>
      <c r="CO597" s="1417"/>
      <c r="CP597" s="1417"/>
      <c r="CQ597" s="1417"/>
      <c r="CR597" s="6"/>
      <c r="CS597" s="1418">
        <f t="shared" si="12"/>
        <v>0</v>
      </c>
      <c r="CT597" s="1418"/>
      <c r="CU597" s="1418"/>
      <c r="CV597" s="1418"/>
      <c r="CW597" s="1418"/>
      <c r="CX597" s="1418">
        <f t="shared" si="13"/>
        <v>4</v>
      </c>
      <c r="CY597" s="1418"/>
      <c r="CZ597" s="1418"/>
      <c r="DA597" s="1418"/>
      <c r="DB597" s="1418"/>
      <c r="DC597" s="1418">
        <f t="shared" si="14"/>
        <v>0</v>
      </c>
      <c r="DD597" s="1418"/>
      <c r="DE597" s="1418"/>
      <c r="DF597" s="1418"/>
      <c r="DG597" s="1418"/>
      <c r="DH597" s="1418">
        <f t="shared" si="15"/>
        <v>0</v>
      </c>
      <c r="DI597" s="1418"/>
      <c r="DJ597" s="1418"/>
      <c r="DK597" s="1418"/>
      <c r="DL597" s="1418"/>
      <c r="DM597" s="1418">
        <f t="shared" si="16"/>
        <v>0</v>
      </c>
      <c r="DN597" s="1418"/>
      <c r="DO597" s="1418"/>
      <c r="DP597" s="1418"/>
      <c r="DQ597" s="1418"/>
      <c r="DR597" s="1418">
        <f t="shared" si="17"/>
        <v>0</v>
      </c>
      <c r="DS597" s="1418"/>
      <c r="DT597" s="1418"/>
      <c r="DU597" s="1418"/>
      <c r="DV597" s="1418"/>
      <c r="DX597" s="1414" t="str">
        <f t="shared" si="18"/>
        <v xml:space="preserve"> </v>
      </c>
      <c r="DY597" s="1415"/>
      <c r="DZ597" s="1415"/>
      <c r="EA597" s="1415"/>
      <c r="EB597" s="1416"/>
      <c r="EC597" s="1414">
        <f t="shared" si="19"/>
        <v>907</v>
      </c>
      <c r="ED597" s="1415"/>
      <c r="EE597" s="1415"/>
      <c r="EF597" s="1415"/>
      <c r="EG597" s="1416"/>
      <c r="EH597" s="1414" t="str">
        <f t="shared" si="20"/>
        <v xml:space="preserve"> </v>
      </c>
      <c r="EI597" s="1415"/>
      <c r="EJ597" s="1415"/>
      <c r="EK597" s="1415"/>
      <c r="EL597" s="1416"/>
      <c r="EM597" s="1414" t="str">
        <f t="shared" si="21"/>
        <v xml:space="preserve"> </v>
      </c>
      <c r="EN597" s="1415"/>
      <c r="EO597" s="1415"/>
      <c r="EP597" s="1415"/>
      <c r="EQ597" s="1416"/>
      <c r="ER597" s="1414" t="str">
        <f t="shared" si="22"/>
        <v xml:space="preserve"> </v>
      </c>
      <c r="ES597" s="1415"/>
      <c r="ET597" s="1415"/>
      <c r="EU597" s="1415"/>
      <c r="EV597" s="1416"/>
      <c r="EW597" s="1414" t="str">
        <f t="shared" si="23"/>
        <v xml:space="preserve"> </v>
      </c>
      <c r="EX597" s="1415"/>
      <c r="EY597" s="1415"/>
      <c r="EZ597" s="1415"/>
      <c r="FA597" s="1416"/>
    </row>
    <row r="598" spans="1:157" ht="13.25" customHeight="1">
      <c r="A598" s="22"/>
      <c r="B598" t="s">
        <v>86</v>
      </c>
      <c r="G598" s="1349" t="s">
        <v>2639</v>
      </c>
      <c r="H598" s="1350"/>
      <c r="I598" s="1350"/>
      <c r="J598" s="1350"/>
      <c r="K598" s="1350"/>
      <c r="L598" s="1350"/>
      <c r="M598" s="1350"/>
      <c r="N598" s="1350"/>
      <c r="O598" s="1350"/>
      <c r="P598" s="1350"/>
      <c r="Q598" s="1350"/>
      <c r="R598" s="1350"/>
      <c r="T598" s="22"/>
      <c r="U598" t="s">
        <v>86</v>
      </c>
      <c r="Z598" s="1349" t="s">
        <v>2639</v>
      </c>
      <c r="AA598" s="1350"/>
      <c r="AB598" s="1350"/>
      <c r="AC598" s="1350"/>
      <c r="AD598" s="1350"/>
      <c r="AE598" s="1350"/>
      <c r="AF598" s="1350"/>
      <c r="AG598" s="1350"/>
      <c r="AH598" s="1350"/>
      <c r="AI598" s="1350"/>
      <c r="AJ598" s="1350"/>
      <c r="AK598" s="1350"/>
      <c r="BA598" s="4" t="s">
        <v>165</v>
      </c>
      <c r="BB598" s="3"/>
      <c r="BC598" s="3"/>
      <c r="BD598" s="3"/>
      <c r="BE598" s="1414">
        <f t="shared" si="2"/>
        <v>0</v>
      </c>
      <c r="BF598" s="1416"/>
      <c r="BG598" s="1427">
        <f t="shared" si="3"/>
        <v>0</v>
      </c>
      <c r="BH598" s="1428"/>
      <c r="BI598" s="1414">
        <f t="shared" si="4"/>
        <v>1</v>
      </c>
      <c r="BJ598" s="1416"/>
      <c r="BK598" s="1427">
        <f t="shared" si="5"/>
        <v>2</v>
      </c>
      <c r="BL598" s="1428"/>
      <c r="BM598" s="3"/>
      <c r="BN598" s="1408">
        <f t="shared" si="6"/>
        <v>0</v>
      </c>
      <c r="BO598" s="1409"/>
      <c r="BP598" s="1409"/>
      <c r="BQ598" s="1409"/>
      <c r="BR598" s="1410"/>
      <c r="BS598" s="1417">
        <f t="shared" si="7"/>
        <v>2</v>
      </c>
      <c r="BT598" s="1417"/>
      <c r="BU598" s="1417"/>
      <c r="BV598" s="1417"/>
      <c r="BW598" s="1417"/>
      <c r="BX598" s="1417">
        <f t="shared" si="8"/>
        <v>0</v>
      </c>
      <c r="BY598" s="1417"/>
      <c r="BZ598" s="1417"/>
      <c r="CA598" s="1417"/>
      <c r="CB598" s="1417"/>
      <c r="CC598" s="1417">
        <f t="shared" si="9"/>
        <v>0</v>
      </c>
      <c r="CD598" s="1417"/>
      <c r="CE598" s="1417"/>
      <c r="CF598" s="1417"/>
      <c r="CG598" s="1417"/>
      <c r="CH598" s="1417">
        <f t="shared" si="10"/>
        <v>0</v>
      </c>
      <c r="CI598" s="1417"/>
      <c r="CJ598" s="1417"/>
      <c r="CK598" s="1417"/>
      <c r="CL598" s="1417"/>
      <c r="CM598" s="1417">
        <f t="shared" si="11"/>
        <v>0</v>
      </c>
      <c r="CN598" s="1417"/>
      <c r="CO598" s="1417"/>
      <c r="CP598" s="1417"/>
      <c r="CQ598" s="1417"/>
      <c r="CR598" s="6"/>
      <c r="CS598" s="1418">
        <f t="shared" si="12"/>
        <v>0</v>
      </c>
      <c r="CT598" s="1418"/>
      <c r="CU598" s="1418"/>
      <c r="CV598" s="1418"/>
      <c r="CW598" s="1418"/>
      <c r="CX598" s="1418">
        <f t="shared" si="13"/>
        <v>2</v>
      </c>
      <c r="CY598" s="1418"/>
      <c r="CZ598" s="1418"/>
      <c r="DA598" s="1418"/>
      <c r="DB598" s="1418"/>
      <c r="DC598" s="1418">
        <f t="shared" si="14"/>
        <v>0</v>
      </c>
      <c r="DD598" s="1418"/>
      <c r="DE598" s="1418"/>
      <c r="DF598" s="1418"/>
      <c r="DG598" s="1418"/>
      <c r="DH598" s="1418">
        <f t="shared" si="15"/>
        <v>0</v>
      </c>
      <c r="DI598" s="1418"/>
      <c r="DJ598" s="1418"/>
      <c r="DK598" s="1418"/>
      <c r="DL598" s="1418"/>
      <c r="DM598" s="1418">
        <f t="shared" si="16"/>
        <v>0</v>
      </c>
      <c r="DN598" s="1418"/>
      <c r="DO598" s="1418"/>
      <c r="DP598" s="1418"/>
      <c r="DQ598" s="1418"/>
      <c r="DR598" s="1418">
        <f t="shared" si="17"/>
        <v>0</v>
      </c>
      <c r="DS598" s="1418"/>
      <c r="DT598" s="1418"/>
      <c r="DU598" s="1418"/>
      <c r="DV598" s="1418"/>
      <c r="DX598" s="1414" t="str">
        <f t="shared" si="18"/>
        <v xml:space="preserve"> </v>
      </c>
      <c r="DY598" s="1415"/>
      <c r="DZ598" s="1415"/>
      <c r="EA598" s="1415"/>
      <c r="EB598" s="1416"/>
      <c r="EC598" s="1414">
        <f t="shared" si="19"/>
        <v>907</v>
      </c>
      <c r="ED598" s="1415"/>
      <c r="EE598" s="1415"/>
      <c r="EF598" s="1415"/>
      <c r="EG598" s="1416"/>
      <c r="EH598" s="1414" t="str">
        <f t="shared" si="20"/>
        <v xml:space="preserve"> </v>
      </c>
      <c r="EI598" s="1415"/>
      <c r="EJ598" s="1415"/>
      <c r="EK598" s="1415"/>
      <c r="EL598" s="1416"/>
      <c r="EM598" s="1414" t="str">
        <f t="shared" si="21"/>
        <v xml:space="preserve"> </v>
      </c>
      <c r="EN598" s="1415"/>
      <c r="EO598" s="1415"/>
      <c r="EP598" s="1415"/>
      <c r="EQ598" s="1416"/>
      <c r="ER598" s="1414" t="str">
        <f t="shared" si="22"/>
        <v xml:space="preserve"> </v>
      </c>
      <c r="ES598" s="1415"/>
      <c r="ET598" s="1415"/>
      <c r="EU598" s="1415"/>
      <c r="EV598" s="1416"/>
      <c r="EW598" s="1414" t="str">
        <f t="shared" si="23"/>
        <v xml:space="preserve"> </v>
      </c>
      <c r="EX598" s="1415"/>
      <c r="EY598" s="1415"/>
      <c r="EZ598" s="1415"/>
      <c r="FA598" s="1416"/>
    </row>
    <row r="599" spans="1:157" ht="13.25" customHeight="1">
      <c r="A599" s="22"/>
      <c r="B599" t="s">
        <v>590</v>
      </c>
      <c r="G599" s="1358" t="s">
        <v>2653</v>
      </c>
      <c r="H599" s="1359"/>
      <c r="I599" s="1359"/>
      <c r="J599" s="1359"/>
      <c r="K599" s="1359"/>
      <c r="L599" s="1359"/>
      <c r="M599" s="1359"/>
      <c r="N599" s="1359"/>
      <c r="O599" s="1359"/>
      <c r="P599" s="1359"/>
      <c r="Q599" s="1359"/>
      <c r="R599" s="1359"/>
      <c r="T599" s="22"/>
      <c r="U599" t="s">
        <v>590</v>
      </c>
      <c r="Z599" s="1358" t="s">
        <v>2653</v>
      </c>
      <c r="AA599" s="1359"/>
      <c r="AB599" s="1359"/>
      <c r="AC599" s="1359"/>
      <c r="AD599" s="1359"/>
      <c r="AE599" s="1359"/>
      <c r="AF599" s="1359"/>
      <c r="AG599" s="1359"/>
      <c r="AH599" s="1359"/>
      <c r="AI599" s="1359"/>
      <c r="AJ599" s="1359"/>
      <c r="AK599" s="1359"/>
      <c r="BA599" s="4" t="s">
        <v>166</v>
      </c>
      <c r="BB599" s="3"/>
      <c r="BC599" s="3"/>
      <c r="BD599" s="3"/>
      <c r="BE599" s="1414">
        <f t="shared" si="2"/>
        <v>0</v>
      </c>
      <c r="BF599" s="1416"/>
      <c r="BG599" s="1427">
        <f t="shared" si="3"/>
        <v>0</v>
      </c>
      <c r="BH599" s="1428"/>
      <c r="BI599" s="1414">
        <f t="shared" si="4"/>
        <v>1</v>
      </c>
      <c r="BJ599" s="1416"/>
      <c r="BK599" s="1427">
        <f t="shared" si="5"/>
        <v>19</v>
      </c>
      <c r="BL599" s="1428"/>
      <c r="BM599" s="3"/>
      <c r="BN599" s="1408">
        <f t="shared" si="6"/>
        <v>0</v>
      </c>
      <c r="BO599" s="1409"/>
      <c r="BP599" s="1409"/>
      <c r="BQ599" s="1409"/>
      <c r="BR599" s="1410"/>
      <c r="BS599" s="1417">
        <f t="shared" si="7"/>
        <v>0</v>
      </c>
      <c r="BT599" s="1417"/>
      <c r="BU599" s="1417"/>
      <c r="BV599" s="1417"/>
      <c r="BW599" s="1417"/>
      <c r="BX599" s="1417">
        <f t="shared" si="8"/>
        <v>19</v>
      </c>
      <c r="BY599" s="1417"/>
      <c r="BZ599" s="1417"/>
      <c r="CA599" s="1417"/>
      <c r="CB599" s="1417"/>
      <c r="CC599" s="1417">
        <f t="shared" si="9"/>
        <v>0</v>
      </c>
      <c r="CD599" s="1417"/>
      <c r="CE599" s="1417"/>
      <c r="CF599" s="1417"/>
      <c r="CG599" s="1417"/>
      <c r="CH599" s="1417">
        <f t="shared" si="10"/>
        <v>0</v>
      </c>
      <c r="CI599" s="1417"/>
      <c r="CJ599" s="1417"/>
      <c r="CK599" s="1417"/>
      <c r="CL599" s="1417"/>
      <c r="CM599" s="1417">
        <f t="shared" si="11"/>
        <v>0</v>
      </c>
      <c r="CN599" s="1417"/>
      <c r="CO599" s="1417"/>
      <c r="CP599" s="1417"/>
      <c r="CQ599" s="1417"/>
      <c r="CR599" s="6"/>
      <c r="CS599" s="1418">
        <f t="shared" si="12"/>
        <v>0</v>
      </c>
      <c r="CT599" s="1418"/>
      <c r="CU599" s="1418"/>
      <c r="CV599" s="1418"/>
      <c r="CW599" s="1418"/>
      <c r="CX599" s="1418">
        <f t="shared" si="13"/>
        <v>0</v>
      </c>
      <c r="CY599" s="1418"/>
      <c r="CZ599" s="1418"/>
      <c r="DA599" s="1418"/>
      <c r="DB599" s="1418"/>
      <c r="DC599" s="1418">
        <f t="shared" si="14"/>
        <v>19</v>
      </c>
      <c r="DD599" s="1418"/>
      <c r="DE599" s="1418"/>
      <c r="DF599" s="1418"/>
      <c r="DG599" s="1418"/>
      <c r="DH599" s="1418">
        <f t="shared" si="15"/>
        <v>0</v>
      </c>
      <c r="DI599" s="1418"/>
      <c r="DJ599" s="1418"/>
      <c r="DK599" s="1418"/>
      <c r="DL599" s="1418"/>
      <c r="DM599" s="1418">
        <f t="shared" si="16"/>
        <v>0</v>
      </c>
      <c r="DN599" s="1418"/>
      <c r="DO599" s="1418"/>
      <c r="DP599" s="1418"/>
      <c r="DQ599" s="1418"/>
      <c r="DR599" s="1418">
        <f t="shared" si="17"/>
        <v>0</v>
      </c>
      <c r="DS599" s="1418"/>
      <c r="DT599" s="1418"/>
      <c r="DU599" s="1418"/>
      <c r="DV599" s="1418"/>
      <c r="DX599" s="1414" t="str">
        <f t="shared" si="18"/>
        <v xml:space="preserve"> </v>
      </c>
      <c r="DY599" s="1415"/>
      <c r="DZ599" s="1415"/>
      <c r="EA599" s="1415"/>
      <c r="EB599" s="1416"/>
      <c r="EC599" s="1414" t="str">
        <f t="shared" si="19"/>
        <v xml:space="preserve"> </v>
      </c>
      <c r="ED599" s="1415"/>
      <c r="EE599" s="1415"/>
      <c r="EF599" s="1415"/>
      <c r="EG599" s="1416"/>
      <c r="EH599" s="1414">
        <f t="shared" si="20"/>
        <v>1074</v>
      </c>
      <c r="EI599" s="1415"/>
      <c r="EJ599" s="1415"/>
      <c r="EK599" s="1415"/>
      <c r="EL599" s="1416"/>
      <c r="EM599" s="1414" t="str">
        <f t="shared" si="21"/>
        <v xml:space="preserve"> </v>
      </c>
      <c r="EN599" s="1415"/>
      <c r="EO599" s="1415"/>
      <c r="EP599" s="1415"/>
      <c r="EQ599" s="1416"/>
      <c r="ER599" s="1414" t="str">
        <f t="shared" si="22"/>
        <v xml:space="preserve"> </v>
      </c>
      <c r="ES599" s="1415"/>
      <c r="ET599" s="1415"/>
      <c r="EU599" s="1415"/>
      <c r="EV599" s="1416"/>
      <c r="EW599" s="1414" t="str">
        <f t="shared" si="23"/>
        <v xml:space="preserve"> </v>
      </c>
      <c r="EX599" s="1415"/>
      <c r="EY599" s="1415"/>
      <c r="EZ599" s="1415"/>
      <c r="FA599" s="1416"/>
    </row>
    <row r="600" spans="1:157" ht="13.25" customHeight="1">
      <c r="A600" s="22"/>
      <c r="B600" t="s">
        <v>17</v>
      </c>
      <c r="G600" s="1358" t="s">
        <v>2772</v>
      </c>
      <c r="H600" s="1359"/>
      <c r="I600" s="1359"/>
      <c r="J600" s="1359"/>
      <c r="K600" s="1359"/>
      <c r="L600" s="1359"/>
      <c r="M600" s="1359"/>
      <c r="N600" s="1359"/>
      <c r="O600" s="1359"/>
      <c r="P600" s="1359"/>
      <c r="Q600" s="1359"/>
      <c r="R600" s="1359"/>
      <c r="T600" s="22"/>
      <c r="U600" t="s">
        <v>17</v>
      </c>
      <c r="Z600" s="1358" t="s">
        <v>2772</v>
      </c>
      <c r="AA600" s="1359"/>
      <c r="AB600" s="1359"/>
      <c r="AC600" s="1359"/>
      <c r="AD600" s="1359"/>
      <c r="AE600" s="1359"/>
      <c r="AF600" s="1359"/>
      <c r="AG600" s="1359"/>
      <c r="AH600" s="1359"/>
      <c r="AI600" s="1359"/>
      <c r="AJ600" s="1359"/>
      <c r="AK600" s="1359"/>
      <c r="BA600" s="4" t="s">
        <v>30</v>
      </c>
      <c r="BB600" s="3"/>
      <c r="BC600" s="3"/>
      <c r="BD600" s="3"/>
      <c r="BE600" s="1414">
        <f t="shared" si="2"/>
        <v>0</v>
      </c>
      <c r="BF600" s="1416"/>
      <c r="BG600" s="1427">
        <f t="shared" si="3"/>
        <v>0</v>
      </c>
      <c r="BH600" s="1428"/>
      <c r="BI600" s="1414">
        <f t="shared" si="4"/>
        <v>1</v>
      </c>
      <c r="BJ600" s="1416"/>
      <c r="BK600" s="1427">
        <f t="shared" si="5"/>
        <v>4</v>
      </c>
      <c r="BL600" s="1428"/>
      <c r="BM600" s="3"/>
      <c r="BN600" s="1408">
        <f t="shared" si="6"/>
        <v>0</v>
      </c>
      <c r="BO600" s="1409"/>
      <c r="BP600" s="1409"/>
      <c r="BQ600" s="1409"/>
      <c r="BR600" s="1410"/>
      <c r="BS600" s="1417">
        <f t="shared" si="7"/>
        <v>0</v>
      </c>
      <c r="BT600" s="1417"/>
      <c r="BU600" s="1417"/>
      <c r="BV600" s="1417"/>
      <c r="BW600" s="1417"/>
      <c r="BX600" s="1417">
        <f t="shared" si="8"/>
        <v>4</v>
      </c>
      <c r="BY600" s="1417"/>
      <c r="BZ600" s="1417"/>
      <c r="CA600" s="1417"/>
      <c r="CB600" s="1417"/>
      <c r="CC600" s="1417">
        <f t="shared" si="9"/>
        <v>0</v>
      </c>
      <c r="CD600" s="1417"/>
      <c r="CE600" s="1417"/>
      <c r="CF600" s="1417"/>
      <c r="CG600" s="1417"/>
      <c r="CH600" s="1417">
        <f t="shared" si="10"/>
        <v>0</v>
      </c>
      <c r="CI600" s="1417"/>
      <c r="CJ600" s="1417"/>
      <c r="CK600" s="1417"/>
      <c r="CL600" s="1417"/>
      <c r="CM600" s="1417">
        <f t="shared" si="11"/>
        <v>0</v>
      </c>
      <c r="CN600" s="1417"/>
      <c r="CO600" s="1417"/>
      <c r="CP600" s="1417"/>
      <c r="CQ600" s="1417"/>
      <c r="CR600" s="6"/>
      <c r="CS600" s="1418">
        <f t="shared" si="12"/>
        <v>0</v>
      </c>
      <c r="CT600" s="1418"/>
      <c r="CU600" s="1418"/>
      <c r="CV600" s="1418"/>
      <c r="CW600" s="1418"/>
      <c r="CX600" s="1418">
        <f t="shared" si="13"/>
        <v>0</v>
      </c>
      <c r="CY600" s="1418"/>
      <c r="CZ600" s="1418"/>
      <c r="DA600" s="1418"/>
      <c r="DB600" s="1418"/>
      <c r="DC600" s="1418">
        <f t="shared" si="14"/>
        <v>4</v>
      </c>
      <c r="DD600" s="1418"/>
      <c r="DE600" s="1418"/>
      <c r="DF600" s="1418"/>
      <c r="DG600" s="1418"/>
      <c r="DH600" s="1418">
        <f t="shared" si="15"/>
        <v>0</v>
      </c>
      <c r="DI600" s="1418"/>
      <c r="DJ600" s="1418"/>
      <c r="DK600" s="1418"/>
      <c r="DL600" s="1418"/>
      <c r="DM600" s="1418">
        <f t="shared" si="16"/>
        <v>0</v>
      </c>
      <c r="DN600" s="1418"/>
      <c r="DO600" s="1418"/>
      <c r="DP600" s="1418"/>
      <c r="DQ600" s="1418"/>
      <c r="DR600" s="1418">
        <f t="shared" si="17"/>
        <v>0</v>
      </c>
      <c r="DS600" s="1418"/>
      <c r="DT600" s="1418"/>
      <c r="DU600" s="1418"/>
      <c r="DV600" s="1418"/>
      <c r="DX600" s="1414" t="str">
        <f t="shared" si="18"/>
        <v xml:space="preserve"> </v>
      </c>
      <c r="DY600" s="1415"/>
      <c r="DZ600" s="1415"/>
      <c r="EA600" s="1415"/>
      <c r="EB600" s="1416"/>
      <c r="EC600" s="1414" t="str">
        <f t="shared" si="19"/>
        <v xml:space="preserve"> </v>
      </c>
      <c r="ED600" s="1415"/>
      <c r="EE600" s="1415"/>
      <c r="EF600" s="1415"/>
      <c r="EG600" s="1416"/>
      <c r="EH600" s="1414">
        <f t="shared" si="20"/>
        <v>1074</v>
      </c>
      <c r="EI600" s="1415"/>
      <c r="EJ600" s="1415"/>
      <c r="EK600" s="1415"/>
      <c r="EL600" s="1416"/>
      <c r="EM600" s="1414" t="str">
        <f t="shared" si="21"/>
        <v xml:space="preserve"> </v>
      </c>
      <c r="EN600" s="1415"/>
      <c r="EO600" s="1415"/>
      <c r="EP600" s="1415"/>
      <c r="EQ600" s="1416"/>
      <c r="ER600" s="1414" t="str">
        <f t="shared" si="22"/>
        <v xml:space="preserve"> </v>
      </c>
      <c r="ES600" s="1415"/>
      <c r="ET600" s="1415"/>
      <c r="EU600" s="1415"/>
      <c r="EV600" s="1416"/>
      <c r="EW600" s="1414" t="str">
        <f t="shared" si="23"/>
        <v xml:space="preserve"> </v>
      </c>
      <c r="EX600" s="1415"/>
      <c r="EY600" s="1415"/>
      <c r="EZ600" s="1415"/>
      <c r="FA600" s="1416"/>
    </row>
    <row r="601" spans="1:157" ht="13.25" customHeight="1">
      <c r="A601" s="22"/>
      <c r="B601" t="s">
        <v>318</v>
      </c>
      <c r="G601" s="1352" t="s">
        <v>2773</v>
      </c>
      <c r="H601" s="1353"/>
      <c r="I601" s="1353"/>
      <c r="J601" s="1353"/>
      <c r="K601" s="1353"/>
      <c r="L601" s="1353"/>
      <c r="O601" s="33" t="s">
        <v>208</v>
      </c>
      <c r="P601" s="1347"/>
      <c r="Q601" s="1347"/>
      <c r="R601" s="1347"/>
      <c r="T601" s="22"/>
      <c r="U601" t="s">
        <v>318</v>
      </c>
      <c r="Z601" s="1352" t="s">
        <v>2773</v>
      </c>
      <c r="AA601" s="1353"/>
      <c r="AB601" s="1353"/>
      <c r="AC601" s="1353"/>
      <c r="AD601" s="1353"/>
      <c r="AE601" s="1353"/>
      <c r="AH601" s="33" t="s">
        <v>208</v>
      </c>
      <c r="AI601" s="1347"/>
      <c r="AJ601" s="1347"/>
      <c r="AK601" s="1347"/>
      <c r="AZ601" s="3"/>
      <c r="BA601" s="3"/>
      <c r="BB601" s="3"/>
      <c r="BC601" s="3"/>
      <c r="BD601" s="3"/>
      <c r="BE601" s="1414">
        <f t="shared" si="2"/>
        <v>0</v>
      </c>
      <c r="BF601" s="1416"/>
      <c r="BG601" s="1427">
        <f t="shared" si="3"/>
        <v>0</v>
      </c>
      <c r="BH601" s="1428"/>
      <c r="BI601" s="1414">
        <f t="shared" si="4"/>
        <v>1</v>
      </c>
      <c r="BJ601" s="1416"/>
      <c r="BK601" s="1427">
        <f t="shared" si="5"/>
        <v>7</v>
      </c>
      <c r="BL601" s="1428"/>
      <c r="BM601" s="3"/>
      <c r="BN601" s="1408">
        <f t="shared" si="6"/>
        <v>0</v>
      </c>
      <c r="BO601" s="1409"/>
      <c r="BP601" s="1409"/>
      <c r="BQ601" s="1409"/>
      <c r="BR601" s="1410"/>
      <c r="BS601" s="1417">
        <f t="shared" si="7"/>
        <v>0</v>
      </c>
      <c r="BT601" s="1417"/>
      <c r="BU601" s="1417"/>
      <c r="BV601" s="1417"/>
      <c r="BW601" s="1417"/>
      <c r="BX601" s="1417">
        <f t="shared" si="8"/>
        <v>0</v>
      </c>
      <c r="BY601" s="1417"/>
      <c r="BZ601" s="1417"/>
      <c r="CA601" s="1417"/>
      <c r="CB601" s="1417"/>
      <c r="CC601" s="1417">
        <f t="shared" si="9"/>
        <v>7</v>
      </c>
      <c r="CD601" s="1417"/>
      <c r="CE601" s="1417"/>
      <c r="CF601" s="1417"/>
      <c r="CG601" s="1417"/>
      <c r="CH601" s="1417">
        <f t="shared" si="10"/>
        <v>0</v>
      </c>
      <c r="CI601" s="1417"/>
      <c r="CJ601" s="1417"/>
      <c r="CK601" s="1417"/>
      <c r="CL601" s="1417"/>
      <c r="CM601" s="1417">
        <f t="shared" si="11"/>
        <v>0</v>
      </c>
      <c r="CN601" s="1417"/>
      <c r="CO601" s="1417"/>
      <c r="CP601" s="1417"/>
      <c r="CQ601" s="1417"/>
      <c r="CR601" s="6"/>
      <c r="CS601" s="1418">
        <f t="shared" si="12"/>
        <v>0</v>
      </c>
      <c r="CT601" s="1418"/>
      <c r="CU601" s="1418"/>
      <c r="CV601" s="1418"/>
      <c r="CW601" s="1418"/>
      <c r="CX601" s="1418">
        <f t="shared" si="13"/>
        <v>0</v>
      </c>
      <c r="CY601" s="1418"/>
      <c r="CZ601" s="1418"/>
      <c r="DA601" s="1418"/>
      <c r="DB601" s="1418"/>
      <c r="DC601" s="1418">
        <f t="shared" si="14"/>
        <v>0</v>
      </c>
      <c r="DD601" s="1418"/>
      <c r="DE601" s="1418"/>
      <c r="DF601" s="1418"/>
      <c r="DG601" s="1418"/>
      <c r="DH601" s="1418">
        <f t="shared" si="15"/>
        <v>7</v>
      </c>
      <c r="DI601" s="1418"/>
      <c r="DJ601" s="1418"/>
      <c r="DK601" s="1418"/>
      <c r="DL601" s="1418"/>
      <c r="DM601" s="1418">
        <f t="shared" si="16"/>
        <v>0</v>
      </c>
      <c r="DN601" s="1418"/>
      <c r="DO601" s="1418"/>
      <c r="DP601" s="1418"/>
      <c r="DQ601" s="1418"/>
      <c r="DR601" s="1418">
        <f t="shared" si="17"/>
        <v>0</v>
      </c>
      <c r="DS601" s="1418"/>
      <c r="DT601" s="1418"/>
      <c r="DU601" s="1418"/>
      <c r="DV601" s="1418"/>
      <c r="DX601" s="1414" t="str">
        <f t="shared" si="18"/>
        <v xml:space="preserve"> </v>
      </c>
      <c r="DY601" s="1415"/>
      <c r="DZ601" s="1415"/>
      <c r="EA601" s="1415"/>
      <c r="EB601" s="1416"/>
      <c r="EC601" s="1414" t="str">
        <f t="shared" si="19"/>
        <v xml:space="preserve"> </v>
      </c>
      <c r="ED601" s="1415"/>
      <c r="EE601" s="1415"/>
      <c r="EF601" s="1415"/>
      <c r="EG601" s="1416"/>
      <c r="EH601" s="1414" t="str">
        <f t="shared" si="20"/>
        <v xml:space="preserve"> </v>
      </c>
      <c r="EI601" s="1415"/>
      <c r="EJ601" s="1415"/>
      <c r="EK601" s="1415"/>
      <c r="EL601" s="1416"/>
      <c r="EM601" s="1414">
        <f t="shared" si="21"/>
        <v>1220</v>
      </c>
      <c r="EN601" s="1415"/>
      <c r="EO601" s="1415"/>
      <c r="EP601" s="1415"/>
      <c r="EQ601" s="1416"/>
      <c r="ER601" s="1414" t="str">
        <f t="shared" si="22"/>
        <v xml:space="preserve"> </v>
      </c>
      <c r="ES601" s="1415"/>
      <c r="ET601" s="1415"/>
      <c r="EU601" s="1415"/>
      <c r="EV601" s="1416"/>
      <c r="EW601" s="1414" t="str">
        <f t="shared" si="23"/>
        <v xml:space="preserve"> </v>
      </c>
      <c r="EX601" s="1415"/>
      <c r="EY601" s="1415"/>
      <c r="EZ601" s="1415"/>
      <c r="FA601" s="1416"/>
    </row>
    <row r="602" spans="1:157" ht="13.25" customHeight="1">
      <c r="A602" s="22"/>
      <c r="B602" t="s">
        <v>18</v>
      </c>
      <c r="H602" s="1349" t="s">
        <v>2775</v>
      </c>
      <c r="I602" s="1350"/>
      <c r="J602" s="1350"/>
      <c r="K602" s="1350"/>
      <c r="L602" s="1350"/>
      <c r="M602" s="1350"/>
      <c r="N602" s="1350"/>
      <c r="O602" s="1350"/>
      <c r="P602" s="1350"/>
      <c r="Q602" s="1350"/>
      <c r="R602" s="1350"/>
      <c r="T602" s="22"/>
      <c r="U602" t="s">
        <v>18</v>
      </c>
      <c r="AA602" s="1349" t="s">
        <v>1922</v>
      </c>
      <c r="AB602" s="1350"/>
      <c r="AC602" s="1350"/>
      <c r="AD602" s="1350"/>
      <c r="AE602" s="1350"/>
      <c r="AF602" s="1350"/>
      <c r="AG602" s="1350"/>
      <c r="AH602" s="1350"/>
      <c r="AI602" s="1350"/>
      <c r="AJ602" s="1350"/>
      <c r="AK602" s="1350"/>
      <c r="AZ602" s="3"/>
      <c r="BA602" s="3"/>
      <c r="BB602" s="3"/>
      <c r="BC602" s="3"/>
      <c r="BD602" s="3"/>
      <c r="BE602" s="1414">
        <f t="shared" si="2"/>
        <v>0</v>
      </c>
      <c r="BF602" s="1416"/>
      <c r="BG602" s="1427">
        <f t="shared" si="3"/>
        <v>0</v>
      </c>
      <c r="BH602" s="1428"/>
      <c r="BI602" s="1414">
        <f t="shared" si="4"/>
        <v>1</v>
      </c>
      <c r="BJ602" s="1416"/>
      <c r="BK602" s="1427">
        <f t="shared" si="5"/>
        <v>2</v>
      </c>
      <c r="BL602" s="1428"/>
      <c r="BM602" s="3"/>
      <c r="BN602" s="1408">
        <f t="shared" si="6"/>
        <v>0</v>
      </c>
      <c r="BO602" s="1409"/>
      <c r="BP602" s="1409"/>
      <c r="BQ602" s="1409"/>
      <c r="BR602" s="1410"/>
      <c r="BS602" s="1417">
        <f t="shared" si="7"/>
        <v>0</v>
      </c>
      <c r="BT602" s="1417"/>
      <c r="BU602" s="1417"/>
      <c r="BV602" s="1417"/>
      <c r="BW602" s="1417"/>
      <c r="BX602" s="1417">
        <f t="shared" si="8"/>
        <v>0</v>
      </c>
      <c r="BY602" s="1417"/>
      <c r="BZ602" s="1417"/>
      <c r="CA602" s="1417"/>
      <c r="CB602" s="1417"/>
      <c r="CC602" s="1417">
        <f t="shared" si="9"/>
        <v>2</v>
      </c>
      <c r="CD602" s="1417"/>
      <c r="CE602" s="1417"/>
      <c r="CF602" s="1417"/>
      <c r="CG602" s="1417"/>
      <c r="CH602" s="1417">
        <f t="shared" si="10"/>
        <v>0</v>
      </c>
      <c r="CI602" s="1417"/>
      <c r="CJ602" s="1417"/>
      <c r="CK602" s="1417"/>
      <c r="CL602" s="1417"/>
      <c r="CM602" s="1417">
        <f t="shared" si="11"/>
        <v>0</v>
      </c>
      <c r="CN602" s="1417"/>
      <c r="CO602" s="1417"/>
      <c r="CP602" s="1417"/>
      <c r="CQ602" s="1417"/>
      <c r="CR602" s="6"/>
      <c r="CS602" s="1418">
        <f t="shared" si="12"/>
        <v>0</v>
      </c>
      <c r="CT602" s="1418"/>
      <c r="CU602" s="1418"/>
      <c r="CV602" s="1418"/>
      <c r="CW602" s="1418"/>
      <c r="CX602" s="1418">
        <f t="shared" si="13"/>
        <v>0</v>
      </c>
      <c r="CY602" s="1418"/>
      <c r="CZ602" s="1418"/>
      <c r="DA602" s="1418"/>
      <c r="DB602" s="1418"/>
      <c r="DC602" s="1418">
        <f t="shared" si="14"/>
        <v>0</v>
      </c>
      <c r="DD602" s="1418"/>
      <c r="DE602" s="1418"/>
      <c r="DF602" s="1418"/>
      <c r="DG602" s="1418"/>
      <c r="DH602" s="1418">
        <f t="shared" si="15"/>
        <v>2</v>
      </c>
      <c r="DI602" s="1418"/>
      <c r="DJ602" s="1418"/>
      <c r="DK602" s="1418"/>
      <c r="DL602" s="1418"/>
      <c r="DM602" s="1418">
        <f t="shared" si="16"/>
        <v>0</v>
      </c>
      <c r="DN602" s="1418"/>
      <c r="DO602" s="1418"/>
      <c r="DP602" s="1418"/>
      <c r="DQ602" s="1418"/>
      <c r="DR602" s="1418">
        <f t="shared" si="17"/>
        <v>0</v>
      </c>
      <c r="DS602" s="1418"/>
      <c r="DT602" s="1418"/>
      <c r="DU602" s="1418"/>
      <c r="DV602" s="1418"/>
      <c r="DX602" s="1414" t="str">
        <f t="shared" si="18"/>
        <v xml:space="preserve"> </v>
      </c>
      <c r="DY602" s="1415"/>
      <c r="DZ602" s="1415"/>
      <c r="EA602" s="1415"/>
      <c r="EB602" s="1416"/>
      <c r="EC602" s="1414" t="str">
        <f t="shared" si="19"/>
        <v xml:space="preserve"> </v>
      </c>
      <c r="ED602" s="1415"/>
      <c r="EE602" s="1415"/>
      <c r="EF602" s="1415"/>
      <c r="EG602" s="1416"/>
      <c r="EH602" s="1414" t="str">
        <f t="shared" si="20"/>
        <v xml:space="preserve"> </v>
      </c>
      <c r="EI602" s="1415"/>
      <c r="EJ602" s="1415"/>
      <c r="EK602" s="1415"/>
      <c r="EL602" s="1416"/>
      <c r="EM602" s="1414">
        <f t="shared" si="21"/>
        <v>1220</v>
      </c>
      <c r="EN602" s="1415"/>
      <c r="EO602" s="1415"/>
      <c r="EP602" s="1415"/>
      <c r="EQ602" s="1416"/>
      <c r="ER602" s="1414" t="str">
        <f t="shared" si="22"/>
        <v xml:space="preserve"> </v>
      </c>
      <c r="ES602" s="1415"/>
      <c r="ET602" s="1415"/>
      <c r="EU602" s="1415"/>
      <c r="EV602" s="1416"/>
      <c r="EW602" s="1414" t="str">
        <f t="shared" si="23"/>
        <v xml:space="preserve"> </v>
      </c>
      <c r="EX602" s="1415"/>
      <c r="EY602" s="1415"/>
      <c r="EZ602" s="1415"/>
      <c r="FA602" s="1416"/>
    </row>
    <row r="603" spans="1:157" ht="13.25" customHeight="1">
      <c r="A603" s="22"/>
      <c r="B603" t="s">
        <v>20</v>
      </c>
      <c r="N603" s="1351" t="s">
        <v>555</v>
      </c>
      <c r="O603" s="1351"/>
      <c r="T603" s="22"/>
      <c r="U603" t="s">
        <v>20</v>
      </c>
      <c r="AG603" s="1351" t="s">
        <v>555</v>
      </c>
      <c r="AH603" s="1351"/>
      <c r="AZ603" s="3"/>
      <c r="BA603" s="3"/>
      <c r="BB603" s="3"/>
      <c r="BC603" s="3"/>
      <c r="BD603" s="3"/>
      <c r="BE603" s="1414">
        <f t="shared" si="2"/>
        <v>0</v>
      </c>
      <c r="BF603" s="1416"/>
      <c r="BG603" s="1427">
        <f t="shared" si="3"/>
        <v>0</v>
      </c>
      <c r="BH603" s="1428"/>
      <c r="BI603" s="1414">
        <f t="shared" si="4"/>
        <v>1</v>
      </c>
      <c r="BJ603" s="1416"/>
      <c r="BK603" s="1427">
        <f t="shared" si="5"/>
        <v>1</v>
      </c>
      <c r="BL603" s="1428"/>
      <c r="BM603" s="3"/>
      <c r="BN603" s="1408">
        <f t="shared" si="6"/>
        <v>0</v>
      </c>
      <c r="BO603" s="1409"/>
      <c r="BP603" s="1409"/>
      <c r="BQ603" s="1409"/>
      <c r="BR603" s="1410"/>
      <c r="BS603" s="1417">
        <f t="shared" si="7"/>
        <v>0</v>
      </c>
      <c r="BT603" s="1417"/>
      <c r="BU603" s="1417"/>
      <c r="BV603" s="1417"/>
      <c r="BW603" s="1417"/>
      <c r="BX603" s="1417">
        <f t="shared" si="8"/>
        <v>0</v>
      </c>
      <c r="BY603" s="1417"/>
      <c r="BZ603" s="1417"/>
      <c r="CA603" s="1417"/>
      <c r="CB603" s="1417"/>
      <c r="CC603" s="1417">
        <f t="shared" si="9"/>
        <v>0</v>
      </c>
      <c r="CD603" s="1417"/>
      <c r="CE603" s="1417"/>
      <c r="CF603" s="1417"/>
      <c r="CG603" s="1417"/>
      <c r="CH603" s="1417">
        <f t="shared" si="10"/>
        <v>1</v>
      </c>
      <c r="CI603" s="1417"/>
      <c r="CJ603" s="1417"/>
      <c r="CK603" s="1417"/>
      <c r="CL603" s="1417"/>
      <c r="CM603" s="1417">
        <f t="shared" si="11"/>
        <v>0</v>
      </c>
      <c r="CN603" s="1417"/>
      <c r="CO603" s="1417"/>
      <c r="CP603" s="1417"/>
      <c r="CQ603" s="1417"/>
      <c r="CR603" s="6"/>
      <c r="CS603" s="1418">
        <f t="shared" si="12"/>
        <v>0</v>
      </c>
      <c r="CT603" s="1418"/>
      <c r="CU603" s="1418"/>
      <c r="CV603" s="1418"/>
      <c r="CW603" s="1418"/>
      <c r="CX603" s="1418">
        <f t="shared" si="13"/>
        <v>0</v>
      </c>
      <c r="CY603" s="1418"/>
      <c r="CZ603" s="1418"/>
      <c r="DA603" s="1418"/>
      <c r="DB603" s="1418"/>
      <c r="DC603" s="1418">
        <f t="shared" si="14"/>
        <v>0</v>
      </c>
      <c r="DD603" s="1418"/>
      <c r="DE603" s="1418"/>
      <c r="DF603" s="1418"/>
      <c r="DG603" s="1418"/>
      <c r="DH603" s="1418">
        <f t="shared" si="15"/>
        <v>0</v>
      </c>
      <c r="DI603" s="1418"/>
      <c r="DJ603" s="1418"/>
      <c r="DK603" s="1418"/>
      <c r="DL603" s="1418"/>
      <c r="DM603" s="1418">
        <f t="shared" si="16"/>
        <v>1</v>
      </c>
      <c r="DN603" s="1418"/>
      <c r="DO603" s="1418"/>
      <c r="DP603" s="1418"/>
      <c r="DQ603" s="1418"/>
      <c r="DR603" s="1418">
        <f t="shared" si="17"/>
        <v>0</v>
      </c>
      <c r="DS603" s="1418"/>
      <c r="DT603" s="1418"/>
      <c r="DU603" s="1418"/>
      <c r="DV603" s="1418"/>
      <c r="DX603" s="1414" t="str">
        <f t="shared" si="18"/>
        <v xml:space="preserve"> </v>
      </c>
      <c r="DY603" s="1415"/>
      <c r="DZ603" s="1415"/>
      <c r="EA603" s="1415"/>
      <c r="EB603" s="1416"/>
      <c r="EC603" s="1414" t="str">
        <f t="shared" si="19"/>
        <v xml:space="preserve"> </v>
      </c>
      <c r="ED603" s="1415"/>
      <c r="EE603" s="1415"/>
      <c r="EF603" s="1415"/>
      <c r="EG603" s="1416"/>
      <c r="EH603" s="1414" t="str">
        <f t="shared" si="20"/>
        <v xml:space="preserve"> </v>
      </c>
      <c r="EI603" s="1415"/>
      <c r="EJ603" s="1415"/>
      <c r="EK603" s="1415"/>
      <c r="EL603" s="1416"/>
      <c r="EM603" s="1414" t="str">
        <f t="shared" si="21"/>
        <v xml:space="preserve"> </v>
      </c>
      <c r="EN603" s="1415"/>
      <c r="EO603" s="1415"/>
      <c r="EP603" s="1415"/>
      <c r="EQ603" s="1416"/>
      <c r="ER603" s="1414">
        <f t="shared" si="22"/>
        <v>1337</v>
      </c>
      <c r="ES603" s="1415"/>
      <c r="ET603" s="1415"/>
      <c r="EU603" s="1415"/>
      <c r="EV603" s="1416"/>
      <c r="EW603" s="1414" t="str">
        <f t="shared" si="23"/>
        <v xml:space="preserve"> </v>
      </c>
      <c r="EX603" s="1415"/>
      <c r="EY603" s="1415"/>
      <c r="EZ603" s="1415"/>
      <c r="FA603" s="1416"/>
    </row>
    <row r="604" spans="1:157" s="4" customFormat="1" ht="13.2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4">
        <f t="shared" si="2"/>
        <v>0</v>
      </c>
      <c r="BF604" s="1416"/>
      <c r="BG604" s="1427">
        <f t="shared" si="3"/>
        <v>0</v>
      </c>
      <c r="BH604" s="1428"/>
      <c r="BI604" s="1414">
        <f t="shared" si="4"/>
        <v>1</v>
      </c>
      <c r="BJ604" s="1416"/>
      <c r="BK604" s="1427">
        <f t="shared" si="5"/>
        <v>2</v>
      </c>
      <c r="BL604" s="1428"/>
      <c r="BM604" s="3"/>
      <c r="BN604" s="1408">
        <f t="shared" si="6"/>
        <v>0</v>
      </c>
      <c r="BO604" s="1409"/>
      <c r="BP604" s="1409"/>
      <c r="BQ604" s="1409"/>
      <c r="BR604" s="1410"/>
      <c r="BS604" s="1417">
        <f t="shared" si="7"/>
        <v>0</v>
      </c>
      <c r="BT604" s="1417"/>
      <c r="BU604" s="1417"/>
      <c r="BV604" s="1417"/>
      <c r="BW604" s="1417"/>
      <c r="BX604" s="1417">
        <f t="shared" si="8"/>
        <v>0</v>
      </c>
      <c r="BY604" s="1417"/>
      <c r="BZ604" s="1417"/>
      <c r="CA604" s="1417"/>
      <c r="CB604" s="1417"/>
      <c r="CC604" s="1417">
        <f t="shared" si="9"/>
        <v>0</v>
      </c>
      <c r="CD604" s="1417"/>
      <c r="CE604" s="1417"/>
      <c r="CF604" s="1417"/>
      <c r="CG604" s="1417"/>
      <c r="CH604" s="1417">
        <f t="shared" si="10"/>
        <v>2</v>
      </c>
      <c r="CI604" s="1417"/>
      <c r="CJ604" s="1417"/>
      <c r="CK604" s="1417"/>
      <c r="CL604" s="1417"/>
      <c r="CM604" s="1417">
        <f t="shared" si="11"/>
        <v>0</v>
      </c>
      <c r="CN604" s="1417"/>
      <c r="CO604" s="1417"/>
      <c r="CP604" s="1417"/>
      <c r="CQ604" s="1417"/>
      <c r="CR604" s="6"/>
      <c r="CS604" s="1418">
        <f t="shared" si="12"/>
        <v>0</v>
      </c>
      <c r="CT604" s="1418"/>
      <c r="CU604" s="1418"/>
      <c r="CV604" s="1418"/>
      <c r="CW604" s="1418"/>
      <c r="CX604" s="1418">
        <f t="shared" si="13"/>
        <v>0</v>
      </c>
      <c r="CY604" s="1418"/>
      <c r="CZ604" s="1418"/>
      <c r="DA604" s="1418"/>
      <c r="DB604" s="1418"/>
      <c r="DC604" s="1418">
        <f t="shared" si="14"/>
        <v>0</v>
      </c>
      <c r="DD604" s="1418"/>
      <c r="DE604" s="1418"/>
      <c r="DF604" s="1418"/>
      <c r="DG604" s="1418"/>
      <c r="DH604" s="1418">
        <f t="shared" si="15"/>
        <v>0</v>
      </c>
      <c r="DI604" s="1418"/>
      <c r="DJ604" s="1418"/>
      <c r="DK604" s="1418"/>
      <c r="DL604" s="1418"/>
      <c r="DM604" s="1418">
        <f t="shared" si="16"/>
        <v>2</v>
      </c>
      <c r="DN604" s="1418"/>
      <c r="DO604" s="1418"/>
      <c r="DP604" s="1418"/>
      <c r="DQ604" s="1418"/>
      <c r="DR604" s="1418">
        <f t="shared" si="17"/>
        <v>0</v>
      </c>
      <c r="DS604" s="1418"/>
      <c r="DT604" s="1418"/>
      <c r="DU604" s="1418"/>
      <c r="DV604" s="1418"/>
      <c r="DX604" s="1414" t="str">
        <f t="shared" si="18"/>
        <v xml:space="preserve"> </v>
      </c>
      <c r="DY604" s="1415"/>
      <c r="DZ604" s="1415"/>
      <c r="EA604" s="1415"/>
      <c r="EB604" s="1416"/>
      <c r="EC604" s="1414" t="str">
        <f t="shared" si="19"/>
        <v xml:space="preserve"> </v>
      </c>
      <c r="ED604" s="1415"/>
      <c r="EE604" s="1415"/>
      <c r="EF604" s="1415"/>
      <c r="EG604" s="1416"/>
      <c r="EH604" s="1414" t="str">
        <f t="shared" si="20"/>
        <v xml:space="preserve"> </v>
      </c>
      <c r="EI604" s="1415"/>
      <c r="EJ604" s="1415"/>
      <c r="EK604" s="1415"/>
      <c r="EL604" s="1416"/>
      <c r="EM604" s="1414" t="str">
        <f t="shared" si="21"/>
        <v xml:space="preserve"> </v>
      </c>
      <c r="EN604" s="1415"/>
      <c r="EO604" s="1415"/>
      <c r="EP604" s="1415"/>
      <c r="EQ604" s="1416"/>
      <c r="ER604" s="1414">
        <f t="shared" si="22"/>
        <v>1337</v>
      </c>
      <c r="ES604" s="1415"/>
      <c r="ET604" s="1415"/>
      <c r="EU604" s="1415"/>
      <c r="EV604" s="1416"/>
      <c r="EW604" s="1414" t="str">
        <f t="shared" si="23"/>
        <v xml:space="preserve"> </v>
      </c>
      <c r="EX604" s="1415"/>
      <c r="EY604" s="1415"/>
      <c r="EZ604" s="1415"/>
      <c r="FA604" s="1416"/>
    </row>
    <row r="605" spans="1:157" s="4" customFormat="1" ht="13.25" customHeight="1">
      <c r="A605" s="55" t="s">
        <v>364</v>
      </c>
      <c r="B605" t="s">
        <v>473</v>
      </c>
      <c r="C605"/>
      <c r="D605"/>
      <c r="E605"/>
      <c r="F605"/>
      <c r="G605" s="1348" t="str">
        <f>C560</f>
        <v>LP Equity</v>
      </c>
      <c r="H605" s="1348"/>
      <c r="I605" s="1348"/>
      <c r="J605" s="1348"/>
      <c r="K605" s="1348"/>
      <c r="L605" s="1348"/>
      <c r="M605" s="1348"/>
      <c r="N605" s="1348"/>
      <c r="O605" s="1348"/>
      <c r="P605" s="1348"/>
      <c r="Q605" s="1348"/>
      <c r="R605" s="1348"/>
      <c r="S605"/>
      <c r="T605" s="55" t="s">
        <v>365</v>
      </c>
      <c r="U605" t="s">
        <v>473</v>
      </c>
      <c r="V605"/>
      <c r="W605"/>
      <c r="X605"/>
      <c r="Y605"/>
      <c r="Z605" s="1348" t="str">
        <f>C561</f>
        <v>Accrued/Deferred Interest</v>
      </c>
      <c r="AA605" s="1348"/>
      <c r="AB605" s="1348"/>
      <c r="AC605" s="1348"/>
      <c r="AD605" s="1348"/>
      <c r="AE605" s="1348"/>
      <c r="AF605" s="1348"/>
      <c r="AG605" s="1348"/>
      <c r="AH605" s="1348"/>
      <c r="AI605" s="1348"/>
      <c r="AJ605" s="1348"/>
      <c r="AK605" s="1348"/>
      <c r="AL605"/>
      <c r="AM605"/>
      <c r="AN605"/>
      <c r="AO605"/>
      <c r="AP605"/>
      <c r="AQ605"/>
      <c r="AR605"/>
      <c r="AS605"/>
      <c r="AT605"/>
      <c r="AU605"/>
      <c r="AV605"/>
      <c r="AW605"/>
      <c r="AX605"/>
      <c r="AY605"/>
      <c r="AZ605" s="3"/>
      <c r="BA605" s="3"/>
      <c r="BB605" s="3"/>
      <c r="BC605" s="3"/>
      <c r="BD605" s="3"/>
      <c r="BE605" s="1414">
        <f t="shared" si="2"/>
        <v>1</v>
      </c>
      <c r="BF605" s="1416"/>
      <c r="BG605" s="1427">
        <f t="shared" si="3"/>
        <v>4</v>
      </c>
      <c r="BH605" s="1428"/>
      <c r="BI605" s="1414">
        <f t="shared" si="4"/>
        <v>0</v>
      </c>
      <c r="BJ605" s="1416"/>
      <c r="BK605" s="1427">
        <f t="shared" si="5"/>
        <v>0</v>
      </c>
      <c r="BL605" s="1428"/>
      <c r="BM605" s="3"/>
      <c r="BN605" s="1408">
        <f t="shared" si="6"/>
        <v>4</v>
      </c>
      <c r="BO605" s="1409"/>
      <c r="BP605" s="1409"/>
      <c r="BQ605" s="1409"/>
      <c r="BR605" s="1410"/>
      <c r="BS605" s="1417">
        <f t="shared" si="7"/>
        <v>0</v>
      </c>
      <c r="BT605" s="1417"/>
      <c r="BU605" s="1417"/>
      <c r="BV605" s="1417"/>
      <c r="BW605" s="1417"/>
      <c r="BX605" s="1417">
        <f t="shared" si="8"/>
        <v>0</v>
      </c>
      <c r="BY605" s="1417"/>
      <c r="BZ605" s="1417"/>
      <c r="CA605" s="1417"/>
      <c r="CB605" s="1417"/>
      <c r="CC605" s="1417">
        <f t="shared" si="9"/>
        <v>0</v>
      </c>
      <c r="CD605" s="1417"/>
      <c r="CE605" s="1417"/>
      <c r="CF605" s="1417"/>
      <c r="CG605" s="1417"/>
      <c r="CH605" s="1417">
        <f t="shared" si="10"/>
        <v>0</v>
      </c>
      <c r="CI605" s="1417"/>
      <c r="CJ605" s="1417"/>
      <c r="CK605" s="1417"/>
      <c r="CL605" s="1417"/>
      <c r="CM605" s="1417">
        <f t="shared" si="11"/>
        <v>0</v>
      </c>
      <c r="CN605" s="1417"/>
      <c r="CO605" s="1417"/>
      <c r="CP605" s="1417"/>
      <c r="CQ605" s="1417"/>
      <c r="CR605" s="6"/>
      <c r="CS605" s="1418">
        <f t="shared" si="12"/>
        <v>0</v>
      </c>
      <c r="CT605" s="1418"/>
      <c r="CU605" s="1418"/>
      <c r="CV605" s="1418"/>
      <c r="CW605" s="1418"/>
      <c r="CX605" s="1418">
        <f t="shared" si="13"/>
        <v>0</v>
      </c>
      <c r="CY605" s="1418"/>
      <c r="CZ605" s="1418"/>
      <c r="DA605" s="1418"/>
      <c r="DB605" s="1418"/>
      <c r="DC605" s="1418">
        <f t="shared" si="14"/>
        <v>0</v>
      </c>
      <c r="DD605" s="1418"/>
      <c r="DE605" s="1418"/>
      <c r="DF605" s="1418"/>
      <c r="DG605" s="1418"/>
      <c r="DH605" s="1418">
        <f t="shared" si="15"/>
        <v>0</v>
      </c>
      <c r="DI605" s="1418"/>
      <c r="DJ605" s="1418"/>
      <c r="DK605" s="1418"/>
      <c r="DL605" s="1418"/>
      <c r="DM605" s="1418">
        <f t="shared" si="16"/>
        <v>0</v>
      </c>
      <c r="DN605" s="1418"/>
      <c r="DO605" s="1418"/>
      <c r="DP605" s="1418"/>
      <c r="DQ605" s="1418"/>
      <c r="DR605" s="1418">
        <f t="shared" si="17"/>
        <v>0</v>
      </c>
      <c r="DS605" s="1418"/>
      <c r="DT605" s="1418"/>
      <c r="DU605" s="1418"/>
      <c r="DV605" s="1418"/>
      <c r="DX605" s="1414">
        <f t="shared" si="18"/>
        <v>1177</v>
      </c>
      <c r="DY605" s="1415"/>
      <c r="DZ605" s="1415"/>
      <c r="EA605" s="1415"/>
      <c r="EB605" s="1416"/>
      <c r="EC605" s="1414" t="str">
        <f t="shared" si="19"/>
        <v xml:space="preserve"> </v>
      </c>
      <c r="ED605" s="1415"/>
      <c r="EE605" s="1415"/>
      <c r="EF605" s="1415"/>
      <c r="EG605" s="1416"/>
      <c r="EH605" s="1414" t="str">
        <f t="shared" si="20"/>
        <v xml:space="preserve"> </v>
      </c>
      <c r="EI605" s="1415"/>
      <c r="EJ605" s="1415"/>
      <c r="EK605" s="1415"/>
      <c r="EL605" s="1416"/>
      <c r="EM605" s="1414" t="str">
        <f t="shared" si="21"/>
        <v xml:space="preserve"> </v>
      </c>
      <c r="EN605" s="1415"/>
      <c r="EO605" s="1415"/>
      <c r="EP605" s="1415"/>
      <c r="EQ605" s="1416"/>
      <c r="ER605" s="1414" t="str">
        <f t="shared" si="22"/>
        <v xml:space="preserve"> </v>
      </c>
      <c r="ES605" s="1415"/>
      <c r="ET605" s="1415"/>
      <c r="EU605" s="1415"/>
      <c r="EV605" s="1416"/>
      <c r="EW605" s="1414" t="str">
        <f t="shared" si="23"/>
        <v xml:space="preserve"> </v>
      </c>
      <c r="EX605" s="1415"/>
      <c r="EY605" s="1415"/>
      <c r="EZ605" s="1415"/>
      <c r="FA605" s="1416"/>
    </row>
    <row r="606" spans="1:157" s="4" customFormat="1" ht="13.25" customHeight="1">
      <c r="A606"/>
      <c r="B606" t="s">
        <v>86</v>
      </c>
      <c r="C606"/>
      <c r="D606"/>
      <c r="E606"/>
      <c r="F606"/>
      <c r="G606" s="1349" t="s">
        <v>2691</v>
      </c>
      <c r="H606" s="1350"/>
      <c r="I606" s="1350"/>
      <c r="J606" s="1350"/>
      <c r="K606" s="1350"/>
      <c r="L606" s="1350"/>
      <c r="M606" s="1350"/>
      <c r="N606" s="1350"/>
      <c r="O606" s="1350"/>
      <c r="P606" s="1350"/>
      <c r="Q606" s="1350"/>
      <c r="R606" s="1350"/>
      <c r="S606"/>
      <c r="T606"/>
      <c r="U606" t="s">
        <v>86</v>
      </c>
      <c r="V606"/>
      <c r="W606"/>
      <c r="X606"/>
      <c r="Y606"/>
      <c r="Z606" s="1349" t="s">
        <v>2771</v>
      </c>
      <c r="AA606" s="1350"/>
      <c r="AB606" s="1350"/>
      <c r="AC606" s="1350"/>
      <c r="AD606" s="1350"/>
      <c r="AE606" s="1350"/>
      <c r="AF606" s="1350"/>
      <c r="AG606" s="1350"/>
      <c r="AH606" s="1350"/>
      <c r="AI606" s="1350"/>
      <c r="AJ606" s="1350"/>
      <c r="AK606" s="1350"/>
      <c r="AL606"/>
      <c r="AM606"/>
      <c r="AN606"/>
      <c r="AO606"/>
      <c r="AP606"/>
      <c r="AQ606"/>
      <c r="AR606"/>
      <c r="AS606"/>
      <c r="AT606"/>
      <c r="AU606"/>
      <c r="AV606"/>
      <c r="AW606"/>
      <c r="AX606"/>
      <c r="AY606"/>
      <c r="AZ606" s="3"/>
      <c r="BA606" s="3"/>
      <c r="BB606" s="3"/>
      <c r="BC606" s="3"/>
      <c r="BD606" s="3"/>
      <c r="BE606" s="1414">
        <f t="shared" si="2"/>
        <v>1</v>
      </c>
      <c r="BF606" s="1416"/>
      <c r="BG606" s="1427">
        <f t="shared" si="3"/>
        <v>6</v>
      </c>
      <c r="BH606" s="1428"/>
      <c r="BI606" s="1414">
        <f t="shared" si="4"/>
        <v>0</v>
      </c>
      <c r="BJ606" s="1416"/>
      <c r="BK606" s="1427">
        <f t="shared" si="5"/>
        <v>0</v>
      </c>
      <c r="BL606" s="1428"/>
      <c r="BM606" s="3"/>
      <c r="BN606" s="1408">
        <f t="shared" si="6"/>
        <v>0</v>
      </c>
      <c r="BO606" s="1409"/>
      <c r="BP606" s="1409"/>
      <c r="BQ606" s="1409"/>
      <c r="BR606" s="1410"/>
      <c r="BS606" s="1417">
        <f t="shared" si="7"/>
        <v>6</v>
      </c>
      <c r="BT606" s="1417"/>
      <c r="BU606" s="1417"/>
      <c r="BV606" s="1417"/>
      <c r="BW606" s="1417"/>
      <c r="BX606" s="1417">
        <f t="shared" si="8"/>
        <v>0</v>
      </c>
      <c r="BY606" s="1417"/>
      <c r="BZ606" s="1417"/>
      <c r="CA606" s="1417"/>
      <c r="CB606" s="1417"/>
      <c r="CC606" s="1417">
        <f t="shared" si="9"/>
        <v>0</v>
      </c>
      <c r="CD606" s="1417"/>
      <c r="CE606" s="1417"/>
      <c r="CF606" s="1417"/>
      <c r="CG606" s="1417"/>
      <c r="CH606" s="1417">
        <f t="shared" si="10"/>
        <v>0</v>
      </c>
      <c r="CI606" s="1417"/>
      <c r="CJ606" s="1417"/>
      <c r="CK606" s="1417"/>
      <c r="CL606" s="1417"/>
      <c r="CM606" s="1417">
        <f t="shared" si="11"/>
        <v>0</v>
      </c>
      <c r="CN606" s="1417"/>
      <c r="CO606" s="1417"/>
      <c r="CP606" s="1417"/>
      <c r="CQ606" s="1417"/>
      <c r="CR606" s="6"/>
      <c r="CS606" s="1418">
        <f t="shared" si="12"/>
        <v>0</v>
      </c>
      <c r="CT606" s="1418"/>
      <c r="CU606" s="1418"/>
      <c r="CV606" s="1418"/>
      <c r="CW606" s="1418"/>
      <c r="CX606" s="1418">
        <f t="shared" si="13"/>
        <v>0</v>
      </c>
      <c r="CY606" s="1418"/>
      <c r="CZ606" s="1418"/>
      <c r="DA606" s="1418"/>
      <c r="DB606" s="1418"/>
      <c r="DC606" s="1418">
        <f t="shared" si="14"/>
        <v>0</v>
      </c>
      <c r="DD606" s="1418"/>
      <c r="DE606" s="1418"/>
      <c r="DF606" s="1418"/>
      <c r="DG606" s="1418"/>
      <c r="DH606" s="1418">
        <f t="shared" si="15"/>
        <v>0</v>
      </c>
      <c r="DI606" s="1418"/>
      <c r="DJ606" s="1418"/>
      <c r="DK606" s="1418"/>
      <c r="DL606" s="1418"/>
      <c r="DM606" s="1418">
        <f t="shared" si="16"/>
        <v>0</v>
      </c>
      <c r="DN606" s="1418"/>
      <c r="DO606" s="1418"/>
      <c r="DP606" s="1418"/>
      <c r="DQ606" s="1418"/>
      <c r="DR606" s="1418">
        <f t="shared" si="17"/>
        <v>0</v>
      </c>
      <c r="DS606" s="1418"/>
      <c r="DT606" s="1418"/>
      <c r="DU606" s="1418"/>
      <c r="DV606" s="1418"/>
      <c r="DX606" s="1414" t="str">
        <f t="shared" si="18"/>
        <v xml:space="preserve"> </v>
      </c>
      <c r="DY606" s="1415"/>
      <c r="DZ606" s="1415"/>
      <c r="EA606" s="1415"/>
      <c r="EB606" s="1416"/>
      <c r="EC606" s="1414">
        <f t="shared" si="19"/>
        <v>1257</v>
      </c>
      <c r="ED606" s="1415"/>
      <c r="EE606" s="1415"/>
      <c r="EF606" s="1415"/>
      <c r="EG606" s="1416"/>
      <c r="EH606" s="1414" t="str">
        <f t="shared" si="20"/>
        <v xml:space="preserve"> </v>
      </c>
      <c r="EI606" s="1415"/>
      <c r="EJ606" s="1415"/>
      <c r="EK606" s="1415"/>
      <c r="EL606" s="1416"/>
      <c r="EM606" s="1414" t="str">
        <f t="shared" si="21"/>
        <v xml:space="preserve"> </v>
      </c>
      <c r="EN606" s="1415"/>
      <c r="EO606" s="1415"/>
      <c r="EP606" s="1415"/>
      <c r="EQ606" s="1416"/>
      <c r="ER606" s="1414" t="str">
        <f t="shared" si="22"/>
        <v xml:space="preserve"> </v>
      </c>
      <c r="ES606" s="1415"/>
      <c r="ET606" s="1415"/>
      <c r="EU606" s="1415"/>
      <c r="EV606" s="1416"/>
      <c r="EW606" s="1414" t="str">
        <f t="shared" si="23"/>
        <v xml:space="preserve"> </v>
      </c>
      <c r="EX606" s="1415"/>
      <c r="EY606" s="1415"/>
      <c r="EZ606" s="1415"/>
      <c r="FA606" s="1416"/>
    </row>
    <row r="607" spans="1:157" ht="13.25" customHeight="1">
      <c r="B607" t="s">
        <v>590</v>
      </c>
      <c r="G607" s="1350"/>
      <c r="H607" s="1350"/>
      <c r="I607" s="1350"/>
      <c r="J607" s="1350"/>
      <c r="K607" s="1350"/>
      <c r="L607" s="1350"/>
      <c r="M607" s="1350"/>
      <c r="N607" s="1350"/>
      <c r="O607" s="1350"/>
      <c r="P607" s="1350"/>
      <c r="Q607" s="1350"/>
      <c r="R607" s="1350"/>
      <c r="U607" t="s">
        <v>590</v>
      </c>
      <c r="Z607" s="1359"/>
      <c r="AA607" s="1359"/>
      <c r="AB607" s="1359"/>
      <c r="AC607" s="1359"/>
      <c r="AD607" s="1359"/>
      <c r="AE607" s="1359"/>
      <c r="AF607" s="1359"/>
      <c r="AG607" s="1359"/>
      <c r="AH607" s="1359"/>
      <c r="AI607" s="1359"/>
      <c r="AJ607" s="1359"/>
      <c r="AK607" s="1359"/>
      <c r="AZ607" s="3"/>
      <c r="BA607" s="3"/>
      <c r="BB607" s="3"/>
      <c r="BC607" s="3"/>
      <c r="BD607" s="3"/>
      <c r="BE607" s="1414">
        <f t="shared" si="2"/>
        <v>1</v>
      </c>
      <c r="BF607" s="1416"/>
      <c r="BG607" s="1427">
        <f t="shared" si="3"/>
        <v>5</v>
      </c>
      <c r="BH607" s="1428"/>
      <c r="BI607" s="1414">
        <f t="shared" si="4"/>
        <v>0</v>
      </c>
      <c r="BJ607" s="1416"/>
      <c r="BK607" s="1427">
        <f t="shared" si="5"/>
        <v>0</v>
      </c>
      <c r="BL607" s="1428"/>
      <c r="BM607" s="3"/>
      <c r="BN607" s="1408">
        <f t="shared" si="6"/>
        <v>0</v>
      </c>
      <c r="BO607" s="1409"/>
      <c r="BP607" s="1409"/>
      <c r="BQ607" s="1409"/>
      <c r="BR607" s="1410"/>
      <c r="BS607" s="1417">
        <f t="shared" si="7"/>
        <v>0</v>
      </c>
      <c r="BT607" s="1417"/>
      <c r="BU607" s="1417"/>
      <c r="BV607" s="1417"/>
      <c r="BW607" s="1417"/>
      <c r="BX607" s="1417">
        <f t="shared" si="8"/>
        <v>5</v>
      </c>
      <c r="BY607" s="1417"/>
      <c r="BZ607" s="1417"/>
      <c r="CA607" s="1417"/>
      <c r="CB607" s="1417"/>
      <c r="CC607" s="1417">
        <f t="shared" si="9"/>
        <v>0</v>
      </c>
      <c r="CD607" s="1417"/>
      <c r="CE607" s="1417"/>
      <c r="CF607" s="1417"/>
      <c r="CG607" s="1417"/>
      <c r="CH607" s="1417">
        <f t="shared" si="10"/>
        <v>0</v>
      </c>
      <c r="CI607" s="1417"/>
      <c r="CJ607" s="1417"/>
      <c r="CK607" s="1417"/>
      <c r="CL607" s="1417"/>
      <c r="CM607" s="1417">
        <f t="shared" si="11"/>
        <v>0</v>
      </c>
      <c r="CN607" s="1417"/>
      <c r="CO607" s="1417"/>
      <c r="CP607" s="1417"/>
      <c r="CQ607" s="1417"/>
      <c r="CR607" s="6"/>
      <c r="CS607" s="1418">
        <f t="shared" si="12"/>
        <v>0</v>
      </c>
      <c r="CT607" s="1418"/>
      <c r="CU607" s="1418"/>
      <c r="CV607" s="1418"/>
      <c r="CW607" s="1418"/>
      <c r="CX607" s="1418">
        <f t="shared" si="13"/>
        <v>0</v>
      </c>
      <c r="CY607" s="1418"/>
      <c r="CZ607" s="1418"/>
      <c r="DA607" s="1418"/>
      <c r="DB607" s="1418"/>
      <c r="DC607" s="1418">
        <f t="shared" si="14"/>
        <v>0</v>
      </c>
      <c r="DD607" s="1418"/>
      <c r="DE607" s="1418"/>
      <c r="DF607" s="1418"/>
      <c r="DG607" s="1418"/>
      <c r="DH607" s="1418">
        <f t="shared" si="15"/>
        <v>0</v>
      </c>
      <c r="DI607" s="1418"/>
      <c r="DJ607" s="1418"/>
      <c r="DK607" s="1418"/>
      <c r="DL607" s="1418"/>
      <c r="DM607" s="1418">
        <f t="shared" si="16"/>
        <v>0</v>
      </c>
      <c r="DN607" s="1418"/>
      <c r="DO607" s="1418"/>
      <c r="DP607" s="1418"/>
      <c r="DQ607" s="1418"/>
      <c r="DR607" s="1418">
        <f t="shared" si="17"/>
        <v>0</v>
      </c>
      <c r="DS607" s="1418"/>
      <c r="DT607" s="1418"/>
      <c r="DU607" s="1418"/>
      <c r="DV607" s="1418"/>
      <c r="DX607" s="1414" t="str">
        <f t="shared" si="18"/>
        <v xml:space="preserve"> </v>
      </c>
      <c r="DY607" s="1415"/>
      <c r="DZ607" s="1415"/>
      <c r="EA607" s="1415"/>
      <c r="EB607" s="1416"/>
      <c r="EC607" s="1414" t="str">
        <f t="shared" si="19"/>
        <v xml:space="preserve"> </v>
      </c>
      <c r="ED607" s="1415"/>
      <c r="EE607" s="1415"/>
      <c r="EF607" s="1415"/>
      <c r="EG607" s="1416"/>
      <c r="EH607" s="1414">
        <f t="shared" si="20"/>
        <v>1494</v>
      </c>
      <c r="EI607" s="1415"/>
      <c r="EJ607" s="1415"/>
      <c r="EK607" s="1415"/>
      <c r="EL607" s="1416"/>
      <c r="EM607" s="1414" t="str">
        <f t="shared" si="21"/>
        <v xml:space="preserve"> </v>
      </c>
      <c r="EN607" s="1415"/>
      <c r="EO607" s="1415"/>
      <c r="EP607" s="1415"/>
      <c r="EQ607" s="1416"/>
      <c r="ER607" s="1414" t="str">
        <f t="shared" si="22"/>
        <v xml:space="preserve"> </v>
      </c>
      <c r="ES607" s="1415"/>
      <c r="ET607" s="1415"/>
      <c r="EU607" s="1415"/>
      <c r="EV607" s="1416"/>
      <c r="EW607" s="1414" t="str">
        <f t="shared" si="23"/>
        <v xml:space="preserve"> </v>
      </c>
      <c r="EX607" s="1415"/>
      <c r="EY607" s="1415"/>
      <c r="EZ607" s="1415"/>
      <c r="FA607" s="1416"/>
    </row>
    <row r="608" spans="1:157" ht="13.25" customHeight="1">
      <c r="B608" t="s">
        <v>17</v>
      </c>
      <c r="G608" s="1350"/>
      <c r="H608" s="1350"/>
      <c r="I608" s="1350"/>
      <c r="J608" s="1350"/>
      <c r="K608" s="1350"/>
      <c r="L608" s="1350"/>
      <c r="M608" s="1350"/>
      <c r="N608" s="1350"/>
      <c r="O608" s="1350"/>
      <c r="P608" s="1350"/>
      <c r="Q608" s="1350"/>
      <c r="R608" s="1350"/>
      <c r="U608" t="s">
        <v>17</v>
      </c>
      <c r="Z608" s="1359"/>
      <c r="AA608" s="1359"/>
      <c r="AB608" s="1359"/>
      <c r="AC608" s="1359"/>
      <c r="AD608" s="1359"/>
      <c r="AE608" s="1359"/>
      <c r="AF608" s="1359"/>
      <c r="AG608" s="1359"/>
      <c r="AH608" s="1359"/>
      <c r="AI608" s="1359"/>
      <c r="AJ608" s="1359"/>
      <c r="AK608" s="1359"/>
      <c r="AZ608" s="3"/>
      <c r="BA608" s="3"/>
      <c r="BB608" s="3"/>
      <c r="BC608" s="3"/>
      <c r="BD608" s="3"/>
      <c r="BE608" s="1414">
        <f t="shared" si="2"/>
        <v>1</v>
      </c>
      <c r="BF608" s="1416"/>
      <c r="BG608" s="1427">
        <f t="shared" si="3"/>
        <v>2</v>
      </c>
      <c r="BH608" s="1428"/>
      <c r="BI608" s="1414">
        <f t="shared" si="4"/>
        <v>0</v>
      </c>
      <c r="BJ608" s="1416"/>
      <c r="BK608" s="1427">
        <f t="shared" si="5"/>
        <v>0</v>
      </c>
      <c r="BL608" s="1428"/>
      <c r="BM608" s="3"/>
      <c r="BN608" s="1408">
        <f t="shared" si="6"/>
        <v>0</v>
      </c>
      <c r="BO608" s="1409"/>
      <c r="BP608" s="1409"/>
      <c r="BQ608" s="1409"/>
      <c r="BR608" s="1410"/>
      <c r="BS608" s="1417">
        <f t="shared" si="7"/>
        <v>0</v>
      </c>
      <c r="BT608" s="1417"/>
      <c r="BU608" s="1417"/>
      <c r="BV608" s="1417"/>
      <c r="BW608" s="1417"/>
      <c r="BX608" s="1417">
        <f t="shared" si="8"/>
        <v>0</v>
      </c>
      <c r="BY608" s="1417"/>
      <c r="BZ608" s="1417"/>
      <c r="CA608" s="1417"/>
      <c r="CB608" s="1417"/>
      <c r="CC608" s="1417">
        <f t="shared" si="9"/>
        <v>2</v>
      </c>
      <c r="CD608" s="1417"/>
      <c r="CE608" s="1417"/>
      <c r="CF608" s="1417"/>
      <c r="CG608" s="1417"/>
      <c r="CH608" s="1417">
        <f t="shared" si="10"/>
        <v>0</v>
      </c>
      <c r="CI608" s="1417"/>
      <c r="CJ608" s="1417"/>
      <c r="CK608" s="1417"/>
      <c r="CL608" s="1417"/>
      <c r="CM608" s="1417">
        <f t="shared" si="11"/>
        <v>0</v>
      </c>
      <c r="CN608" s="1417"/>
      <c r="CO608" s="1417"/>
      <c r="CP608" s="1417"/>
      <c r="CQ608" s="1417"/>
      <c r="CR608" s="6"/>
      <c r="CS608" s="1418">
        <f t="shared" si="12"/>
        <v>0</v>
      </c>
      <c r="CT608" s="1418"/>
      <c r="CU608" s="1418"/>
      <c r="CV608" s="1418"/>
      <c r="CW608" s="1418"/>
      <c r="CX608" s="1418">
        <f t="shared" si="13"/>
        <v>0</v>
      </c>
      <c r="CY608" s="1418"/>
      <c r="CZ608" s="1418"/>
      <c r="DA608" s="1418"/>
      <c r="DB608" s="1418"/>
      <c r="DC608" s="1418">
        <f t="shared" si="14"/>
        <v>0</v>
      </c>
      <c r="DD608" s="1418"/>
      <c r="DE608" s="1418"/>
      <c r="DF608" s="1418"/>
      <c r="DG608" s="1418"/>
      <c r="DH608" s="1418">
        <f t="shared" si="15"/>
        <v>0</v>
      </c>
      <c r="DI608" s="1418"/>
      <c r="DJ608" s="1418"/>
      <c r="DK608" s="1418"/>
      <c r="DL608" s="1418"/>
      <c r="DM608" s="1418">
        <f t="shared" si="16"/>
        <v>0</v>
      </c>
      <c r="DN608" s="1418"/>
      <c r="DO608" s="1418"/>
      <c r="DP608" s="1418"/>
      <c r="DQ608" s="1418"/>
      <c r="DR608" s="1418">
        <f t="shared" si="17"/>
        <v>0</v>
      </c>
      <c r="DS608" s="1418"/>
      <c r="DT608" s="1418"/>
      <c r="DU608" s="1418"/>
      <c r="DV608" s="1418"/>
      <c r="DX608" s="1414" t="str">
        <f t="shared" si="18"/>
        <v xml:space="preserve"> </v>
      </c>
      <c r="DY608" s="1415"/>
      <c r="DZ608" s="1415"/>
      <c r="EA608" s="1415"/>
      <c r="EB608" s="1416"/>
      <c r="EC608" s="1414" t="str">
        <f t="shared" si="19"/>
        <v xml:space="preserve"> </v>
      </c>
      <c r="ED608" s="1415"/>
      <c r="EE608" s="1415"/>
      <c r="EF608" s="1415"/>
      <c r="EG608" s="1416"/>
      <c r="EH608" s="1414" t="str">
        <f t="shared" si="20"/>
        <v xml:space="preserve"> </v>
      </c>
      <c r="EI608" s="1415"/>
      <c r="EJ608" s="1415"/>
      <c r="EK608" s="1415"/>
      <c r="EL608" s="1416"/>
      <c r="EM608" s="1414">
        <f t="shared" si="21"/>
        <v>1705</v>
      </c>
      <c r="EN608" s="1415"/>
      <c r="EO608" s="1415"/>
      <c r="EP608" s="1415"/>
      <c r="EQ608" s="1416"/>
      <c r="ER608" s="1414" t="str">
        <f t="shared" si="22"/>
        <v xml:space="preserve"> </v>
      </c>
      <c r="ES608" s="1415"/>
      <c r="ET608" s="1415"/>
      <c r="EU608" s="1415"/>
      <c r="EV608" s="1416"/>
      <c r="EW608" s="1414" t="str">
        <f t="shared" si="23"/>
        <v xml:space="preserve"> </v>
      </c>
      <c r="EX608" s="1415"/>
      <c r="EY608" s="1415"/>
      <c r="EZ608" s="1415"/>
      <c r="FA608" s="1416"/>
    </row>
    <row r="609" spans="1:157" ht="13.25" customHeight="1">
      <c r="B609" t="s">
        <v>318</v>
      </c>
      <c r="G609" s="1353"/>
      <c r="H609" s="1353"/>
      <c r="I609" s="1353"/>
      <c r="J609" s="1353"/>
      <c r="K609" s="1353"/>
      <c r="L609" s="1353"/>
      <c r="O609" s="33" t="s">
        <v>208</v>
      </c>
      <c r="P609" s="1347"/>
      <c r="Q609" s="1347"/>
      <c r="R609" s="1347"/>
      <c r="U609" t="s">
        <v>318</v>
      </c>
      <c r="Z609" s="1353"/>
      <c r="AA609" s="1353"/>
      <c r="AB609" s="1353"/>
      <c r="AC609" s="1353"/>
      <c r="AD609" s="1353"/>
      <c r="AE609" s="1353"/>
      <c r="AH609" s="33" t="s">
        <v>208</v>
      </c>
      <c r="AI609" s="1347"/>
      <c r="AJ609" s="1347"/>
      <c r="AK609" s="1347"/>
      <c r="AZ609" s="3"/>
      <c r="BA609" s="3"/>
      <c r="BB609" s="3"/>
      <c r="BC609" s="3"/>
      <c r="BD609" s="3"/>
      <c r="BE609" s="1414">
        <f t="shared" si="2"/>
        <v>1</v>
      </c>
      <c r="BF609" s="1416"/>
      <c r="BG609" s="1427">
        <f t="shared" si="3"/>
        <v>2</v>
      </c>
      <c r="BH609" s="1428"/>
      <c r="BI609" s="1414">
        <f t="shared" si="4"/>
        <v>0</v>
      </c>
      <c r="BJ609" s="1416"/>
      <c r="BK609" s="1427">
        <f t="shared" si="5"/>
        <v>0</v>
      </c>
      <c r="BL609" s="1428"/>
      <c r="BM609" s="3"/>
      <c r="BN609" s="1408">
        <f t="shared" si="6"/>
        <v>0</v>
      </c>
      <c r="BO609" s="1409"/>
      <c r="BP609" s="1409"/>
      <c r="BQ609" s="1409"/>
      <c r="BR609" s="1410"/>
      <c r="BS609" s="1417">
        <f t="shared" si="7"/>
        <v>2</v>
      </c>
      <c r="BT609" s="1417"/>
      <c r="BU609" s="1417"/>
      <c r="BV609" s="1417"/>
      <c r="BW609" s="1417"/>
      <c r="BX609" s="1417">
        <f t="shared" si="8"/>
        <v>0</v>
      </c>
      <c r="BY609" s="1417"/>
      <c r="BZ609" s="1417"/>
      <c r="CA609" s="1417"/>
      <c r="CB609" s="1417"/>
      <c r="CC609" s="1417">
        <f t="shared" si="9"/>
        <v>0</v>
      </c>
      <c r="CD609" s="1417"/>
      <c r="CE609" s="1417"/>
      <c r="CF609" s="1417"/>
      <c r="CG609" s="1417"/>
      <c r="CH609" s="1417">
        <f t="shared" si="10"/>
        <v>0</v>
      </c>
      <c r="CI609" s="1417"/>
      <c r="CJ609" s="1417"/>
      <c r="CK609" s="1417"/>
      <c r="CL609" s="1417"/>
      <c r="CM609" s="1417">
        <f t="shared" si="11"/>
        <v>0</v>
      </c>
      <c r="CN609" s="1417"/>
      <c r="CO609" s="1417"/>
      <c r="CP609" s="1417"/>
      <c r="CQ609" s="1417"/>
      <c r="CR609" s="6"/>
      <c r="CS609" s="1418">
        <f t="shared" si="12"/>
        <v>0</v>
      </c>
      <c r="CT609" s="1418"/>
      <c r="CU609" s="1418"/>
      <c r="CV609" s="1418"/>
      <c r="CW609" s="1418"/>
      <c r="CX609" s="1418">
        <f t="shared" si="13"/>
        <v>0</v>
      </c>
      <c r="CY609" s="1418"/>
      <c r="CZ609" s="1418"/>
      <c r="DA609" s="1418"/>
      <c r="DB609" s="1418"/>
      <c r="DC609" s="1418">
        <f t="shared" si="14"/>
        <v>0</v>
      </c>
      <c r="DD609" s="1418"/>
      <c r="DE609" s="1418"/>
      <c r="DF609" s="1418"/>
      <c r="DG609" s="1418"/>
      <c r="DH609" s="1418">
        <f t="shared" si="15"/>
        <v>0</v>
      </c>
      <c r="DI609" s="1418"/>
      <c r="DJ609" s="1418"/>
      <c r="DK609" s="1418"/>
      <c r="DL609" s="1418"/>
      <c r="DM609" s="1418">
        <f t="shared" si="16"/>
        <v>0</v>
      </c>
      <c r="DN609" s="1418"/>
      <c r="DO609" s="1418"/>
      <c r="DP609" s="1418"/>
      <c r="DQ609" s="1418"/>
      <c r="DR609" s="1418">
        <f t="shared" si="17"/>
        <v>0</v>
      </c>
      <c r="DS609" s="1418"/>
      <c r="DT609" s="1418"/>
      <c r="DU609" s="1418"/>
      <c r="DV609" s="1418"/>
      <c r="DX609" s="1414" t="str">
        <f t="shared" si="18"/>
        <v xml:space="preserve"> </v>
      </c>
      <c r="DY609" s="1415"/>
      <c r="DZ609" s="1415"/>
      <c r="EA609" s="1415"/>
      <c r="EB609" s="1416"/>
      <c r="EC609" s="1414">
        <f t="shared" si="19"/>
        <v>1607</v>
      </c>
      <c r="ED609" s="1415"/>
      <c r="EE609" s="1415"/>
      <c r="EF609" s="1415"/>
      <c r="EG609" s="1416"/>
      <c r="EH609" s="1414" t="str">
        <f t="shared" si="20"/>
        <v xml:space="preserve"> </v>
      </c>
      <c r="EI609" s="1415"/>
      <c r="EJ609" s="1415"/>
      <c r="EK609" s="1415"/>
      <c r="EL609" s="1416"/>
      <c r="EM609" s="1414" t="str">
        <f t="shared" si="21"/>
        <v xml:space="preserve"> </v>
      </c>
      <c r="EN609" s="1415"/>
      <c r="EO609" s="1415"/>
      <c r="EP609" s="1415"/>
      <c r="EQ609" s="1416"/>
      <c r="ER609" s="1414" t="str">
        <f t="shared" si="22"/>
        <v xml:space="preserve"> </v>
      </c>
      <c r="ES609" s="1415"/>
      <c r="ET609" s="1415"/>
      <c r="EU609" s="1415"/>
      <c r="EV609" s="1416"/>
      <c r="EW609" s="1414" t="str">
        <f t="shared" si="23"/>
        <v xml:space="preserve"> </v>
      </c>
      <c r="EX609" s="1415"/>
      <c r="EY609" s="1415"/>
      <c r="EZ609" s="1415"/>
      <c r="FA609" s="1416"/>
    </row>
    <row r="610" spans="1:157" ht="13.25" customHeight="1">
      <c r="B610" t="s">
        <v>18</v>
      </c>
      <c r="H610" s="1349" t="s">
        <v>2732</v>
      </c>
      <c r="I610" s="1350"/>
      <c r="J610" s="1350"/>
      <c r="K610" s="1350"/>
      <c r="L610" s="1350"/>
      <c r="M610" s="1350"/>
      <c r="N610" s="1350"/>
      <c r="O610" s="1350"/>
      <c r="P610" s="1350"/>
      <c r="Q610" s="1350"/>
      <c r="R610" s="1350"/>
      <c r="U610" t="s">
        <v>18</v>
      </c>
      <c r="AA610" s="1349" t="s">
        <v>2774</v>
      </c>
      <c r="AB610" s="1350"/>
      <c r="AC610" s="1350"/>
      <c r="AD610" s="1350"/>
      <c r="AE610" s="1350"/>
      <c r="AF610" s="1350"/>
      <c r="AG610" s="1350"/>
      <c r="AH610" s="1350"/>
      <c r="AI610" s="1350"/>
      <c r="AJ610" s="1350"/>
      <c r="AK610" s="1350"/>
      <c r="AZ610" s="3"/>
      <c r="BA610" s="3"/>
      <c r="BB610" s="3"/>
      <c r="BC610" s="3"/>
      <c r="BD610" s="3"/>
      <c r="BE610" s="1414">
        <f t="shared" si="2"/>
        <v>1</v>
      </c>
      <c r="BF610" s="1416"/>
      <c r="BG610" s="1427">
        <f t="shared" si="3"/>
        <v>1</v>
      </c>
      <c r="BH610" s="1428"/>
      <c r="BI610" s="1414">
        <f t="shared" si="4"/>
        <v>0</v>
      </c>
      <c r="BJ610" s="1416"/>
      <c r="BK610" s="1427">
        <f t="shared" si="5"/>
        <v>0</v>
      </c>
      <c r="BL610" s="1428"/>
      <c r="BM610" s="3"/>
      <c r="BN610" s="1408">
        <f t="shared" si="6"/>
        <v>0</v>
      </c>
      <c r="BO610" s="1409"/>
      <c r="BP610" s="1409"/>
      <c r="BQ610" s="1409"/>
      <c r="BR610" s="1410"/>
      <c r="BS610" s="1417">
        <f t="shared" si="7"/>
        <v>1</v>
      </c>
      <c r="BT610" s="1417"/>
      <c r="BU610" s="1417"/>
      <c r="BV610" s="1417"/>
      <c r="BW610" s="1417"/>
      <c r="BX610" s="1417">
        <f t="shared" si="8"/>
        <v>0</v>
      </c>
      <c r="BY610" s="1417"/>
      <c r="BZ610" s="1417"/>
      <c r="CA610" s="1417"/>
      <c r="CB610" s="1417"/>
      <c r="CC610" s="1417">
        <f t="shared" si="9"/>
        <v>0</v>
      </c>
      <c r="CD610" s="1417"/>
      <c r="CE610" s="1417"/>
      <c r="CF610" s="1417"/>
      <c r="CG610" s="1417"/>
      <c r="CH610" s="1417">
        <f t="shared" si="10"/>
        <v>0</v>
      </c>
      <c r="CI610" s="1417"/>
      <c r="CJ610" s="1417"/>
      <c r="CK610" s="1417"/>
      <c r="CL610" s="1417"/>
      <c r="CM610" s="1417">
        <f t="shared" si="11"/>
        <v>0</v>
      </c>
      <c r="CN610" s="1417"/>
      <c r="CO610" s="1417"/>
      <c r="CP610" s="1417"/>
      <c r="CQ610" s="1417"/>
      <c r="CR610" s="6"/>
      <c r="CS610" s="1418">
        <f t="shared" si="12"/>
        <v>0</v>
      </c>
      <c r="CT610" s="1418"/>
      <c r="CU610" s="1418"/>
      <c r="CV610" s="1418"/>
      <c r="CW610" s="1418"/>
      <c r="CX610" s="1418">
        <f t="shared" si="13"/>
        <v>0</v>
      </c>
      <c r="CY610" s="1418"/>
      <c r="CZ610" s="1418"/>
      <c r="DA610" s="1418"/>
      <c r="DB610" s="1418"/>
      <c r="DC610" s="1418">
        <f t="shared" si="14"/>
        <v>0</v>
      </c>
      <c r="DD610" s="1418"/>
      <c r="DE610" s="1418"/>
      <c r="DF610" s="1418"/>
      <c r="DG610" s="1418"/>
      <c r="DH610" s="1418">
        <f t="shared" si="15"/>
        <v>0</v>
      </c>
      <c r="DI610" s="1418"/>
      <c r="DJ610" s="1418"/>
      <c r="DK610" s="1418"/>
      <c r="DL610" s="1418"/>
      <c r="DM610" s="1418">
        <f t="shared" si="16"/>
        <v>0</v>
      </c>
      <c r="DN610" s="1418"/>
      <c r="DO610" s="1418"/>
      <c r="DP610" s="1418"/>
      <c r="DQ610" s="1418"/>
      <c r="DR610" s="1418">
        <f t="shared" si="17"/>
        <v>0</v>
      </c>
      <c r="DS610" s="1418"/>
      <c r="DT610" s="1418"/>
      <c r="DU610" s="1418"/>
      <c r="DV610" s="1418"/>
      <c r="DX610" s="1414" t="str">
        <f t="shared" si="18"/>
        <v xml:space="preserve"> </v>
      </c>
      <c r="DY610" s="1415"/>
      <c r="DZ610" s="1415"/>
      <c r="EA610" s="1415"/>
      <c r="EB610" s="1416"/>
      <c r="EC610" s="1414">
        <f t="shared" si="19"/>
        <v>1607</v>
      </c>
      <c r="ED610" s="1415"/>
      <c r="EE610" s="1415"/>
      <c r="EF610" s="1415"/>
      <c r="EG610" s="1416"/>
      <c r="EH610" s="1414" t="str">
        <f t="shared" si="20"/>
        <v xml:space="preserve"> </v>
      </c>
      <c r="EI610" s="1415"/>
      <c r="EJ610" s="1415"/>
      <c r="EK610" s="1415"/>
      <c r="EL610" s="1416"/>
      <c r="EM610" s="1414" t="str">
        <f t="shared" si="21"/>
        <v xml:space="preserve"> </v>
      </c>
      <c r="EN610" s="1415"/>
      <c r="EO610" s="1415"/>
      <c r="EP610" s="1415"/>
      <c r="EQ610" s="1416"/>
      <c r="ER610" s="1414" t="str">
        <f t="shared" si="22"/>
        <v xml:space="preserve"> </v>
      </c>
      <c r="ES610" s="1415"/>
      <c r="ET610" s="1415"/>
      <c r="EU610" s="1415"/>
      <c r="EV610" s="1416"/>
      <c r="EW610" s="1414" t="str">
        <f t="shared" si="23"/>
        <v xml:space="preserve"> </v>
      </c>
      <c r="EX610" s="1415"/>
      <c r="EY610" s="1415"/>
      <c r="EZ610" s="1415"/>
      <c r="FA610" s="1416"/>
    </row>
    <row r="611" spans="1:157" ht="13.25" customHeight="1">
      <c r="B611" t="s">
        <v>20</v>
      </c>
      <c r="N611" s="1351" t="s">
        <v>679</v>
      </c>
      <c r="O611" s="1351"/>
      <c r="U611" t="s">
        <v>20</v>
      </c>
      <c r="AG611" s="1351" t="s">
        <v>555</v>
      </c>
      <c r="AH611" s="1351"/>
      <c r="AZ611" s="3"/>
      <c r="BA611" s="3"/>
      <c r="BB611" s="3"/>
      <c r="BC611" s="3"/>
      <c r="BD611" s="3"/>
      <c r="BE611" s="1414">
        <f t="shared" si="2"/>
        <v>1</v>
      </c>
      <c r="BF611" s="1416"/>
      <c r="BG611" s="1427">
        <f t="shared" si="3"/>
        <v>21</v>
      </c>
      <c r="BH611" s="1428"/>
      <c r="BI611" s="1414">
        <f t="shared" si="4"/>
        <v>0</v>
      </c>
      <c r="BJ611" s="1416"/>
      <c r="BK611" s="1427">
        <f t="shared" si="5"/>
        <v>0</v>
      </c>
      <c r="BL611" s="1428"/>
      <c r="BM611" s="3"/>
      <c r="BN611" s="1408">
        <f t="shared" si="6"/>
        <v>0</v>
      </c>
      <c r="BO611" s="1409"/>
      <c r="BP611" s="1409"/>
      <c r="BQ611" s="1409"/>
      <c r="BR611" s="1410"/>
      <c r="BS611" s="1417">
        <f t="shared" si="7"/>
        <v>0</v>
      </c>
      <c r="BT611" s="1417"/>
      <c r="BU611" s="1417"/>
      <c r="BV611" s="1417"/>
      <c r="BW611" s="1417"/>
      <c r="BX611" s="1417">
        <f t="shared" si="8"/>
        <v>21</v>
      </c>
      <c r="BY611" s="1417"/>
      <c r="BZ611" s="1417"/>
      <c r="CA611" s="1417"/>
      <c r="CB611" s="1417"/>
      <c r="CC611" s="1417">
        <f t="shared" si="9"/>
        <v>0</v>
      </c>
      <c r="CD611" s="1417"/>
      <c r="CE611" s="1417"/>
      <c r="CF611" s="1417"/>
      <c r="CG611" s="1417"/>
      <c r="CH611" s="1417">
        <f t="shared" si="10"/>
        <v>0</v>
      </c>
      <c r="CI611" s="1417"/>
      <c r="CJ611" s="1417"/>
      <c r="CK611" s="1417"/>
      <c r="CL611" s="1417"/>
      <c r="CM611" s="1417">
        <f t="shared" si="11"/>
        <v>0</v>
      </c>
      <c r="CN611" s="1417"/>
      <c r="CO611" s="1417"/>
      <c r="CP611" s="1417"/>
      <c r="CQ611" s="1417"/>
      <c r="CR611" s="6"/>
      <c r="CS611" s="1418">
        <f t="shared" si="12"/>
        <v>0</v>
      </c>
      <c r="CT611" s="1418"/>
      <c r="CU611" s="1418"/>
      <c r="CV611" s="1418"/>
      <c r="CW611" s="1418"/>
      <c r="CX611" s="1418">
        <f t="shared" si="13"/>
        <v>0</v>
      </c>
      <c r="CY611" s="1418"/>
      <c r="CZ611" s="1418"/>
      <c r="DA611" s="1418"/>
      <c r="DB611" s="1418"/>
      <c r="DC611" s="1418">
        <f t="shared" si="14"/>
        <v>0</v>
      </c>
      <c r="DD611" s="1418"/>
      <c r="DE611" s="1418"/>
      <c r="DF611" s="1418"/>
      <c r="DG611" s="1418"/>
      <c r="DH611" s="1418">
        <f t="shared" si="15"/>
        <v>0</v>
      </c>
      <c r="DI611" s="1418"/>
      <c r="DJ611" s="1418"/>
      <c r="DK611" s="1418"/>
      <c r="DL611" s="1418"/>
      <c r="DM611" s="1418">
        <f t="shared" si="16"/>
        <v>0</v>
      </c>
      <c r="DN611" s="1418"/>
      <c r="DO611" s="1418"/>
      <c r="DP611" s="1418"/>
      <c r="DQ611" s="1418"/>
      <c r="DR611" s="1418">
        <f t="shared" si="17"/>
        <v>0</v>
      </c>
      <c r="DS611" s="1418"/>
      <c r="DT611" s="1418"/>
      <c r="DU611" s="1418"/>
      <c r="DV611" s="1418"/>
      <c r="DX611" s="1414" t="str">
        <f t="shared" si="18"/>
        <v xml:space="preserve"> </v>
      </c>
      <c r="DY611" s="1415"/>
      <c r="DZ611" s="1415"/>
      <c r="EA611" s="1415"/>
      <c r="EB611" s="1416"/>
      <c r="EC611" s="1414" t="str">
        <f t="shared" si="19"/>
        <v xml:space="preserve"> </v>
      </c>
      <c r="ED611" s="1415"/>
      <c r="EE611" s="1415"/>
      <c r="EF611" s="1415"/>
      <c r="EG611" s="1416"/>
      <c r="EH611" s="1414">
        <f t="shared" si="20"/>
        <v>1913</v>
      </c>
      <c r="EI611" s="1415"/>
      <c r="EJ611" s="1415"/>
      <c r="EK611" s="1415"/>
      <c r="EL611" s="1416"/>
      <c r="EM611" s="1414" t="str">
        <f t="shared" si="21"/>
        <v xml:space="preserve"> </v>
      </c>
      <c r="EN611" s="1415"/>
      <c r="EO611" s="1415"/>
      <c r="EP611" s="1415"/>
      <c r="EQ611" s="1416"/>
      <c r="ER611" s="1414" t="str">
        <f t="shared" si="22"/>
        <v xml:space="preserve"> </v>
      </c>
      <c r="ES611" s="1415"/>
      <c r="ET611" s="1415"/>
      <c r="EU611" s="1415"/>
      <c r="EV611" s="1416"/>
      <c r="EW611" s="1414" t="str">
        <f t="shared" si="23"/>
        <v xml:space="preserve"> </v>
      </c>
      <c r="EX611" s="1415"/>
      <c r="EY611" s="1415"/>
      <c r="EZ611" s="1415"/>
      <c r="FA611" s="1416"/>
    </row>
    <row r="612" spans="1:157" ht="13.25" customHeight="1">
      <c r="AZ612" s="3"/>
      <c r="BA612" s="3"/>
      <c r="BB612" s="3"/>
      <c r="BC612" s="3"/>
      <c r="BD612" s="3"/>
      <c r="BE612" s="1414">
        <f t="shared" si="2"/>
        <v>1</v>
      </c>
      <c r="BF612" s="1416"/>
      <c r="BG612" s="1427">
        <f t="shared" si="3"/>
        <v>1</v>
      </c>
      <c r="BH612" s="1428"/>
      <c r="BI612" s="1414">
        <f t="shared" si="4"/>
        <v>0</v>
      </c>
      <c r="BJ612" s="1416"/>
      <c r="BK612" s="1427">
        <f t="shared" si="5"/>
        <v>0</v>
      </c>
      <c r="BL612" s="1428"/>
      <c r="BM612" s="3"/>
      <c r="BN612" s="1408">
        <f t="shared" si="6"/>
        <v>0</v>
      </c>
      <c r="BO612" s="1409"/>
      <c r="BP612" s="1409"/>
      <c r="BQ612" s="1409"/>
      <c r="BR612" s="1410"/>
      <c r="BS612" s="1417">
        <f t="shared" si="7"/>
        <v>0</v>
      </c>
      <c r="BT612" s="1417"/>
      <c r="BU612" s="1417"/>
      <c r="BV612" s="1417"/>
      <c r="BW612" s="1417"/>
      <c r="BX612" s="1417">
        <f t="shared" si="8"/>
        <v>1</v>
      </c>
      <c r="BY612" s="1417"/>
      <c r="BZ612" s="1417"/>
      <c r="CA612" s="1417"/>
      <c r="CB612" s="1417"/>
      <c r="CC612" s="1417">
        <f t="shared" si="9"/>
        <v>0</v>
      </c>
      <c r="CD612" s="1417"/>
      <c r="CE612" s="1417"/>
      <c r="CF612" s="1417"/>
      <c r="CG612" s="1417"/>
      <c r="CH612" s="1417">
        <f t="shared" si="10"/>
        <v>0</v>
      </c>
      <c r="CI612" s="1417"/>
      <c r="CJ612" s="1417"/>
      <c r="CK612" s="1417"/>
      <c r="CL612" s="1417"/>
      <c r="CM612" s="1417">
        <f t="shared" si="11"/>
        <v>0</v>
      </c>
      <c r="CN612" s="1417"/>
      <c r="CO612" s="1417"/>
      <c r="CP612" s="1417"/>
      <c r="CQ612" s="1417"/>
      <c r="CR612" s="6"/>
      <c r="CS612" s="1418">
        <f t="shared" si="12"/>
        <v>0</v>
      </c>
      <c r="CT612" s="1418"/>
      <c r="CU612" s="1418"/>
      <c r="CV612" s="1418"/>
      <c r="CW612" s="1418"/>
      <c r="CX612" s="1418">
        <f t="shared" si="13"/>
        <v>0</v>
      </c>
      <c r="CY612" s="1418"/>
      <c r="CZ612" s="1418"/>
      <c r="DA612" s="1418"/>
      <c r="DB612" s="1418"/>
      <c r="DC612" s="1418">
        <f t="shared" si="14"/>
        <v>0</v>
      </c>
      <c r="DD612" s="1418"/>
      <c r="DE612" s="1418"/>
      <c r="DF612" s="1418"/>
      <c r="DG612" s="1418"/>
      <c r="DH612" s="1418">
        <f t="shared" si="15"/>
        <v>0</v>
      </c>
      <c r="DI612" s="1418"/>
      <c r="DJ612" s="1418"/>
      <c r="DK612" s="1418"/>
      <c r="DL612" s="1418"/>
      <c r="DM612" s="1418">
        <f t="shared" si="16"/>
        <v>0</v>
      </c>
      <c r="DN612" s="1418"/>
      <c r="DO612" s="1418"/>
      <c r="DP612" s="1418"/>
      <c r="DQ612" s="1418"/>
      <c r="DR612" s="1418">
        <f t="shared" si="17"/>
        <v>0</v>
      </c>
      <c r="DS612" s="1418"/>
      <c r="DT612" s="1418"/>
      <c r="DU612" s="1418"/>
      <c r="DV612" s="1418"/>
      <c r="DX612" s="1414" t="str">
        <f t="shared" si="18"/>
        <v xml:space="preserve"> </v>
      </c>
      <c r="DY612" s="1415"/>
      <c r="DZ612" s="1415"/>
      <c r="EA612" s="1415"/>
      <c r="EB612" s="1416"/>
      <c r="EC612" s="1414" t="str">
        <f t="shared" si="19"/>
        <v xml:space="preserve"> </v>
      </c>
      <c r="ED612" s="1415"/>
      <c r="EE612" s="1415"/>
      <c r="EF612" s="1415"/>
      <c r="EG612" s="1416"/>
      <c r="EH612" s="1414">
        <f t="shared" si="20"/>
        <v>1913</v>
      </c>
      <c r="EI612" s="1415"/>
      <c r="EJ612" s="1415"/>
      <c r="EK612" s="1415"/>
      <c r="EL612" s="1416"/>
      <c r="EM612" s="1414" t="str">
        <f t="shared" si="21"/>
        <v xml:space="preserve"> </v>
      </c>
      <c r="EN612" s="1415"/>
      <c r="EO612" s="1415"/>
      <c r="EP612" s="1415"/>
      <c r="EQ612" s="1416"/>
      <c r="ER612" s="1414" t="str">
        <f t="shared" si="22"/>
        <v xml:space="preserve"> </v>
      </c>
      <c r="ES612" s="1415"/>
      <c r="ET612" s="1415"/>
      <c r="EU612" s="1415"/>
      <c r="EV612" s="1416"/>
      <c r="EW612" s="1414" t="str">
        <f t="shared" si="23"/>
        <v xml:space="preserve"> </v>
      </c>
      <c r="EX612" s="1415"/>
      <c r="EY612" s="1415"/>
      <c r="EZ612" s="1415"/>
      <c r="FA612" s="1416"/>
    </row>
    <row r="613" spans="1:157" ht="13.25" customHeight="1">
      <c r="A613" s="1257" t="s">
        <v>554</v>
      </c>
      <c r="B613" s="1257"/>
      <c r="C613" s="1257"/>
      <c r="D613" s="1257"/>
      <c r="E613" s="1257"/>
      <c r="F613" s="1257"/>
      <c r="G613" s="1257"/>
      <c r="H613" s="1257"/>
      <c r="I613" s="1257"/>
      <c r="J613" s="1257"/>
      <c r="K613" s="1257"/>
      <c r="L613" s="1257"/>
      <c r="M613" s="1257"/>
      <c r="N613" s="1257"/>
      <c r="O613" s="1257"/>
      <c r="P613" s="1257"/>
      <c r="Q613" s="1257"/>
      <c r="R613" s="1257"/>
      <c r="S613" s="1257"/>
      <c r="T613" s="1257"/>
      <c r="U613" s="1257"/>
      <c r="V613" s="1257"/>
      <c r="W613" s="1257"/>
      <c r="X613" s="1257"/>
      <c r="Y613" s="1257"/>
      <c r="Z613" s="1257"/>
      <c r="AA613" s="1257"/>
      <c r="AB613" s="1257"/>
      <c r="AC613" s="1257"/>
      <c r="AD613" s="1257"/>
      <c r="AE613" s="1257"/>
      <c r="AF613" s="1257"/>
      <c r="AG613" s="1257"/>
      <c r="AH613" s="1257"/>
      <c r="AI613" s="1257"/>
      <c r="AJ613" s="1257"/>
      <c r="AK613" s="1257"/>
      <c r="AL613" s="1257"/>
      <c r="AM613" s="1257"/>
      <c r="AN613" s="1257"/>
      <c r="AO613" s="1257"/>
      <c r="AP613" s="1257"/>
      <c r="AQ613" s="1257"/>
      <c r="AR613" s="1257"/>
      <c r="AS613" s="1257"/>
      <c r="AT613" s="927"/>
      <c r="AU613" s="927"/>
      <c r="AV613" s="927"/>
      <c r="AW613" s="927"/>
      <c r="AX613" s="927"/>
      <c r="AY613" s="927"/>
      <c r="AZ613" s="3"/>
      <c r="BA613" s="3"/>
      <c r="BB613" s="3"/>
      <c r="BC613" s="3"/>
      <c r="BD613" s="3"/>
      <c r="BE613" s="1414">
        <f t="shared" si="2"/>
        <v>1</v>
      </c>
      <c r="BF613" s="1416"/>
      <c r="BG613" s="1427">
        <f t="shared" si="3"/>
        <v>3</v>
      </c>
      <c r="BH613" s="1428"/>
      <c r="BI613" s="1414">
        <f t="shared" si="4"/>
        <v>0</v>
      </c>
      <c r="BJ613" s="1416"/>
      <c r="BK613" s="1427">
        <f t="shared" si="5"/>
        <v>0</v>
      </c>
      <c r="BL613" s="1428"/>
      <c r="BM613" s="3"/>
      <c r="BN613" s="1408">
        <f t="shared" si="6"/>
        <v>0</v>
      </c>
      <c r="BO613" s="1409"/>
      <c r="BP613" s="1409"/>
      <c r="BQ613" s="1409"/>
      <c r="BR613" s="1410"/>
      <c r="BS613" s="1417">
        <f t="shared" si="7"/>
        <v>0</v>
      </c>
      <c r="BT613" s="1417"/>
      <c r="BU613" s="1417"/>
      <c r="BV613" s="1417"/>
      <c r="BW613" s="1417"/>
      <c r="BX613" s="1417">
        <f t="shared" si="8"/>
        <v>0</v>
      </c>
      <c r="BY613" s="1417"/>
      <c r="BZ613" s="1417"/>
      <c r="CA613" s="1417"/>
      <c r="CB613" s="1417"/>
      <c r="CC613" s="1417">
        <f t="shared" si="9"/>
        <v>3</v>
      </c>
      <c r="CD613" s="1417"/>
      <c r="CE613" s="1417"/>
      <c r="CF613" s="1417"/>
      <c r="CG613" s="1417"/>
      <c r="CH613" s="1417">
        <f t="shared" si="10"/>
        <v>0</v>
      </c>
      <c r="CI613" s="1417"/>
      <c r="CJ613" s="1417"/>
      <c r="CK613" s="1417"/>
      <c r="CL613" s="1417"/>
      <c r="CM613" s="1417">
        <f t="shared" si="11"/>
        <v>0</v>
      </c>
      <c r="CN613" s="1417"/>
      <c r="CO613" s="1417"/>
      <c r="CP613" s="1417"/>
      <c r="CQ613" s="1417"/>
      <c r="CR613" s="6"/>
      <c r="CS613" s="1418">
        <f t="shared" si="12"/>
        <v>0</v>
      </c>
      <c r="CT613" s="1418"/>
      <c r="CU613" s="1418"/>
      <c r="CV613" s="1418"/>
      <c r="CW613" s="1418"/>
      <c r="CX613" s="1418">
        <f t="shared" si="13"/>
        <v>0</v>
      </c>
      <c r="CY613" s="1418"/>
      <c r="CZ613" s="1418"/>
      <c r="DA613" s="1418"/>
      <c r="DB613" s="1418"/>
      <c r="DC613" s="1418">
        <f t="shared" si="14"/>
        <v>0</v>
      </c>
      <c r="DD613" s="1418"/>
      <c r="DE613" s="1418"/>
      <c r="DF613" s="1418"/>
      <c r="DG613" s="1418"/>
      <c r="DH613" s="1418">
        <f t="shared" si="15"/>
        <v>0</v>
      </c>
      <c r="DI613" s="1418"/>
      <c r="DJ613" s="1418"/>
      <c r="DK613" s="1418"/>
      <c r="DL613" s="1418"/>
      <c r="DM613" s="1418">
        <f t="shared" si="16"/>
        <v>0</v>
      </c>
      <c r="DN613" s="1418"/>
      <c r="DO613" s="1418"/>
      <c r="DP613" s="1418"/>
      <c r="DQ613" s="1418"/>
      <c r="DR613" s="1418">
        <f t="shared" si="17"/>
        <v>0</v>
      </c>
      <c r="DS613" s="1418"/>
      <c r="DT613" s="1418"/>
      <c r="DU613" s="1418"/>
      <c r="DV613" s="1418"/>
      <c r="DX613" s="1414" t="str">
        <f t="shared" si="18"/>
        <v xml:space="preserve"> </v>
      </c>
      <c r="DY613" s="1415"/>
      <c r="DZ613" s="1415"/>
      <c r="EA613" s="1415"/>
      <c r="EB613" s="1416"/>
      <c r="EC613" s="1414" t="str">
        <f t="shared" si="19"/>
        <v xml:space="preserve"> </v>
      </c>
      <c r="ED613" s="1415"/>
      <c r="EE613" s="1415"/>
      <c r="EF613" s="1415"/>
      <c r="EG613" s="1416"/>
      <c r="EH613" s="1414" t="str">
        <f t="shared" si="20"/>
        <v xml:space="preserve"> </v>
      </c>
      <c r="EI613" s="1415"/>
      <c r="EJ613" s="1415"/>
      <c r="EK613" s="1415"/>
      <c r="EL613" s="1416"/>
      <c r="EM613" s="1414">
        <f t="shared" si="21"/>
        <v>2189</v>
      </c>
      <c r="EN613" s="1415"/>
      <c r="EO613" s="1415"/>
      <c r="EP613" s="1415"/>
      <c r="EQ613" s="1416"/>
      <c r="ER613" s="1414" t="str">
        <f t="shared" si="22"/>
        <v xml:space="preserve"> </v>
      </c>
      <c r="ES613" s="1415"/>
      <c r="ET613" s="1415"/>
      <c r="EU613" s="1415"/>
      <c r="EV613" s="1416"/>
      <c r="EW613" s="1414" t="str">
        <f t="shared" si="23"/>
        <v xml:space="preserve"> </v>
      </c>
      <c r="EX613" s="1415"/>
      <c r="EY613" s="1415"/>
      <c r="EZ613" s="1415"/>
      <c r="FA613" s="1416"/>
    </row>
    <row r="614" spans="1:157" ht="13.25" customHeight="1">
      <c r="A614" s="1257"/>
      <c r="B614" s="1257"/>
      <c r="C614" s="1257"/>
      <c r="D614" s="1257"/>
      <c r="E614" s="1257"/>
      <c r="F614" s="1257"/>
      <c r="G614" s="1257"/>
      <c r="H614" s="1257"/>
      <c r="I614" s="1257"/>
      <c r="J614" s="1257"/>
      <c r="K614" s="1257"/>
      <c r="L614" s="1257"/>
      <c r="M614" s="1257"/>
      <c r="N614" s="1257"/>
      <c r="O614" s="1257"/>
      <c r="P614" s="1257"/>
      <c r="Q614" s="1257"/>
      <c r="R614" s="1257"/>
      <c r="S614" s="1257"/>
      <c r="T614" s="1257"/>
      <c r="U614" s="1257"/>
      <c r="V614" s="1257"/>
      <c r="W614" s="1257"/>
      <c r="X614" s="1257"/>
      <c r="Y614" s="1257"/>
      <c r="Z614" s="1257"/>
      <c r="AA614" s="1257"/>
      <c r="AB614" s="1257"/>
      <c r="AC614" s="1257"/>
      <c r="AD614" s="1257"/>
      <c r="AE614" s="1257"/>
      <c r="AF614" s="1257"/>
      <c r="AG614" s="1257"/>
      <c r="AH614" s="1257"/>
      <c r="AI614" s="1257"/>
      <c r="AJ614" s="1257"/>
      <c r="AK614" s="1257"/>
      <c r="AL614" s="1257"/>
      <c r="AM614" s="1257"/>
      <c r="AN614" s="1257"/>
      <c r="AO614" s="1257"/>
      <c r="AP614" s="1257"/>
      <c r="AQ614" s="1257"/>
      <c r="AR614" s="1257"/>
      <c r="AS614" s="1257"/>
      <c r="AT614" s="927"/>
      <c r="AU614" s="927"/>
      <c r="AV614" s="927"/>
      <c r="AW614" s="927"/>
      <c r="AX614" s="927"/>
      <c r="AY614" s="927"/>
      <c r="AZ614" s="3"/>
      <c r="BA614" s="3"/>
      <c r="BB614" s="3"/>
      <c r="BC614" s="3"/>
      <c r="BD614" s="3"/>
      <c r="BE614" s="1414">
        <f t="shared" si="2"/>
        <v>1</v>
      </c>
      <c r="BF614" s="1416"/>
      <c r="BG614" s="1427">
        <f t="shared" si="3"/>
        <v>1</v>
      </c>
      <c r="BH614" s="1428"/>
      <c r="BI614" s="1414">
        <f t="shared" si="4"/>
        <v>0</v>
      </c>
      <c r="BJ614" s="1416"/>
      <c r="BK614" s="1427">
        <f t="shared" si="5"/>
        <v>0</v>
      </c>
      <c r="BL614" s="1428"/>
      <c r="BM614" s="3"/>
      <c r="BN614" s="1408">
        <f t="shared" si="6"/>
        <v>0</v>
      </c>
      <c r="BO614" s="1409"/>
      <c r="BP614" s="1409"/>
      <c r="BQ614" s="1409"/>
      <c r="BR614" s="1410"/>
      <c r="BS614" s="1417">
        <f t="shared" si="7"/>
        <v>0</v>
      </c>
      <c r="BT614" s="1417"/>
      <c r="BU614" s="1417"/>
      <c r="BV614" s="1417"/>
      <c r="BW614" s="1417"/>
      <c r="BX614" s="1417">
        <f t="shared" si="8"/>
        <v>0</v>
      </c>
      <c r="BY614" s="1417"/>
      <c r="BZ614" s="1417"/>
      <c r="CA614" s="1417"/>
      <c r="CB614" s="1417"/>
      <c r="CC614" s="1417">
        <f t="shared" si="9"/>
        <v>1</v>
      </c>
      <c r="CD614" s="1417"/>
      <c r="CE614" s="1417"/>
      <c r="CF614" s="1417"/>
      <c r="CG614" s="1417"/>
      <c r="CH614" s="1417">
        <f t="shared" si="10"/>
        <v>0</v>
      </c>
      <c r="CI614" s="1417"/>
      <c r="CJ614" s="1417"/>
      <c r="CK614" s="1417"/>
      <c r="CL614" s="1417"/>
      <c r="CM614" s="1417">
        <f t="shared" si="11"/>
        <v>0</v>
      </c>
      <c r="CN614" s="1417"/>
      <c r="CO614" s="1417"/>
      <c r="CP614" s="1417"/>
      <c r="CQ614" s="1417"/>
      <c r="CR614" s="6"/>
      <c r="CS614" s="1418">
        <f t="shared" si="12"/>
        <v>0</v>
      </c>
      <c r="CT614" s="1418"/>
      <c r="CU614" s="1418"/>
      <c r="CV614" s="1418"/>
      <c r="CW614" s="1418"/>
      <c r="CX614" s="1418">
        <f t="shared" si="13"/>
        <v>0</v>
      </c>
      <c r="CY614" s="1418"/>
      <c r="CZ614" s="1418"/>
      <c r="DA614" s="1418"/>
      <c r="DB614" s="1418"/>
      <c r="DC614" s="1418">
        <f t="shared" si="14"/>
        <v>0</v>
      </c>
      <c r="DD614" s="1418"/>
      <c r="DE614" s="1418"/>
      <c r="DF614" s="1418"/>
      <c r="DG614" s="1418"/>
      <c r="DH614" s="1418">
        <f t="shared" si="15"/>
        <v>0</v>
      </c>
      <c r="DI614" s="1418"/>
      <c r="DJ614" s="1418"/>
      <c r="DK614" s="1418"/>
      <c r="DL614" s="1418"/>
      <c r="DM614" s="1418">
        <f t="shared" si="16"/>
        <v>0</v>
      </c>
      <c r="DN614" s="1418"/>
      <c r="DO614" s="1418"/>
      <c r="DP614" s="1418"/>
      <c r="DQ614" s="1418"/>
      <c r="DR614" s="1418">
        <f t="shared" si="17"/>
        <v>0</v>
      </c>
      <c r="DS614" s="1418"/>
      <c r="DT614" s="1418"/>
      <c r="DU614" s="1418"/>
      <c r="DV614" s="1418"/>
      <c r="DX614" s="1414" t="str">
        <f t="shared" si="18"/>
        <v xml:space="preserve"> </v>
      </c>
      <c r="DY614" s="1415"/>
      <c r="DZ614" s="1415"/>
      <c r="EA614" s="1415"/>
      <c r="EB614" s="1416"/>
      <c r="EC614" s="1414" t="str">
        <f t="shared" si="19"/>
        <v xml:space="preserve"> </v>
      </c>
      <c r="ED614" s="1415"/>
      <c r="EE614" s="1415"/>
      <c r="EF614" s="1415"/>
      <c r="EG614" s="1416"/>
      <c r="EH614" s="1414" t="str">
        <f t="shared" si="20"/>
        <v xml:space="preserve"> </v>
      </c>
      <c r="EI614" s="1415"/>
      <c r="EJ614" s="1415"/>
      <c r="EK614" s="1415"/>
      <c r="EL614" s="1416"/>
      <c r="EM614" s="1414">
        <f t="shared" si="21"/>
        <v>2189</v>
      </c>
      <c r="EN614" s="1415"/>
      <c r="EO614" s="1415"/>
      <c r="EP614" s="1415"/>
      <c r="EQ614" s="1416"/>
      <c r="ER614" s="1414" t="str">
        <f t="shared" si="22"/>
        <v xml:space="preserve"> </v>
      </c>
      <c r="ES614" s="1415"/>
      <c r="ET614" s="1415"/>
      <c r="EU614" s="1415"/>
      <c r="EV614" s="1416"/>
      <c r="EW614" s="1414" t="str">
        <f t="shared" si="23"/>
        <v xml:space="preserve"> </v>
      </c>
      <c r="EX614" s="1415"/>
      <c r="EY614" s="1415"/>
      <c r="EZ614" s="1415"/>
      <c r="FA614" s="1416"/>
    </row>
    <row r="615" spans="1:157" ht="13.25" customHeight="1">
      <c r="AZ615" s="3"/>
      <c r="BA615" s="3"/>
      <c r="BB615" s="3"/>
      <c r="BC615" s="3"/>
      <c r="BD615" s="3"/>
      <c r="BE615" s="1414">
        <f t="shared" si="2"/>
        <v>1</v>
      </c>
      <c r="BF615" s="1416"/>
      <c r="BG615" s="1427">
        <f t="shared" si="3"/>
        <v>2</v>
      </c>
      <c r="BH615" s="1428"/>
      <c r="BI615" s="1414">
        <f t="shared" si="4"/>
        <v>0</v>
      </c>
      <c r="BJ615" s="1416"/>
      <c r="BK615" s="1427">
        <f t="shared" si="5"/>
        <v>0</v>
      </c>
      <c r="BL615" s="1428"/>
      <c r="BM615" s="3"/>
      <c r="BN615" s="1408">
        <f t="shared" si="6"/>
        <v>0</v>
      </c>
      <c r="BO615" s="1409"/>
      <c r="BP615" s="1409"/>
      <c r="BQ615" s="1409"/>
      <c r="BR615" s="1410"/>
      <c r="BS615" s="1417">
        <f t="shared" si="7"/>
        <v>0</v>
      </c>
      <c r="BT615" s="1417"/>
      <c r="BU615" s="1417"/>
      <c r="BV615" s="1417"/>
      <c r="BW615" s="1417"/>
      <c r="BX615" s="1417">
        <f t="shared" si="8"/>
        <v>0</v>
      </c>
      <c r="BY615" s="1417"/>
      <c r="BZ615" s="1417"/>
      <c r="CA615" s="1417"/>
      <c r="CB615" s="1417"/>
      <c r="CC615" s="1417">
        <f t="shared" si="9"/>
        <v>0</v>
      </c>
      <c r="CD615" s="1417"/>
      <c r="CE615" s="1417"/>
      <c r="CF615" s="1417"/>
      <c r="CG615" s="1417"/>
      <c r="CH615" s="1417">
        <f t="shared" si="10"/>
        <v>2</v>
      </c>
      <c r="CI615" s="1417"/>
      <c r="CJ615" s="1417"/>
      <c r="CK615" s="1417"/>
      <c r="CL615" s="1417"/>
      <c r="CM615" s="1417">
        <f t="shared" si="11"/>
        <v>0</v>
      </c>
      <c r="CN615" s="1417"/>
      <c r="CO615" s="1417"/>
      <c r="CP615" s="1417"/>
      <c r="CQ615" s="1417"/>
      <c r="CR615" s="6"/>
      <c r="CS615" s="1418">
        <f t="shared" si="12"/>
        <v>0</v>
      </c>
      <c r="CT615" s="1418"/>
      <c r="CU615" s="1418"/>
      <c r="CV615" s="1418"/>
      <c r="CW615" s="1418"/>
      <c r="CX615" s="1418">
        <f t="shared" si="13"/>
        <v>0</v>
      </c>
      <c r="CY615" s="1418"/>
      <c r="CZ615" s="1418"/>
      <c r="DA615" s="1418"/>
      <c r="DB615" s="1418"/>
      <c r="DC615" s="1418">
        <f t="shared" si="14"/>
        <v>0</v>
      </c>
      <c r="DD615" s="1418"/>
      <c r="DE615" s="1418"/>
      <c r="DF615" s="1418"/>
      <c r="DG615" s="1418"/>
      <c r="DH615" s="1418">
        <f t="shared" si="15"/>
        <v>0</v>
      </c>
      <c r="DI615" s="1418"/>
      <c r="DJ615" s="1418"/>
      <c r="DK615" s="1418"/>
      <c r="DL615" s="1418"/>
      <c r="DM615" s="1418">
        <f t="shared" si="16"/>
        <v>0</v>
      </c>
      <c r="DN615" s="1418"/>
      <c r="DO615" s="1418"/>
      <c r="DP615" s="1418"/>
      <c r="DQ615" s="1418"/>
      <c r="DR615" s="1418">
        <f t="shared" si="17"/>
        <v>0</v>
      </c>
      <c r="DS615" s="1418"/>
      <c r="DT615" s="1418"/>
      <c r="DU615" s="1418"/>
      <c r="DV615" s="1418"/>
      <c r="DX615" s="1414" t="str">
        <f t="shared" si="18"/>
        <v xml:space="preserve"> </v>
      </c>
      <c r="DY615" s="1415"/>
      <c r="DZ615" s="1415"/>
      <c r="EA615" s="1415"/>
      <c r="EB615" s="1416"/>
      <c r="EC615" s="1414" t="str">
        <f t="shared" si="19"/>
        <v xml:space="preserve"> </v>
      </c>
      <c r="ED615" s="1415"/>
      <c r="EE615" s="1415"/>
      <c r="EF615" s="1415"/>
      <c r="EG615" s="1416"/>
      <c r="EH615" s="1414" t="str">
        <f t="shared" si="20"/>
        <v xml:space="preserve"> </v>
      </c>
      <c r="EI615" s="1415"/>
      <c r="EJ615" s="1415"/>
      <c r="EK615" s="1415"/>
      <c r="EL615" s="1416"/>
      <c r="EM615" s="1414" t="str">
        <f t="shared" si="21"/>
        <v xml:space="preserve"> </v>
      </c>
      <c r="EN615" s="1415"/>
      <c r="EO615" s="1415"/>
      <c r="EP615" s="1415"/>
      <c r="EQ615" s="1416"/>
      <c r="ER615" s="1414">
        <f t="shared" si="22"/>
        <v>2418</v>
      </c>
      <c r="ES615" s="1415"/>
      <c r="ET615" s="1415"/>
      <c r="EU615" s="1415"/>
      <c r="EV615" s="1416"/>
      <c r="EW615" s="1414" t="str">
        <f t="shared" si="23"/>
        <v xml:space="preserve"> </v>
      </c>
      <c r="EX615" s="1415"/>
      <c r="EY615" s="1415"/>
      <c r="EZ615" s="1415"/>
      <c r="FA615" s="1416"/>
    </row>
    <row r="616" spans="1:157" ht="13.25" customHeight="1">
      <c r="A616" s="2" t="s">
        <v>321</v>
      </c>
      <c r="B616" s="2"/>
      <c r="C616" s="2" t="s">
        <v>21</v>
      </c>
      <c r="AZ616" s="3"/>
      <c r="BA616" s="3"/>
      <c r="BB616" s="3"/>
      <c r="BC616" s="3"/>
      <c r="BD616" s="3"/>
      <c r="BE616" s="1414">
        <f t="shared" si="2"/>
        <v>0</v>
      </c>
      <c r="BF616" s="1416"/>
      <c r="BG616" s="1427">
        <f t="shared" si="3"/>
        <v>0</v>
      </c>
      <c r="BH616" s="1428"/>
      <c r="BI616" s="1414">
        <f t="shared" si="4"/>
        <v>0</v>
      </c>
      <c r="BJ616" s="1416"/>
      <c r="BK616" s="1427">
        <f t="shared" si="5"/>
        <v>0</v>
      </c>
      <c r="BL616" s="1428"/>
      <c r="BM616" s="3"/>
      <c r="BN616" s="1408">
        <f t="shared" si="6"/>
        <v>0</v>
      </c>
      <c r="BO616" s="1409"/>
      <c r="BP616" s="1409"/>
      <c r="BQ616" s="1409"/>
      <c r="BR616" s="1410"/>
      <c r="BS616" s="1417">
        <f t="shared" si="7"/>
        <v>4</v>
      </c>
      <c r="BT616" s="1417"/>
      <c r="BU616" s="1417"/>
      <c r="BV616" s="1417"/>
      <c r="BW616" s="1417"/>
      <c r="BX616" s="1417">
        <f t="shared" si="8"/>
        <v>0</v>
      </c>
      <c r="BY616" s="1417"/>
      <c r="BZ616" s="1417"/>
      <c r="CA616" s="1417"/>
      <c r="CB616" s="1417"/>
      <c r="CC616" s="1417">
        <f t="shared" si="9"/>
        <v>0</v>
      </c>
      <c r="CD616" s="1417"/>
      <c r="CE616" s="1417"/>
      <c r="CF616" s="1417"/>
      <c r="CG616" s="1417"/>
      <c r="CH616" s="1417">
        <f t="shared" si="10"/>
        <v>0</v>
      </c>
      <c r="CI616" s="1417"/>
      <c r="CJ616" s="1417"/>
      <c r="CK616" s="1417"/>
      <c r="CL616" s="1417"/>
      <c r="CM616" s="1417">
        <f t="shared" si="11"/>
        <v>0</v>
      </c>
      <c r="CN616" s="1417"/>
      <c r="CO616" s="1417"/>
      <c r="CP616" s="1417"/>
      <c r="CQ616" s="1417"/>
      <c r="CR616" s="6"/>
      <c r="CS616" s="1418">
        <f t="shared" si="12"/>
        <v>0</v>
      </c>
      <c r="CT616" s="1418"/>
      <c r="CU616" s="1418"/>
      <c r="CV616" s="1418"/>
      <c r="CW616" s="1418"/>
      <c r="CX616" s="1418">
        <f t="shared" si="13"/>
        <v>0</v>
      </c>
      <c r="CY616" s="1418"/>
      <c r="CZ616" s="1418"/>
      <c r="DA616" s="1418"/>
      <c r="DB616" s="1418"/>
      <c r="DC616" s="1418">
        <f t="shared" si="14"/>
        <v>0</v>
      </c>
      <c r="DD616" s="1418"/>
      <c r="DE616" s="1418"/>
      <c r="DF616" s="1418"/>
      <c r="DG616" s="1418"/>
      <c r="DH616" s="1418">
        <f t="shared" si="15"/>
        <v>0</v>
      </c>
      <c r="DI616" s="1418"/>
      <c r="DJ616" s="1418"/>
      <c r="DK616" s="1418"/>
      <c r="DL616" s="1418"/>
      <c r="DM616" s="1418">
        <f t="shared" si="16"/>
        <v>0</v>
      </c>
      <c r="DN616" s="1418"/>
      <c r="DO616" s="1418"/>
      <c r="DP616" s="1418"/>
      <c r="DQ616" s="1418"/>
      <c r="DR616" s="1418">
        <f t="shared" si="17"/>
        <v>0</v>
      </c>
      <c r="DS616" s="1418"/>
      <c r="DT616" s="1418"/>
      <c r="DU616" s="1418"/>
      <c r="DV616" s="1418"/>
      <c r="DX616" s="1414" t="str">
        <f t="shared" si="18"/>
        <v xml:space="preserve"> </v>
      </c>
      <c r="DY616" s="1415"/>
      <c r="DZ616" s="1415"/>
      <c r="EA616" s="1415"/>
      <c r="EB616" s="1416"/>
      <c r="EC616" s="1414">
        <f t="shared" si="19"/>
        <v>1956</v>
      </c>
      <c r="ED616" s="1415"/>
      <c r="EE616" s="1415"/>
      <c r="EF616" s="1415"/>
      <c r="EG616" s="1416"/>
      <c r="EH616" s="1414" t="str">
        <f t="shared" si="20"/>
        <v xml:space="preserve"> </v>
      </c>
      <c r="EI616" s="1415"/>
      <c r="EJ616" s="1415"/>
      <c r="EK616" s="1415"/>
      <c r="EL616" s="1416"/>
      <c r="EM616" s="1414" t="str">
        <f t="shared" si="21"/>
        <v xml:space="preserve"> </v>
      </c>
      <c r="EN616" s="1415"/>
      <c r="EO616" s="1415"/>
      <c r="EP616" s="1415"/>
      <c r="EQ616" s="1416"/>
      <c r="ER616" s="1414" t="str">
        <f t="shared" si="22"/>
        <v xml:space="preserve"> </v>
      </c>
      <c r="ES616" s="1415"/>
      <c r="ET616" s="1415"/>
      <c r="EU616" s="1415"/>
      <c r="EV616" s="1416"/>
      <c r="EW616" s="1414" t="str">
        <f t="shared" si="23"/>
        <v xml:space="preserve"> </v>
      </c>
      <c r="EX616" s="1415"/>
      <c r="EY616" s="1415"/>
      <c r="EZ616" s="1415"/>
      <c r="FA616" s="1416"/>
    </row>
    <row r="617" spans="1:157" ht="13.25" customHeight="1">
      <c r="A617" s="2"/>
      <c r="B617" s="2"/>
      <c r="C617" s="2"/>
      <c r="AZ617" s="3"/>
      <c r="BA617" s="3"/>
      <c r="BB617" s="3"/>
      <c r="BC617" s="3"/>
      <c r="BD617" s="3"/>
      <c r="BE617" s="1414">
        <f t="shared" si="2"/>
        <v>0</v>
      </c>
      <c r="BF617" s="1416"/>
      <c r="BG617" s="1427">
        <f t="shared" si="3"/>
        <v>0</v>
      </c>
      <c r="BH617" s="1428"/>
      <c r="BI617" s="1414">
        <f t="shared" si="4"/>
        <v>0</v>
      </c>
      <c r="BJ617" s="1416"/>
      <c r="BK617" s="1427">
        <f t="shared" si="5"/>
        <v>0</v>
      </c>
      <c r="BL617" s="1428"/>
      <c r="BM617" s="3"/>
      <c r="BN617" s="1408">
        <f t="shared" si="6"/>
        <v>0</v>
      </c>
      <c r="BO617" s="1409"/>
      <c r="BP617" s="1409"/>
      <c r="BQ617" s="1409"/>
      <c r="BR617" s="1410"/>
      <c r="BS617" s="1417">
        <f t="shared" si="7"/>
        <v>0</v>
      </c>
      <c r="BT617" s="1417"/>
      <c r="BU617" s="1417"/>
      <c r="BV617" s="1417"/>
      <c r="BW617" s="1417"/>
      <c r="BX617" s="1417">
        <f t="shared" si="8"/>
        <v>24</v>
      </c>
      <c r="BY617" s="1417"/>
      <c r="BZ617" s="1417"/>
      <c r="CA617" s="1417"/>
      <c r="CB617" s="1417"/>
      <c r="CC617" s="1417">
        <f t="shared" si="9"/>
        <v>0</v>
      </c>
      <c r="CD617" s="1417"/>
      <c r="CE617" s="1417"/>
      <c r="CF617" s="1417"/>
      <c r="CG617" s="1417"/>
      <c r="CH617" s="1417">
        <f t="shared" si="10"/>
        <v>0</v>
      </c>
      <c r="CI617" s="1417"/>
      <c r="CJ617" s="1417"/>
      <c r="CK617" s="1417"/>
      <c r="CL617" s="1417"/>
      <c r="CM617" s="1417">
        <f t="shared" si="11"/>
        <v>0</v>
      </c>
      <c r="CN617" s="1417"/>
      <c r="CO617" s="1417"/>
      <c r="CP617" s="1417"/>
      <c r="CQ617" s="1417"/>
      <c r="CR617" s="6"/>
      <c r="CS617" s="1418">
        <f t="shared" si="12"/>
        <v>0</v>
      </c>
      <c r="CT617" s="1418"/>
      <c r="CU617" s="1418"/>
      <c r="CV617" s="1418"/>
      <c r="CW617" s="1418"/>
      <c r="CX617" s="1418">
        <f t="shared" si="13"/>
        <v>0</v>
      </c>
      <c r="CY617" s="1418"/>
      <c r="CZ617" s="1418"/>
      <c r="DA617" s="1418"/>
      <c r="DB617" s="1418"/>
      <c r="DC617" s="1418">
        <f t="shared" si="14"/>
        <v>0</v>
      </c>
      <c r="DD617" s="1418"/>
      <c r="DE617" s="1418"/>
      <c r="DF617" s="1418"/>
      <c r="DG617" s="1418"/>
      <c r="DH617" s="1418">
        <f t="shared" si="15"/>
        <v>0</v>
      </c>
      <c r="DI617" s="1418"/>
      <c r="DJ617" s="1418"/>
      <c r="DK617" s="1418"/>
      <c r="DL617" s="1418"/>
      <c r="DM617" s="1418">
        <f t="shared" si="16"/>
        <v>0</v>
      </c>
      <c r="DN617" s="1418"/>
      <c r="DO617" s="1418"/>
      <c r="DP617" s="1418"/>
      <c r="DQ617" s="1418"/>
      <c r="DR617" s="1418">
        <f t="shared" si="17"/>
        <v>0</v>
      </c>
      <c r="DS617" s="1418"/>
      <c r="DT617" s="1418"/>
      <c r="DU617" s="1418"/>
      <c r="DV617" s="1418"/>
      <c r="DX617" s="1414" t="str">
        <f t="shared" si="18"/>
        <v xml:space="preserve"> </v>
      </c>
      <c r="DY617" s="1415"/>
      <c r="DZ617" s="1415"/>
      <c r="EA617" s="1415"/>
      <c r="EB617" s="1416"/>
      <c r="EC617" s="1414" t="str">
        <f t="shared" si="19"/>
        <v xml:space="preserve"> </v>
      </c>
      <c r="ED617" s="1415"/>
      <c r="EE617" s="1415"/>
      <c r="EF617" s="1415"/>
      <c r="EG617" s="1416"/>
      <c r="EH617" s="1414">
        <f t="shared" si="20"/>
        <v>2028</v>
      </c>
      <c r="EI617" s="1415"/>
      <c r="EJ617" s="1415"/>
      <c r="EK617" s="1415"/>
      <c r="EL617" s="1416"/>
      <c r="EM617" s="1414" t="str">
        <f t="shared" si="21"/>
        <v xml:space="preserve"> </v>
      </c>
      <c r="EN617" s="1415"/>
      <c r="EO617" s="1415"/>
      <c r="EP617" s="1415"/>
      <c r="EQ617" s="1416"/>
      <c r="ER617" s="1414" t="str">
        <f t="shared" si="22"/>
        <v xml:space="preserve"> </v>
      </c>
      <c r="ES617" s="1415"/>
      <c r="ET617" s="1415"/>
      <c r="EU617" s="1415"/>
      <c r="EV617" s="1416"/>
      <c r="EW617" s="1414" t="str">
        <f t="shared" si="23"/>
        <v xml:space="preserve"> </v>
      </c>
      <c r="EX617" s="1415"/>
      <c r="EY617" s="1415"/>
      <c r="EZ617" s="1415"/>
      <c r="FA617" s="1416"/>
    </row>
    <row r="618" spans="1:157" ht="13.25" customHeight="1">
      <c r="C618" s="2" t="s">
        <v>2529</v>
      </c>
      <c r="AZ618" s="3"/>
      <c r="BA618" s="3"/>
      <c r="BB618" s="3"/>
      <c r="BC618" s="3"/>
      <c r="BD618" s="3"/>
      <c r="BE618" s="1414">
        <f t="shared" si="2"/>
        <v>0</v>
      </c>
      <c r="BF618" s="1416"/>
      <c r="BG618" s="1427">
        <f t="shared" si="3"/>
        <v>0</v>
      </c>
      <c r="BH618" s="1428"/>
      <c r="BI618" s="1414">
        <f t="shared" si="4"/>
        <v>0</v>
      </c>
      <c r="BJ618" s="1416"/>
      <c r="BK618" s="1427">
        <f t="shared" si="5"/>
        <v>0</v>
      </c>
      <c r="BL618" s="1428"/>
      <c r="BM618" s="3"/>
      <c r="BN618" s="1408">
        <f t="shared" si="6"/>
        <v>0</v>
      </c>
      <c r="BO618" s="1409"/>
      <c r="BP618" s="1409"/>
      <c r="BQ618" s="1409"/>
      <c r="BR618" s="1410"/>
      <c r="BS618" s="1417">
        <f t="shared" si="7"/>
        <v>0</v>
      </c>
      <c r="BT618" s="1417"/>
      <c r="BU618" s="1417"/>
      <c r="BV618" s="1417"/>
      <c r="BW618" s="1417"/>
      <c r="BX618" s="1417">
        <f t="shared" si="8"/>
        <v>0</v>
      </c>
      <c r="BY618" s="1417"/>
      <c r="BZ618" s="1417"/>
      <c r="CA618" s="1417"/>
      <c r="CB618" s="1417"/>
      <c r="CC618" s="1417">
        <f t="shared" si="9"/>
        <v>12</v>
      </c>
      <c r="CD618" s="1417"/>
      <c r="CE618" s="1417"/>
      <c r="CF618" s="1417"/>
      <c r="CG618" s="1417"/>
      <c r="CH618" s="1417">
        <f t="shared" si="10"/>
        <v>0</v>
      </c>
      <c r="CI618" s="1417"/>
      <c r="CJ618" s="1417"/>
      <c r="CK618" s="1417"/>
      <c r="CL618" s="1417"/>
      <c r="CM618" s="1417">
        <f t="shared" si="11"/>
        <v>0</v>
      </c>
      <c r="CN618" s="1417"/>
      <c r="CO618" s="1417"/>
      <c r="CP618" s="1417"/>
      <c r="CQ618" s="1417"/>
      <c r="CR618" s="6"/>
      <c r="CS618" s="1418">
        <f t="shared" si="12"/>
        <v>0</v>
      </c>
      <c r="CT618" s="1418"/>
      <c r="CU618" s="1418"/>
      <c r="CV618" s="1418"/>
      <c r="CW618" s="1418"/>
      <c r="CX618" s="1418">
        <f t="shared" si="13"/>
        <v>0</v>
      </c>
      <c r="CY618" s="1418"/>
      <c r="CZ618" s="1418"/>
      <c r="DA618" s="1418"/>
      <c r="DB618" s="1418"/>
      <c r="DC618" s="1418">
        <f t="shared" si="14"/>
        <v>0</v>
      </c>
      <c r="DD618" s="1418"/>
      <c r="DE618" s="1418"/>
      <c r="DF618" s="1418"/>
      <c r="DG618" s="1418"/>
      <c r="DH618" s="1418">
        <f t="shared" si="15"/>
        <v>0</v>
      </c>
      <c r="DI618" s="1418"/>
      <c r="DJ618" s="1418"/>
      <c r="DK618" s="1418"/>
      <c r="DL618" s="1418"/>
      <c r="DM618" s="1418">
        <f t="shared" si="16"/>
        <v>0</v>
      </c>
      <c r="DN618" s="1418"/>
      <c r="DO618" s="1418"/>
      <c r="DP618" s="1418"/>
      <c r="DQ618" s="1418"/>
      <c r="DR618" s="1418">
        <f t="shared" si="17"/>
        <v>0</v>
      </c>
      <c r="DS618" s="1418"/>
      <c r="DT618" s="1418"/>
      <c r="DU618" s="1418"/>
      <c r="DV618" s="1418"/>
      <c r="DX618" s="1414" t="str">
        <f t="shared" si="18"/>
        <v xml:space="preserve"> </v>
      </c>
      <c r="DY618" s="1415"/>
      <c r="DZ618" s="1415"/>
      <c r="EA618" s="1415"/>
      <c r="EB618" s="1416"/>
      <c r="EC618" s="1414" t="str">
        <f t="shared" si="19"/>
        <v xml:space="preserve"> </v>
      </c>
      <c r="ED618" s="1415"/>
      <c r="EE618" s="1415"/>
      <c r="EF618" s="1415"/>
      <c r="EG618" s="1416"/>
      <c r="EH618" s="1414" t="str">
        <f t="shared" si="20"/>
        <v xml:space="preserve"> </v>
      </c>
      <c r="EI618" s="1415"/>
      <c r="EJ618" s="1415"/>
      <c r="EK618" s="1415"/>
      <c r="EL618" s="1416"/>
      <c r="EM618" s="1414">
        <f t="shared" si="21"/>
        <v>2565</v>
      </c>
      <c r="EN618" s="1415"/>
      <c r="EO618" s="1415"/>
      <c r="EP618" s="1415"/>
      <c r="EQ618" s="1416"/>
      <c r="ER618" s="1414" t="str">
        <f t="shared" si="22"/>
        <v xml:space="preserve"> </v>
      </c>
      <c r="ES618" s="1415"/>
      <c r="ET618" s="1415"/>
      <c r="EU618" s="1415"/>
      <c r="EV618" s="1416"/>
      <c r="EW618" s="1414" t="str">
        <f t="shared" si="23"/>
        <v xml:space="preserve"> </v>
      </c>
      <c r="EX618" s="1415"/>
      <c r="EY618" s="1415"/>
      <c r="EZ618" s="1415"/>
      <c r="FA618" s="1416"/>
    </row>
    <row r="619" spans="1:157" ht="13.25" customHeight="1">
      <c r="B619" s="538"/>
      <c r="C619" s="2"/>
      <c r="AZ619" s="3"/>
      <c r="BA619" s="3"/>
      <c r="BB619" s="3"/>
      <c r="BC619" s="3"/>
      <c r="BD619" s="3"/>
      <c r="BE619" s="1414">
        <f t="shared" si="2"/>
        <v>0</v>
      </c>
      <c r="BF619" s="1416"/>
      <c r="BG619" s="1427">
        <f t="shared" si="3"/>
        <v>0</v>
      </c>
      <c r="BH619" s="1428"/>
      <c r="BI619" s="1414">
        <f t="shared" si="4"/>
        <v>0</v>
      </c>
      <c r="BJ619" s="1416"/>
      <c r="BK619" s="1427">
        <f t="shared" si="5"/>
        <v>0</v>
      </c>
      <c r="BL619" s="1428"/>
      <c r="BM619" s="3"/>
      <c r="BN619" s="1408">
        <f t="shared" si="6"/>
        <v>0</v>
      </c>
      <c r="BO619" s="1409"/>
      <c r="BP619" s="1409"/>
      <c r="BQ619" s="1409"/>
      <c r="BR619" s="1410"/>
      <c r="BS619" s="1417">
        <f t="shared" si="7"/>
        <v>0</v>
      </c>
      <c r="BT619" s="1417"/>
      <c r="BU619" s="1417"/>
      <c r="BV619" s="1417"/>
      <c r="BW619" s="1417"/>
      <c r="BX619" s="1417">
        <f t="shared" si="8"/>
        <v>0</v>
      </c>
      <c r="BY619" s="1417"/>
      <c r="BZ619" s="1417"/>
      <c r="CA619" s="1417"/>
      <c r="CB619" s="1417"/>
      <c r="CC619" s="1417">
        <f t="shared" si="9"/>
        <v>0</v>
      </c>
      <c r="CD619" s="1417"/>
      <c r="CE619" s="1417"/>
      <c r="CF619" s="1417"/>
      <c r="CG619" s="1417"/>
      <c r="CH619" s="1417">
        <f t="shared" si="10"/>
        <v>2</v>
      </c>
      <c r="CI619" s="1417"/>
      <c r="CJ619" s="1417"/>
      <c r="CK619" s="1417"/>
      <c r="CL619" s="1417"/>
      <c r="CM619" s="1417">
        <f t="shared" si="11"/>
        <v>0</v>
      </c>
      <c r="CN619" s="1417"/>
      <c r="CO619" s="1417"/>
      <c r="CP619" s="1417"/>
      <c r="CQ619" s="1417"/>
      <c r="CR619" s="6"/>
      <c r="CS619" s="1418">
        <f t="shared" si="12"/>
        <v>0</v>
      </c>
      <c r="CT619" s="1418"/>
      <c r="CU619" s="1418"/>
      <c r="CV619" s="1418"/>
      <c r="CW619" s="1418"/>
      <c r="CX619" s="1418">
        <f t="shared" si="13"/>
        <v>0</v>
      </c>
      <c r="CY619" s="1418"/>
      <c r="CZ619" s="1418"/>
      <c r="DA619" s="1418"/>
      <c r="DB619" s="1418"/>
      <c r="DC619" s="1418">
        <f t="shared" si="14"/>
        <v>0</v>
      </c>
      <c r="DD619" s="1418"/>
      <c r="DE619" s="1418"/>
      <c r="DF619" s="1418"/>
      <c r="DG619" s="1418"/>
      <c r="DH619" s="1418">
        <f t="shared" si="15"/>
        <v>0</v>
      </c>
      <c r="DI619" s="1418"/>
      <c r="DJ619" s="1418"/>
      <c r="DK619" s="1418"/>
      <c r="DL619" s="1418"/>
      <c r="DM619" s="1418">
        <f t="shared" si="16"/>
        <v>0</v>
      </c>
      <c r="DN619" s="1418"/>
      <c r="DO619" s="1418"/>
      <c r="DP619" s="1418"/>
      <c r="DQ619" s="1418"/>
      <c r="DR619" s="1418">
        <f t="shared" si="17"/>
        <v>0</v>
      </c>
      <c r="DS619" s="1418"/>
      <c r="DT619" s="1418"/>
      <c r="DU619" s="1418"/>
      <c r="DV619" s="1418"/>
      <c r="DX619" s="1414" t="str">
        <f t="shared" si="18"/>
        <v xml:space="preserve"> </v>
      </c>
      <c r="DY619" s="1415"/>
      <c r="DZ619" s="1415"/>
      <c r="EA619" s="1415"/>
      <c r="EB619" s="1416"/>
      <c r="EC619" s="1414" t="str">
        <f t="shared" si="19"/>
        <v xml:space="preserve"> </v>
      </c>
      <c r="ED619" s="1415"/>
      <c r="EE619" s="1415"/>
      <c r="EF619" s="1415"/>
      <c r="EG619" s="1416"/>
      <c r="EH619" s="1414" t="str">
        <f t="shared" si="20"/>
        <v xml:space="preserve"> </v>
      </c>
      <c r="EI619" s="1415"/>
      <c r="EJ619" s="1415"/>
      <c r="EK619" s="1415"/>
      <c r="EL619" s="1416"/>
      <c r="EM619" s="1414" t="str">
        <f t="shared" si="21"/>
        <v xml:space="preserve"> </v>
      </c>
      <c r="EN619" s="1415"/>
      <c r="EO619" s="1415"/>
      <c r="EP619" s="1415"/>
      <c r="EQ619" s="1416"/>
      <c r="ER619" s="1414">
        <f t="shared" si="22"/>
        <v>2959</v>
      </c>
      <c r="ES619" s="1415"/>
      <c r="ET619" s="1415"/>
      <c r="EU619" s="1415"/>
      <c r="EV619" s="1416"/>
      <c r="EW619" s="1414" t="str">
        <f t="shared" si="23"/>
        <v xml:space="preserve"> </v>
      </c>
      <c r="EX619" s="1415"/>
      <c r="EY619" s="1415"/>
      <c r="EZ619" s="1415"/>
      <c r="FA619" s="1416"/>
    </row>
    <row r="620" spans="1:157" ht="13.25" customHeight="1">
      <c r="B620" s="1369" t="s">
        <v>2531</v>
      </c>
      <c r="C620" s="1369"/>
      <c r="D620" s="1369"/>
      <c r="E620" s="1369"/>
      <c r="F620" s="1369"/>
      <c r="G620" s="1369"/>
      <c r="H620" s="1369"/>
      <c r="I620" s="1369"/>
      <c r="J620" s="1369"/>
      <c r="K620" s="1369"/>
      <c r="L620" s="1369"/>
      <c r="M620" s="1368" t="s">
        <v>2532</v>
      </c>
      <c r="N620" s="1368"/>
      <c r="O620" s="1368"/>
      <c r="P620" s="1368"/>
      <c r="Q620" s="1368" t="s">
        <v>2116</v>
      </c>
      <c r="R620" s="1368"/>
      <c r="S620" s="1368"/>
      <c r="T620" s="1368" t="s">
        <v>2114</v>
      </c>
      <c r="U620" s="1368"/>
      <c r="V620" s="1368"/>
      <c r="W620" s="1367" t="s">
        <v>463</v>
      </c>
      <c r="X620" s="1367"/>
      <c r="Y620" s="1367"/>
      <c r="Z620" s="1371" t="s">
        <v>2561</v>
      </c>
      <c r="AA620" s="1371"/>
      <c r="AB620" s="1372"/>
      <c r="AC620" s="1609" t="s">
        <v>1936</v>
      </c>
      <c r="AD620" s="1610"/>
      <c r="AE620" s="1611"/>
      <c r="AF620" s="1733" t="s">
        <v>2314</v>
      </c>
      <c r="AG620" s="1371"/>
      <c r="AH620" s="1371"/>
      <c r="AI620" s="1371"/>
      <c r="AJ620" s="1372"/>
      <c r="AK620" s="1599" t="s">
        <v>2315</v>
      </c>
      <c r="AL620" s="1600"/>
      <c r="AM620" s="1600"/>
      <c r="AN620" s="1601"/>
      <c r="AO620" s="1368" t="s">
        <v>464</v>
      </c>
      <c r="AP620" s="1368"/>
      <c r="AQ620" s="1368"/>
      <c r="AR620" s="1368"/>
      <c r="AS620" s="1368"/>
      <c r="AZ620" s="3"/>
      <c r="BA620" s="3"/>
      <c r="BB620" s="3"/>
      <c r="BC620" s="3"/>
      <c r="BD620" s="3"/>
      <c r="BE620" s="1414">
        <f t="shared" si="2"/>
        <v>0</v>
      </c>
      <c r="BF620" s="1416"/>
      <c r="BG620" s="1427">
        <f t="shared" si="3"/>
        <v>0</v>
      </c>
      <c r="BH620" s="1428"/>
      <c r="BI620" s="1414">
        <f t="shared" si="4"/>
        <v>0</v>
      </c>
      <c r="BJ620" s="1416"/>
      <c r="BK620" s="1427">
        <f t="shared" si="5"/>
        <v>0</v>
      </c>
      <c r="BL620" s="1428"/>
      <c r="BM620" s="3"/>
      <c r="BN620" s="1408">
        <f t="shared" si="6"/>
        <v>0</v>
      </c>
      <c r="BO620" s="1409"/>
      <c r="BP620" s="1409"/>
      <c r="BQ620" s="1409"/>
      <c r="BR620" s="1410"/>
      <c r="BS620" s="1417">
        <f t="shared" si="7"/>
        <v>0</v>
      </c>
      <c r="BT620" s="1417"/>
      <c r="BU620" s="1417"/>
      <c r="BV620" s="1417"/>
      <c r="BW620" s="1417"/>
      <c r="BX620" s="1417">
        <f t="shared" si="8"/>
        <v>0</v>
      </c>
      <c r="BY620" s="1417"/>
      <c r="BZ620" s="1417"/>
      <c r="CA620" s="1417"/>
      <c r="CB620" s="1417"/>
      <c r="CC620" s="1417">
        <f t="shared" si="9"/>
        <v>0</v>
      </c>
      <c r="CD620" s="1417"/>
      <c r="CE620" s="1417"/>
      <c r="CF620" s="1417"/>
      <c r="CG620" s="1417"/>
      <c r="CH620" s="1417">
        <f t="shared" si="10"/>
        <v>0</v>
      </c>
      <c r="CI620" s="1417"/>
      <c r="CJ620" s="1417"/>
      <c r="CK620" s="1417"/>
      <c r="CL620" s="1417"/>
      <c r="CM620" s="1417">
        <f t="shared" si="11"/>
        <v>0</v>
      </c>
      <c r="CN620" s="1417"/>
      <c r="CO620" s="1417"/>
      <c r="CP620" s="1417"/>
      <c r="CQ620" s="1417"/>
      <c r="CR620" s="6"/>
      <c r="CS620" s="1418">
        <f t="shared" si="12"/>
        <v>0</v>
      </c>
      <c r="CT620" s="1418"/>
      <c r="CU620" s="1418"/>
      <c r="CV620" s="1418"/>
      <c r="CW620" s="1418"/>
      <c r="CX620" s="1418">
        <f t="shared" si="13"/>
        <v>0</v>
      </c>
      <c r="CY620" s="1418"/>
      <c r="CZ620" s="1418"/>
      <c r="DA620" s="1418"/>
      <c r="DB620" s="1418"/>
      <c r="DC620" s="1418">
        <f t="shared" si="14"/>
        <v>0</v>
      </c>
      <c r="DD620" s="1418"/>
      <c r="DE620" s="1418"/>
      <c r="DF620" s="1418"/>
      <c r="DG620" s="1418"/>
      <c r="DH620" s="1418">
        <f t="shared" si="15"/>
        <v>0</v>
      </c>
      <c r="DI620" s="1418"/>
      <c r="DJ620" s="1418"/>
      <c r="DK620" s="1418"/>
      <c r="DL620" s="1418"/>
      <c r="DM620" s="1418">
        <f t="shared" si="16"/>
        <v>0</v>
      </c>
      <c r="DN620" s="1418"/>
      <c r="DO620" s="1418"/>
      <c r="DP620" s="1418"/>
      <c r="DQ620" s="1418"/>
      <c r="DR620" s="1418">
        <f t="shared" si="17"/>
        <v>0</v>
      </c>
      <c r="DS620" s="1418"/>
      <c r="DT620" s="1418"/>
      <c r="DU620" s="1418"/>
      <c r="DV620" s="1418"/>
      <c r="DX620" s="1414" t="str">
        <f t="shared" si="18"/>
        <v xml:space="preserve"> </v>
      </c>
      <c r="DY620" s="1415"/>
      <c r="DZ620" s="1415"/>
      <c r="EA620" s="1415"/>
      <c r="EB620" s="1416"/>
      <c r="EC620" s="1414" t="str">
        <f t="shared" si="19"/>
        <v xml:space="preserve"> </v>
      </c>
      <c r="ED620" s="1415"/>
      <c r="EE620" s="1415"/>
      <c r="EF620" s="1415"/>
      <c r="EG620" s="1416"/>
      <c r="EH620" s="1414" t="str">
        <f t="shared" si="20"/>
        <v xml:space="preserve"> </v>
      </c>
      <c r="EI620" s="1415"/>
      <c r="EJ620" s="1415"/>
      <c r="EK620" s="1415"/>
      <c r="EL620" s="1416"/>
      <c r="EM620" s="1414" t="str">
        <f t="shared" si="21"/>
        <v xml:space="preserve"> </v>
      </c>
      <c r="EN620" s="1415"/>
      <c r="EO620" s="1415"/>
      <c r="EP620" s="1415"/>
      <c r="EQ620" s="1416"/>
      <c r="ER620" s="1414" t="str">
        <f t="shared" si="22"/>
        <v xml:space="preserve"> </v>
      </c>
      <c r="ES620" s="1415"/>
      <c r="ET620" s="1415"/>
      <c r="EU620" s="1415"/>
      <c r="EV620" s="1416"/>
      <c r="EW620" s="1414" t="str">
        <f t="shared" si="23"/>
        <v xml:space="preserve"> </v>
      </c>
      <c r="EX620" s="1415"/>
      <c r="EY620" s="1415"/>
      <c r="EZ620" s="1415"/>
      <c r="FA620" s="1416"/>
    </row>
    <row r="621" spans="1:157" ht="13.25" customHeight="1">
      <c r="B621" s="1369"/>
      <c r="C621" s="1369"/>
      <c r="D621" s="1369"/>
      <c r="E621" s="1369"/>
      <c r="F621" s="1369"/>
      <c r="G621" s="1369"/>
      <c r="H621" s="1369"/>
      <c r="I621" s="1369"/>
      <c r="J621" s="1369"/>
      <c r="K621" s="1369"/>
      <c r="L621" s="1369"/>
      <c r="M621" s="1368"/>
      <c r="N621" s="1368"/>
      <c r="O621" s="1368"/>
      <c r="P621" s="1368"/>
      <c r="Q621" s="1368"/>
      <c r="R621" s="1368"/>
      <c r="S621" s="1368"/>
      <c r="T621" s="1368"/>
      <c r="U621" s="1368"/>
      <c r="V621" s="1368"/>
      <c r="W621" s="1367"/>
      <c r="X621" s="1367"/>
      <c r="Y621" s="1367"/>
      <c r="Z621" s="1373"/>
      <c r="AA621" s="1373"/>
      <c r="AB621" s="1374"/>
      <c r="AC621" s="1612"/>
      <c r="AD621" s="1613"/>
      <c r="AE621" s="1614"/>
      <c r="AF621" s="1734"/>
      <c r="AG621" s="1373"/>
      <c r="AH621" s="1373"/>
      <c r="AI621" s="1373"/>
      <c r="AJ621" s="1374"/>
      <c r="AK621" s="1602"/>
      <c r="AL621" s="1603"/>
      <c r="AM621" s="1603"/>
      <c r="AN621" s="1604"/>
      <c r="AO621" s="1368"/>
      <c r="AP621" s="1368"/>
      <c r="AQ621" s="1368"/>
      <c r="AR621" s="1368"/>
      <c r="AS621" s="1368"/>
      <c r="AZ621" s="3"/>
      <c r="BA621" s="3"/>
      <c r="BB621" s="3"/>
      <c r="BC621" s="3"/>
      <c r="BD621" s="3"/>
      <c r="BE621" s="3"/>
      <c r="BF621" s="3"/>
      <c r="BG621" s="1414">
        <f>SUM(BG596:BH620)</f>
        <v>48</v>
      </c>
      <c r="BH621" s="1416"/>
      <c r="BI621" s="3"/>
      <c r="BJ621" s="3"/>
      <c r="BK621" s="1414">
        <f>SUM(BK596:BL620)</f>
        <v>45</v>
      </c>
      <c r="BL621" s="1416"/>
      <c r="BM621" s="3"/>
      <c r="BN621" s="1414">
        <f>SUM(BN596:BR620)</f>
        <v>8</v>
      </c>
      <c r="BO621" s="1415"/>
      <c r="BP621" s="1415"/>
      <c r="BQ621" s="1415"/>
      <c r="BR621" s="1416"/>
      <c r="BS621" s="1419">
        <f>SUM(BS596:BW620)</f>
        <v>19</v>
      </c>
      <c r="BT621" s="1419"/>
      <c r="BU621" s="1419"/>
      <c r="BV621" s="1419"/>
      <c r="BW621" s="1419"/>
      <c r="BX621" s="1419">
        <f>SUM(BX596:CB620)</f>
        <v>74</v>
      </c>
      <c r="BY621" s="1419"/>
      <c r="BZ621" s="1419"/>
      <c r="CA621" s="1419"/>
      <c r="CB621" s="1419"/>
      <c r="CC621" s="1419">
        <f>SUM(CC596:CG620)</f>
        <v>27</v>
      </c>
      <c r="CD621" s="1419"/>
      <c r="CE621" s="1419"/>
      <c r="CF621" s="1419"/>
      <c r="CG621" s="1419"/>
      <c r="CH621" s="1419">
        <f>SUM(CH596:CL620)</f>
        <v>7</v>
      </c>
      <c r="CI621" s="1419"/>
      <c r="CJ621" s="1419"/>
      <c r="CK621" s="1419"/>
      <c r="CL621" s="1419"/>
      <c r="CM621" s="1419">
        <f>SUM(CM596:CQ620)</f>
        <v>0</v>
      </c>
      <c r="CN621" s="1419"/>
      <c r="CO621" s="1419"/>
      <c r="CP621" s="1419"/>
      <c r="CQ621" s="1419"/>
      <c r="CR621" s="377"/>
      <c r="CS621" s="1419">
        <f>SUM(CS596:CW620)</f>
        <v>4</v>
      </c>
      <c r="CT621" s="1419"/>
      <c r="CU621" s="1419"/>
      <c r="CV621" s="1419"/>
      <c r="CW621" s="1419"/>
      <c r="CX621" s="1419">
        <f>SUM(CX596:DB620)</f>
        <v>6</v>
      </c>
      <c r="CY621" s="1419"/>
      <c r="CZ621" s="1419"/>
      <c r="DA621" s="1419"/>
      <c r="DB621" s="1419"/>
      <c r="DC621" s="1419">
        <f>SUM(DC596:DG620)</f>
        <v>23</v>
      </c>
      <c r="DD621" s="1419"/>
      <c r="DE621" s="1419"/>
      <c r="DF621" s="1419"/>
      <c r="DG621" s="1419"/>
      <c r="DH621" s="1419">
        <f>SUM(DH596:DL620)</f>
        <v>9</v>
      </c>
      <c r="DI621" s="1419"/>
      <c r="DJ621" s="1419"/>
      <c r="DK621" s="1419"/>
      <c r="DL621" s="1419"/>
      <c r="DM621" s="1419">
        <f>SUM(DM596:DQ620)</f>
        <v>3</v>
      </c>
      <c r="DN621" s="1419"/>
      <c r="DO621" s="1419"/>
      <c r="DP621" s="1419"/>
      <c r="DQ621" s="1419"/>
      <c r="DR621" s="1419">
        <f>SUM(DR596:DV620)</f>
        <v>0</v>
      </c>
      <c r="DS621" s="1419"/>
      <c r="DT621" s="1419"/>
      <c r="DU621" s="1419"/>
      <c r="DV621" s="1419"/>
      <c r="DX621" s="1419">
        <f>SUM(DX596:EB620)</f>
        <v>2027</v>
      </c>
      <c r="DY621" s="1419"/>
      <c r="DZ621" s="1419"/>
      <c r="EA621" s="1419"/>
      <c r="EB621" s="1419"/>
      <c r="EC621" s="1419">
        <f>SUM(EC596:EG620)</f>
        <v>8241</v>
      </c>
      <c r="ED621" s="1419"/>
      <c r="EE621" s="1419"/>
      <c r="EF621" s="1419"/>
      <c r="EG621" s="1419"/>
      <c r="EH621" s="1419">
        <f>SUM(EH596:EL620)</f>
        <v>9496</v>
      </c>
      <c r="EI621" s="1419"/>
      <c r="EJ621" s="1419"/>
      <c r="EK621" s="1419"/>
      <c r="EL621" s="1419"/>
      <c r="EM621" s="1419">
        <f>SUM(EM596:EQ620)</f>
        <v>11088</v>
      </c>
      <c r="EN621" s="1419"/>
      <c r="EO621" s="1419"/>
      <c r="EP621" s="1419"/>
      <c r="EQ621" s="1419"/>
      <c r="ER621" s="1419">
        <f>SUM(ER596:EV620)</f>
        <v>8051</v>
      </c>
      <c r="ES621" s="1419"/>
      <c r="ET621" s="1419"/>
      <c r="EU621" s="1419"/>
      <c r="EV621" s="1419"/>
      <c r="EW621" s="1419">
        <f>SUM(EW596:FA620)</f>
        <v>0</v>
      </c>
      <c r="EX621" s="1419"/>
      <c r="EY621" s="1419"/>
      <c r="EZ621" s="1419"/>
      <c r="FA621" s="1419"/>
    </row>
    <row r="622" spans="1:157" ht="13.25" customHeight="1">
      <c r="B622" s="1369"/>
      <c r="C622" s="1369"/>
      <c r="D622" s="1369"/>
      <c r="E622" s="1369"/>
      <c r="F622" s="1369"/>
      <c r="G622" s="1369"/>
      <c r="H622" s="1369"/>
      <c r="I622" s="1369"/>
      <c r="J622" s="1369"/>
      <c r="K622" s="1369"/>
      <c r="L622" s="1369"/>
      <c r="M622" s="1368"/>
      <c r="N622" s="1368"/>
      <c r="O622" s="1368"/>
      <c r="P622" s="1368"/>
      <c r="Q622" s="1368"/>
      <c r="R622" s="1368"/>
      <c r="S622" s="1368"/>
      <c r="T622" s="1368"/>
      <c r="U622" s="1368"/>
      <c r="V622" s="1368"/>
      <c r="W622" s="1367"/>
      <c r="X622" s="1367"/>
      <c r="Y622" s="1367"/>
      <c r="Z622" s="1375"/>
      <c r="AA622" s="1375"/>
      <c r="AB622" s="1376"/>
      <c r="AC622" s="1615"/>
      <c r="AD622" s="1616"/>
      <c r="AE622" s="1617"/>
      <c r="AF622" s="1735"/>
      <c r="AG622" s="1375"/>
      <c r="AH622" s="1375"/>
      <c r="AI622" s="1375"/>
      <c r="AJ622" s="1376"/>
      <c r="AK622" s="1605"/>
      <c r="AL622" s="1606"/>
      <c r="AM622" s="1606"/>
      <c r="AN622" s="1607"/>
      <c r="AO622" s="1368"/>
      <c r="AP622" s="1368"/>
      <c r="AQ622" s="1368"/>
      <c r="AR622" s="1368"/>
      <c r="AS622" s="13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4">
        <f>BN621+BS621+BX621+CC621+CH621+CM621</f>
        <v>135</v>
      </c>
      <c r="CN622" s="1415"/>
      <c r="CO622" s="1415"/>
      <c r="CP622" s="1415"/>
      <c r="CQ622" s="1416"/>
      <c r="CR622" s="377"/>
      <c r="CS622" s="3"/>
      <c r="CT622" s="3"/>
      <c r="CU622" s="3"/>
      <c r="CV622" s="3"/>
      <c r="CW622" s="3"/>
      <c r="CX622" s="3"/>
      <c r="CY622" s="3"/>
      <c r="CZ622" s="3"/>
      <c r="DA622" s="3"/>
      <c r="DB622" s="3"/>
      <c r="DC622" s="3"/>
      <c r="DD622" s="3"/>
      <c r="DE622" s="3"/>
      <c r="DF622" s="3"/>
    </row>
    <row r="623" spans="1:157" ht="13.25" customHeight="1">
      <c r="B623" s="51" t="s">
        <v>113</v>
      </c>
      <c r="C623" s="1370" t="s">
        <v>2751</v>
      </c>
      <c r="D623" s="1370"/>
      <c r="E623" s="1370"/>
      <c r="F623" s="1370"/>
      <c r="G623" s="1370"/>
      <c r="H623" s="1370"/>
      <c r="I623" s="1370"/>
      <c r="J623" s="1370"/>
      <c r="K623" s="1370"/>
      <c r="L623" s="1370"/>
      <c r="M623" s="1389" t="s">
        <v>2548</v>
      </c>
      <c r="N623" s="1389"/>
      <c r="O623" s="1389"/>
      <c r="P623" s="1389"/>
      <c r="Q623" s="1381">
        <f>16*12</f>
        <v>192</v>
      </c>
      <c r="R623" s="1381"/>
      <c r="S623" s="1382"/>
      <c r="T623" s="1380">
        <f>35*12</f>
        <v>420</v>
      </c>
      <c r="U623" s="1381"/>
      <c r="V623" s="1382"/>
      <c r="W623" s="1354">
        <v>6.6299999999999998E-2</v>
      </c>
      <c r="X623" s="1355"/>
      <c r="Y623" s="1356"/>
      <c r="Z623" s="1377" t="s">
        <v>2560</v>
      </c>
      <c r="AA623" s="1378"/>
      <c r="AB623" s="1379"/>
      <c r="AC623" s="1429">
        <v>1</v>
      </c>
      <c r="AD623" s="1430"/>
      <c r="AE623" s="1431"/>
      <c r="AF623" s="1364">
        <f>965992+8661</f>
        <v>974653</v>
      </c>
      <c r="AG623" s="1365"/>
      <c r="AH623" s="1365"/>
      <c r="AI623" s="1365"/>
      <c r="AJ623" s="1366"/>
      <c r="AK623" s="1424"/>
      <c r="AL623" s="1425"/>
      <c r="AM623" s="1425"/>
      <c r="AN623" s="1426"/>
      <c r="AO623" s="1423">
        <v>13204000</v>
      </c>
      <c r="AP623" s="1423"/>
      <c r="AQ623" s="1423"/>
      <c r="AR623" s="1423"/>
      <c r="AS623" s="1423"/>
      <c r="AT623" s="3"/>
      <c r="AU623" s="3"/>
      <c r="AV623" s="3"/>
      <c r="AW623" s="3"/>
      <c r="AX623" s="3"/>
      <c r="AY623" s="3"/>
      <c r="AZ623" s="3"/>
      <c r="BA623" s="3" t="s">
        <v>1327</v>
      </c>
      <c r="BB623" s="3"/>
      <c r="BC623" s="3"/>
      <c r="BD623" s="3"/>
      <c r="BE623" s="3"/>
      <c r="BF623" s="3"/>
      <c r="BG623" s="3"/>
      <c r="BH623" s="3"/>
      <c r="BI623" s="3"/>
      <c r="BJ623" s="3"/>
      <c r="BK623" s="3"/>
      <c r="BL623" s="3"/>
      <c r="BM623" s="3"/>
      <c r="BR623" s="888">
        <f>BN621*1</f>
        <v>8</v>
      </c>
      <c r="BS623" s="3"/>
      <c r="BT623" s="3"/>
      <c r="BU623" s="3"/>
      <c r="BV623" s="3"/>
      <c r="BW623" s="888">
        <f>BS621*1</f>
        <v>19</v>
      </c>
      <c r="BX623" s="3"/>
      <c r="BY623" s="3"/>
      <c r="BZ623" s="3"/>
      <c r="CA623" s="3"/>
      <c r="CB623" s="888">
        <f>BX621*2</f>
        <v>148</v>
      </c>
      <c r="CC623" s="3"/>
      <c r="CD623" s="3"/>
      <c r="CE623" s="3"/>
      <c r="CF623" s="3"/>
      <c r="CG623" s="888">
        <f>CC621*3</f>
        <v>81</v>
      </c>
      <c r="CH623" s="3"/>
      <c r="CI623" s="3"/>
      <c r="CJ623" s="3"/>
      <c r="CK623" s="3"/>
      <c r="CL623" s="888">
        <f>CH621*4</f>
        <v>28</v>
      </c>
      <c r="CM623" s="3"/>
      <c r="CN623" s="3"/>
      <c r="CO623" s="3"/>
      <c r="CP623" s="3"/>
      <c r="CQ623" s="888">
        <f>CM621*5</f>
        <v>0</v>
      </c>
      <c r="CS623" s="888">
        <f>BR623+BW623+CB623+CG623+CL623+CQ623</f>
        <v>284</v>
      </c>
      <c r="CT623" s="57" t="s">
        <v>2126</v>
      </c>
      <c r="CU623" s="3"/>
      <c r="CV623" s="3"/>
      <c r="CW623" s="3"/>
      <c r="CX623" s="3"/>
      <c r="CY623" s="3"/>
      <c r="CZ623" s="3"/>
      <c r="DA623" s="3"/>
      <c r="DB623" s="3"/>
      <c r="DC623" s="3"/>
      <c r="DD623" s="3"/>
      <c r="DE623" s="3"/>
      <c r="DF623" s="3"/>
    </row>
    <row r="624" spans="1:157" ht="13.25" customHeight="1">
      <c r="B624" s="52" t="s">
        <v>114</v>
      </c>
      <c r="C624" s="1370" t="s">
        <v>2752</v>
      </c>
      <c r="D624" s="1370"/>
      <c r="E624" s="1370"/>
      <c r="F624" s="1370"/>
      <c r="G624" s="1370"/>
      <c r="H624" s="1370"/>
      <c r="I624" s="1370"/>
      <c r="J624" s="1370"/>
      <c r="K624" s="1370"/>
      <c r="L624" s="1370"/>
      <c r="M624" s="1389" t="s">
        <v>2548</v>
      </c>
      <c r="N624" s="1389"/>
      <c r="O624" s="1389"/>
      <c r="P624" s="1389"/>
      <c r="Q624" s="1380">
        <f>+Q623</f>
        <v>192</v>
      </c>
      <c r="R624" s="1381"/>
      <c r="S624" s="1382"/>
      <c r="T624" s="1380">
        <f>+T623</f>
        <v>420</v>
      </c>
      <c r="U624" s="1381"/>
      <c r="V624" s="1382"/>
      <c r="W624" s="1354">
        <f>+W623</f>
        <v>6.6299999999999998E-2</v>
      </c>
      <c r="X624" s="1355"/>
      <c r="Y624" s="1356"/>
      <c r="Z624" s="1377" t="s">
        <v>2560</v>
      </c>
      <c r="AA624" s="1378"/>
      <c r="AB624" s="1379"/>
      <c r="AC624" s="1429">
        <v>2</v>
      </c>
      <c r="AD624" s="1430"/>
      <c r="AE624" s="1431"/>
      <c r="AF624" s="1364">
        <v>301196</v>
      </c>
      <c r="AG624" s="1365"/>
      <c r="AH624" s="1365"/>
      <c r="AI624" s="1365"/>
      <c r="AJ624" s="1366"/>
      <c r="AK624" s="1424"/>
      <c r="AL624" s="1425"/>
      <c r="AM624" s="1425"/>
      <c r="AN624" s="1426"/>
      <c r="AO624" s="1420">
        <v>4117000</v>
      </c>
      <c r="AP624" s="1421"/>
      <c r="AQ624" s="1421"/>
      <c r="AR624" s="1421"/>
      <c r="AS624" s="1422"/>
      <c r="AT624" s="1183"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6">
        <f t="shared" ref="DX624:DX648" si="24">DX596*(BN596/$BN$621)</f>
        <v>425</v>
      </c>
      <c r="DY624" s="1406"/>
      <c r="DZ624" s="1406"/>
      <c r="EA624" s="1406"/>
      <c r="EB624" s="1406"/>
      <c r="EC624" s="1406" t="e">
        <f t="shared" ref="EC624:EC648" si="25">EC596*(BS596/$BS$621)</f>
        <v>#VALUE!</v>
      </c>
      <c r="ED624" s="1406"/>
      <c r="EE624" s="1406"/>
      <c r="EF624" s="1406"/>
      <c r="EG624" s="1406"/>
      <c r="EH624" s="1406" t="e">
        <f t="shared" ref="EH624:EH648" si="26">EH596*(BX596/$BX$621)</f>
        <v>#VALUE!</v>
      </c>
      <c r="EI624" s="1406"/>
      <c r="EJ624" s="1406"/>
      <c r="EK624" s="1406"/>
      <c r="EL624" s="1406"/>
      <c r="EM624" s="1406" t="e">
        <f t="shared" ref="EM624:EM648" si="27">EM596*(CC596/$CC$621)</f>
        <v>#VALUE!</v>
      </c>
      <c r="EN624" s="1406"/>
      <c r="EO624" s="1406"/>
      <c r="EP624" s="1406"/>
      <c r="EQ624" s="1406"/>
      <c r="ER624" s="1406" t="e">
        <f t="shared" ref="ER624:ER648" si="28">ER596*(CH596/$CH$621)</f>
        <v>#VALUE!</v>
      </c>
      <c r="ES624" s="1406"/>
      <c r="ET624" s="1406"/>
      <c r="EU624" s="1406"/>
      <c r="EV624" s="1406"/>
      <c r="EW624" s="1406" t="e">
        <f t="shared" ref="EW624:EW648" si="29">EW596*(CM596/$CM$621)</f>
        <v>#VALUE!</v>
      </c>
      <c r="EX624" s="1406"/>
      <c r="EY624" s="1406"/>
      <c r="EZ624" s="1406"/>
      <c r="FA624" s="1406"/>
    </row>
    <row r="625" spans="1:157" ht="13.25" customHeight="1">
      <c r="B625" s="52" t="s">
        <v>120</v>
      </c>
      <c r="C625" s="1370" t="s">
        <v>2718</v>
      </c>
      <c r="D625" s="1370"/>
      <c r="E625" s="1370"/>
      <c r="F625" s="1370"/>
      <c r="G625" s="1370"/>
      <c r="H625" s="1370"/>
      <c r="I625" s="1370"/>
      <c r="J625" s="1370"/>
      <c r="K625" s="1370"/>
      <c r="L625" s="1370"/>
      <c r="M625" s="1389" t="s">
        <v>2544</v>
      </c>
      <c r="N625" s="1389"/>
      <c r="O625" s="1389"/>
      <c r="P625" s="1389"/>
      <c r="Q625" s="1380">
        <v>660</v>
      </c>
      <c r="R625" s="1381"/>
      <c r="S625" s="1382"/>
      <c r="T625" s="1380"/>
      <c r="U625" s="1381"/>
      <c r="V625" s="1382"/>
      <c r="W625" s="1354">
        <v>0.03</v>
      </c>
      <c r="X625" s="1355"/>
      <c r="Y625" s="1356"/>
      <c r="Z625" s="1377" t="s">
        <v>467</v>
      </c>
      <c r="AA625" s="1378"/>
      <c r="AB625" s="1379"/>
      <c r="AC625" s="1429">
        <v>3</v>
      </c>
      <c r="AD625" s="1430"/>
      <c r="AE625" s="1431"/>
      <c r="AF625" s="1364">
        <f>+AO625*0.0042</f>
        <v>49140</v>
      </c>
      <c r="AG625" s="1365"/>
      <c r="AH625" s="1365"/>
      <c r="AI625" s="1365"/>
      <c r="AJ625" s="1366"/>
      <c r="AK625" s="1424"/>
      <c r="AL625" s="1425"/>
      <c r="AM625" s="1425"/>
      <c r="AN625" s="1426"/>
      <c r="AO625" s="1420">
        <v>11700000</v>
      </c>
      <c r="AP625" s="1421"/>
      <c r="AQ625" s="1421"/>
      <c r="AR625" s="1421"/>
      <c r="AS625" s="1422"/>
      <c r="AT625" s="1183"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6" t="e">
        <f t="shared" si="24"/>
        <v>#VALUE!</v>
      </c>
      <c r="DY625" s="1406"/>
      <c r="DZ625" s="1406"/>
      <c r="EA625" s="1406"/>
      <c r="EB625" s="1406"/>
      <c r="EC625" s="1406">
        <f t="shared" si="25"/>
        <v>190.94736842105263</v>
      </c>
      <c r="ED625" s="1406"/>
      <c r="EE625" s="1406"/>
      <c r="EF625" s="1406"/>
      <c r="EG625" s="1406"/>
      <c r="EH625" s="1406" t="e">
        <f t="shared" si="26"/>
        <v>#VALUE!</v>
      </c>
      <c r="EI625" s="1406"/>
      <c r="EJ625" s="1406"/>
      <c r="EK625" s="1406"/>
      <c r="EL625" s="1406"/>
      <c r="EM625" s="1406" t="e">
        <f t="shared" si="27"/>
        <v>#VALUE!</v>
      </c>
      <c r="EN625" s="1406"/>
      <c r="EO625" s="1406"/>
      <c r="EP625" s="1406"/>
      <c r="EQ625" s="1406"/>
      <c r="ER625" s="1406" t="e">
        <f t="shared" si="28"/>
        <v>#VALUE!</v>
      </c>
      <c r="ES625" s="1406"/>
      <c r="ET625" s="1406"/>
      <c r="EU625" s="1406"/>
      <c r="EV625" s="1406"/>
      <c r="EW625" s="1406" t="e">
        <f t="shared" si="29"/>
        <v>#VALUE!</v>
      </c>
      <c r="EX625" s="1406"/>
      <c r="EY625" s="1406"/>
      <c r="EZ625" s="1406"/>
      <c r="FA625" s="1406"/>
    </row>
    <row r="626" spans="1:157" ht="13.25" customHeight="1">
      <c r="B626" s="52" t="s">
        <v>591</v>
      </c>
      <c r="C626" s="1346" t="str">
        <f>+C552</f>
        <v>San Mateo County Loans</v>
      </c>
      <c r="D626" s="1346"/>
      <c r="E626" s="1346"/>
      <c r="F626" s="1346"/>
      <c r="G626" s="1346"/>
      <c r="H626" s="1346"/>
      <c r="I626" s="1346"/>
      <c r="J626" s="1346"/>
      <c r="K626" s="1346"/>
      <c r="L626" s="1346"/>
      <c r="M626" s="1389" t="s">
        <v>2544</v>
      </c>
      <c r="N626" s="1389"/>
      <c r="O626" s="1389"/>
      <c r="P626" s="1389"/>
      <c r="Q626" s="1380">
        <f>+Q625</f>
        <v>660</v>
      </c>
      <c r="R626" s="1381"/>
      <c r="S626" s="1382"/>
      <c r="T626" s="1380"/>
      <c r="U626" s="1381"/>
      <c r="V626" s="1382"/>
      <c r="W626" s="1354">
        <v>0.03</v>
      </c>
      <c r="X626" s="1355"/>
      <c r="Y626" s="1356"/>
      <c r="Z626" s="1377" t="s">
        <v>467</v>
      </c>
      <c r="AA626" s="1378"/>
      <c r="AB626" s="1379"/>
      <c r="AC626" s="1429">
        <v>4</v>
      </c>
      <c r="AD626" s="1430"/>
      <c r="AE626" s="1431"/>
      <c r="AF626" s="1364"/>
      <c r="AG626" s="1365"/>
      <c r="AH626" s="1365"/>
      <c r="AI626" s="1365"/>
      <c r="AJ626" s="1366"/>
      <c r="AK626" s="1424"/>
      <c r="AL626" s="1425"/>
      <c r="AM626" s="1425"/>
      <c r="AN626" s="1426"/>
      <c r="AO626" s="1420">
        <v>21425087</v>
      </c>
      <c r="AP626" s="1421"/>
      <c r="AQ626" s="1421"/>
      <c r="AR626" s="1421"/>
      <c r="AS626" s="1422"/>
      <c r="AT626" s="1183" t="str">
        <f t="shared" si="30"/>
        <v/>
      </c>
      <c r="AU626" s="3"/>
      <c r="AV626" s="3"/>
      <c r="AW626" s="3"/>
      <c r="AX626" s="3"/>
      <c r="AY626" s="3"/>
      <c r="AZ626" s="34"/>
      <c r="BA626" s="3" t="s">
        <v>2560</v>
      </c>
      <c r="BB626" s="34"/>
      <c r="BC626" s="34"/>
      <c r="BD626" s="34"/>
      <c r="BE626" s="34"/>
      <c r="BF626" s="34"/>
      <c r="BG626" s="34"/>
      <c r="BH626" s="34"/>
      <c r="BI626" s="34"/>
      <c r="BJ626" s="34"/>
      <c r="BK626" s="34"/>
      <c r="BL626" s="34"/>
      <c r="BM626" s="34"/>
      <c r="BN626" s="1408">
        <f>IF(J758="SRO/Studio",O758,0)</f>
        <v>0</v>
      </c>
      <c r="BO626" s="1409"/>
      <c r="BP626" s="1409"/>
      <c r="BQ626" s="1409"/>
      <c r="BR626" s="1410"/>
      <c r="BS626" s="1417">
        <f>IF(J758="1 Bedroom",O758,0)</f>
        <v>0</v>
      </c>
      <c r="BT626" s="1417"/>
      <c r="BU626" s="1417"/>
      <c r="BV626" s="1417"/>
      <c r="BW626" s="1417"/>
      <c r="BX626" s="1417">
        <f>IF(J758="2 Bedrooms",O758,0)</f>
        <v>1</v>
      </c>
      <c r="BY626" s="1417"/>
      <c r="BZ626" s="1417"/>
      <c r="CA626" s="1417"/>
      <c r="CB626" s="1417"/>
      <c r="CC626" s="1417">
        <f>IF(J758="3 Bedrooms",O758,0)</f>
        <v>0</v>
      </c>
      <c r="CD626" s="1417"/>
      <c r="CE626" s="1417"/>
      <c r="CF626" s="1417"/>
      <c r="CG626" s="1417"/>
      <c r="CH626" s="1417">
        <f>IF(J758="4 Bedrooms",O758,0)</f>
        <v>0</v>
      </c>
      <c r="CI626" s="1417"/>
      <c r="CJ626" s="1417"/>
      <c r="CK626" s="1417"/>
      <c r="CL626" s="1417"/>
      <c r="CM626" s="1417">
        <f>IF(J758="5 Bedrooms",O758,0)</f>
        <v>0</v>
      </c>
      <c r="CN626" s="1417"/>
      <c r="CO626" s="1417"/>
      <c r="CP626" s="1417"/>
      <c r="CQ626" s="1417"/>
      <c r="CR626" s="6"/>
      <c r="CS626" s="3"/>
      <c r="CT626" s="3"/>
      <c r="CU626" s="3"/>
      <c r="CV626" s="3"/>
      <c r="CW626" s="3"/>
      <c r="CX626" s="3"/>
      <c r="CY626" s="3"/>
      <c r="CZ626" s="3"/>
      <c r="DA626" s="3"/>
      <c r="DB626" s="3"/>
      <c r="DC626" s="3"/>
      <c r="DD626" s="3"/>
      <c r="DE626" s="3"/>
      <c r="DF626" s="3"/>
      <c r="DX626" s="1406" t="e">
        <f t="shared" si="24"/>
        <v>#VALUE!</v>
      </c>
      <c r="DY626" s="1406"/>
      <c r="DZ626" s="1406"/>
      <c r="EA626" s="1406"/>
      <c r="EB626" s="1406"/>
      <c r="EC626" s="1406">
        <f t="shared" si="25"/>
        <v>95.473684210526315</v>
      </c>
      <c r="ED626" s="1406"/>
      <c r="EE626" s="1406"/>
      <c r="EF626" s="1406"/>
      <c r="EG626" s="1406"/>
      <c r="EH626" s="1406" t="e">
        <f t="shared" si="26"/>
        <v>#VALUE!</v>
      </c>
      <c r="EI626" s="1406"/>
      <c r="EJ626" s="1406"/>
      <c r="EK626" s="1406"/>
      <c r="EL626" s="1406"/>
      <c r="EM626" s="1406" t="e">
        <f t="shared" si="27"/>
        <v>#VALUE!</v>
      </c>
      <c r="EN626" s="1406"/>
      <c r="EO626" s="1406"/>
      <c r="EP626" s="1406"/>
      <c r="EQ626" s="1406"/>
      <c r="ER626" s="1406" t="e">
        <f t="shared" si="28"/>
        <v>#VALUE!</v>
      </c>
      <c r="ES626" s="1406"/>
      <c r="ET626" s="1406"/>
      <c r="EU626" s="1406"/>
      <c r="EV626" s="1406"/>
      <c r="EW626" s="1406" t="e">
        <f t="shared" si="29"/>
        <v>#VALUE!</v>
      </c>
      <c r="EX626" s="1406"/>
      <c r="EY626" s="1406"/>
      <c r="EZ626" s="1406"/>
      <c r="FA626" s="1406"/>
    </row>
    <row r="627" spans="1:157" ht="13.25" customHeight="1">
      <c r="B627" s="52" t="s">
        <v>788</v>
      </c>
      <c r="C627" s="1346" t="str">
        <f t="shared" ref="C627:C631" si="31">+C553</f>
        <v>Santa Clara County - Stanford Funds</v>
      </c>
      <c r="D627" s="1346"/>
      <c r="E627" s="1346"/>
      <c r="F627" s="1346"/>
      <c r="G627" s="1346"/>
      <c r="H627" s="1346"/>
      <c r="I627" s="1346"/>
      <c r="J627" s="1346"/>
      <c r="K627" s="1346"/>
      <c r="L627" s="1346"/>
      <c r="M627" s="1389" t="s">
        <v>2544</v>
      </c>
      <c r="N627" s="1389"/>
      <c r="O627" s="1389"/>
      <c r="P627" s="1389"/>
      <c r="Q627" s="1380">
        <f t="shared" ref="Q627:Q630" si="32">+Q626</f>
        <v>660</v>
      </c>
      <c r="R627" s="1381"/>
      <c r="S627" s="1382"/>
      <c r="T627" s="1380"/>
      <c r="U627" s="1381"/>
      <c r="V627" s="1382"/>
      <c r="W627" s="1354">
        <v>0.03</v>
      </c>
      <c r="X627" s="1355"/>
      <c r="Y627" s="1356"/>
      <c r="Z627" s="1377" t="s">
        <v>467</v>
      </c>
      <c r="AA627" s="1378"/>
      <c r="AB627" s="1379"/>
      <c r="AC627" s="1429">
        <v>5</v>
      </c>
      <c r="AD627" s="1430"/>
      <c r="AE627" s="1431"/>
      <c r="AF627" s="1364"/>
      <c r="AG627" s="1365"/>
      <c r="AH627" s="1365"/>
      <c r="AI627" s="1365"/>
      <c r="AJ627" s="1366"/>
      <c r="AK627" s="1424"/>
      <c r="AL627" s="1425"/>
      <c r="AM627" s="1425"/>
      <c r="AN627" s="1426"/>
      <c r="AO627" s="1420">
        <f>+AM553</f>
        <v>1500000</v>
      </c>
      <c r="AP627" s="1421"/>
      <c r="AQ627" s="1421"/>
      <c r="AR627" s="1421"/>
      <c r="AS627" s="1422"/>
      <c r="AT627" s="1183"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08">
        <f>IF(J759="SRO/Studio",O759,0)</f>
        <v>0</v>
      </c>
      <c r="BO627" s="1409"/>
      <c r="BP627" s="1409"/>
      <c r="BQ627" s="1409"/>
      <c r="BR627" s="1410"/>
      <c r="BS627" s="1417">
        <f>IF(J759="1 Bedroom",O759,0)</f>
        <v>0</v>
      </c>
      <c r="BT627" s="1417"/>
      <c r="BU627" s="1417"/>
      <c r="BV627" s="1417"/>
      <c r="BW627" s="1417"/>
      <c r="BX627" s="1417">
        <f>IF(J759="2 Bedrooms",O759,0)</f>
        <v>0</v>
      </c>
      <c r="BY627" s="1417"/>
      <c r="BZ627" s="1417"/>
      <c r="CA627" s="1417"/>
      <c r="CB627" s="1417"/>
      <c r="CC627" s="1417">
        <f>IF(J759="3 Bedrooms",O759,0)</f>
        <v>0</v>
      </c>
      <c r="CD627" s="1417"/>
      <c r="CE627" s="1417"/>
      <c r="CF627" s="1417"/>
      <c r="CG627" s="1417"/>
      <c r="CH627" s="1417">
        <f>IF(J759="4 Bedrooms",O759,0)</f>
        <v>0</v>
      </c>
      <c r="CI627" s="1417"/>
      <c r="CJ627" s="1417"/>
      <c r="CK627" s="1417"/>
      <c r="CL627" s="1417"/>
      <c r="CM627" s="1417">
        <f>IF(J759="5 Bedrooms",O759,0)</f>
        <v>0</v>
      </c>
      <c r="CN627" s="1417"/>
      <c r="CO627" s="1417"/>
      <c r="CP627" s="1417"/>
      <c r="CQ627" s="1417"/>
      <c r="CR627" s="6"/>
      <c r="CS627" s="3"/>
      <c r="CT627" s="3"/>
      <c r="CU627" s="3"/>
      <c r="CV627" s="3"/>
      <c r="CW627" s="3"/>
      <c r="CX627" s="3"/>
      <c r="CY627" s="3"/>
      <c r="CZ627" s="3"/>
      <c r="DA627" s="3"/>
      <c r="DB627" s="3"/>
      <c r="DC627" s="3"/>
      <c r="DD627" s="3"/>
      <c r="DE627" s="3"/>
      <c r="DF627" s="3"/>
      <c r="DX627" s="1406" t="e">
        <f t="shared" si="24"/>
        <v>#VALUE!</v>
      </c>
      <c r="DY627" s="1406"/>
      <c r="DZ627" s="1406"/>
      <c r="EA627" s="1406"/>
      <c r="EB627" s="1406"/>
      <c r="EC627" s="1406" t="e">
        <f t="shared" si="25"/>
        <v>#VALUE!</v>
      </c>
      <c r="ED627" s="1406"/>
      <c r="EE627" s="1406"/>
      <c r="EF627" s="1406"/>
      <c r="EG627" s="1406"/>
      <c r="EH627" s="1406">
        <f t="shared" si="26"/>
        <v>275.75675675675672</v>
      </c>
      <c r="EI627" s="1406"/>
      <c r="EJ627" s="1406"/>
      <c r="EK627" s="1406"/>
      <c r="EL627" s="1406"/>
      <c r="EM627" s="1406" t="e">
        <f t="shared" si="27"/>
        <v>#VALUE!</v>
      </c>
      <c r="EN627" s="1406"/>
      <c r="EO627" s="1406"/>
      <c r="EP627" s="1406"/>
      <c r="EQ627" s="1406"/>
      <c r="ER627" s="1406" t="e">
        <f t="shared" si="28"/>
        <v>#VALUE!</v>
      </c>
      <c r="ES627" s="1406"/>
      <c r="ET627" s="1406"/>
      <c r="EU627" s="1406"/>
      <c r="EV627" s="1406"/>
      <c r="EW627" s="1406" t="e">
        <f t="shared" si="29"/>
        <v>#VALUE!</v>
      </c>
      <c r="EX627" s="1406"/>
      <c r="EY627" s="1406"/>
      <c r="EZ627" s="1406"/>
      <c r="FA627" s="1406"/>
    </row>
    <row r="628" spans="1:157" ht="13.25" customHeight="1">
      <c r="B628" s="52" t="s">
        <v>594</v>
      </c>
      <c r="C628" s="1346" t="str">
        <f t="shared" si="31"/>
        <v>City of East Palo Alto Loans</v>
      </c>
      <c r="D628" s="1346"/>
      <c r="E628" s="1346"/>
      <c r="F628" s="1346"/>
      <c r="G628" s="1346"/>
      <c r="H628" s="1346"/>
      <c r="I628" s="1346"/>
      <c r="J628" s="1346"/>
      <c r="K628" s="1346"/>
      <c r="L628" s="1346"/>
      <c r="M628" s="1389" t="s">
        <v>2544</v>
      </c>
      <c r="N628" s="1389"/>
      <c r="O628" s="1389"/>
      <c r="P628" s="1389"/>
      <c r="Q628" s="1380">
        <f t="shared" si="32"/>
        <v>660</v>
      </c>
      <c r="R628" s="1381"/>
      <c r="S628" s="1382"/>
      <c r="T628" s="1380"/>
      <c r="U628" s="1381"/>
      <c r="V628" s="1382"/>
      <c r="W628" s="1354">
        <v>0.03</v>
      </c>
      <c r="X628" s="1355"/>
      <c r="Y628" s="1356"/>
      <c r="Z628" s="1377" t="s">
        <v>467</v>
      </c>
      <c r="AA628" s="1378"/>
      <c r="AB628" s="1379"/>
      <c r="AC628" s="1429">
        <v>6</v>
      </c>
      <c r="AD628" s="1430"/>
      <c r="AE628" s="1431"/>
      <c r="AF628" s="1364"/>
      <c r="AG628" s="1365"/>
      <c r="AH628" s="1365"/>
      <c r="AI628" s="1365"/>
      <c r="AJ628" s="1366"/>
      <c r="AK628" s="1424"/>
      <c r="AL628" s="1425"/>
      <c r="AM628" s="1425"/>
      <c r="AN628" s="1426"/>
      <c r="AO628" s="1420">
        <f t="shared" ref="AO628:AO631" si="33">+AM554</f>
        <v>7214000</v>
      </c>
      <c r="AP628" s="1421"/>
      <c r="AQ628" s="1421"/>
      <c r="AR628" s="1421"/>
      <c r="AS628" s="1422"/>
      <c r="AT628" s="1183" t="str">
        <f t="shared" si="30"/>
        <v/>
      </c>
      <c r="AU628" s="3"/>
      <c r="AV628" s="3"/>
      <c r="AW628" s="3"/>
      <c r="AX628" s="3"/>
      <c r="AY628" s="3"/>
      <c r="AZ628" s="34"/>
      <c r="BA628" s="34"/>
      <c r="BB628" s="34"/>
      <c r="BC628" s="34"/>
      <c r="BD628" s="34"/>
      <c r="BE628" s="34"/>
      <c r="BF628" s="34"/>
      <c r="BG628" s="34"/>
      <c r="BH628" s="34"/>
      <c r="BI628" s="34"/>
      <c r="BJ628" s="34"/>
      <c r="BK628" s="34"/>
      <c r="BL628" s="34"/>
      <c r="BM628" s="34"/>
      <c r="BN628" s="1408">
        <f>IF(J760="SRO/Studio",O760,0)</f>
        <v>0</v>
      </c>
      <c r="BO628" s="1409"/>
      <c r="BP628" s="1409"/>
      <c r="BQ628" s="1409"/>
      <c r="BR628" s="1410"/>
      <c r="BS628" s="1417">
        <f>IF(J760="1 Bedroom",O760,0)</f>
        <v>0</v>
      </c>
      <c r="BT628" s="1417"/>
      <c r="BU628" s="1417"/>
      <c r="BV628" s="1417"/>
      <c r="BW628" s="1417"/>
      <c r="BX628" s="1417">
        <f>IF(J760="2 Bedrooms",O760,0)</f>
        <v>0</v>
      </c>
      <c r="BY628" s="1417"/>
      <c r="BZ628" s="1417"/>
      <c r="CA628" s="1417"/>
      <c r="CB628" s="1417"/>
      <c r="CC628" s="1417">
        <f>IF(J760="3 Bedrooms",O760,0)</f>
        <v>0</v>
      </c>
      <c r="CD628" s="1417"/>
      <c r="CE628" s="1417"/>
      <c r="CF628" s="1417"/>
      <c r="CG628" s="1417"/>
      <c r="CH628" s="1417">
        <f>IF(J760="4 Bedrooms",O760,0)</f>
        <v>0</v>
      </c>
      <c r="CI628" s="1417"/>
      <c r="CJ628" s="1417"/>
      <c r="CK628" s="1417"/>
      <c r="CL628" s="1417"/>
      <c r="CM628" s="1417">
        <f>IF(J760="5 Bedrooms",O760,0)</f>
        <v>0</v>
      </c>
      <c r="CN628" s="1417"/>
      <c r="CO628" s="1417"/>
      <c r="CP628" s="1417"/>
      <c r="CQ628" s="1417"/>
      <c r="CR628" s="1031"/>
      <c r="CV628" s="3"/>
      <c r="CW628" s="3"/>
      <c r="CX628" s="3"/>
      <c r="CY628" s="3"/>
      <c r="CZ628" s="3"/>
      <c r="DA628" s="3"/>
      <c r="DB628" s="3"/>
      <c r="DC628" s="3"/>
      <c r="DD628" s="3"/>
      <c r="DE628" s="3"/>
      <c r="DF628" s="3"/>
      <c r="DX628" s="1406" t="e">
        <f t="shared" si="24"/>
        <v>#VALUE!</v>
      </c>
      <c r="DY628" s="1406"/>
      <c r="DZ628" s="1406"/>
      <c r="EA628" s="1406"/>
      <c r="EB628" s="1406"/>
      <c r="EC628" s="1406" t="e">
        <f t="shared" si="25"/>
        <v>#VALUE!</v>
      </c>
      <c r="ED628" s="1406"/>
      <c r="EE628" s="1406"/>
      <c r="EF628" s="1406"/>
      <c r="EG628" s="1406"/>
      <c r="EH628" s="1406">
        <f t="shared" si="26"/>
        <v>58.054054054054056</v>
      </c>
      <c r="EI628" s="1406"/>
      <c r="EJ628" s="1406"/>
      <c r="EK628" s="1406"/>
      <c r="EL628" s="1406"/>
      <c r="EM628" s="1406" t="e">
        <f t="shared" si="27"/>
        <v>#VALUE!</v>
      </c>
      <c r="EN628" s="1406"/>
      <c r="EO628" s="1406"/>
      <c r="EP628" s="1406"/>
      <c r="EQ628" s="1406"/>
      <c r="ER628" s="1406" t="e">
        <f t="shared" si="28"/>
        <v>#VALUE!</v>
      </c>
      <c r="ES628" s="1406"/>
      <c r="ET628" s="1406"/>
      <c r="EU628" s="1406"/>
      <c r="EV628" s="1406"/>
      <c r="EW628" s="1406" t="e">
        <f t="shared" si="29"/>
        <v>#VALUE!</v>
      </c>
      <c r="EX628" s="1406"/>
      <c r="EY628" s="1406"/>
      <c r="EZ628" s="1406"/>
      <c r="FA628" s="1406"/>
    </row>
    <row r="629" spans="1:157" ht="13.25" customHeight="1">
      <c r="B629" s="52" t="s">
        <v>465</v>
      </c>
      <c r="C629" s="1346" t="str">
        <f t="shared" si="31"/>
        <v>HEART - LHTF</v>
      </c>
      <c r="D629" s="1346"/>
      <c r="E629" s="1346"/>
      <c r="F629" s="1346"/>
      <c r="G629" s="1346"/>
      <c r="H629" s="1346"/>
      <c r="I629" s="1346"/>
      <c r="J629" s="1346"/>
      <c r="K629" s="1346"/>
      <c r="L629" s="1346"/>
      <c r="M629" s="1389" t="s">
        <v>2544</v>
      </c>
      <c r="N629" s="1389"/>
      <c r="O629" s="1389"/>
      <c r="P629" s="1389"/>
      <c r="Q629" s="1380">
        <f t="shared" si="32"/>
        <v>660</v>
      </c>
      <c r="R629" s="1381"/>
      <c r="S629" s="1382"/>
      <c r="T629" s="1380"/>
      <c r="U629" s="1381"/>
      <c r="V629" s="1382"/>
      <c r="W629" s="1354">
        <v>0.03</v>
      </c>
      <c r="X629" s="1355"/>
      <c r="Y629" s="1356"/>
      <c r="Z629" s="1377" t="s">
        <v>467</v>
      </c>
      <c r="AA629" s="1378"/>
      <c r="AB629" s="1379"/>
      <c r="AC629" s="1429">
        <v>7</v>
      </c>
      <c r="AD629" s="1430"/>
      <c r="AE629" s="1431"/>
      <c r="AF629" s="1364"/>
      <c r="AG629" s="1365"/>
      <c r="AH629" s="1365"/>
      <c r="AI629" s="1365"/>
      <c r="AJ629" s="1366"/>
      <c r="AK629" s="1424"/>
      <c r="AL629" s="1425"/>
      <c r="AM629" s="1425"/>
      <c r="AN629" s="1426"/>
      <c r="AO629" s="1420">
        <f t="shared" si="33"/>
        <v>3230000</v>
      </c>
      <c r="AP629" s="1421"/>
      <c r="AQ629" s="1421"/>
      <c r="AR629" s="1421"/>
      <c r="AS629" s="1422"/>
      <c r="AT629" s="1183" t="str">
        <f t="shared" si="30"/>
        <v/>
      </c>
      <c r="AU629" s="3"/>
      <c r="AV629" s="3"/>
      <c r="AW629" s="3"/>
      <c r="AX629" s="3"/>
      <c r="AY629" s="3"/>
      <c r="AZ629" s="34"/>
      <c r="BA629" s="34"/>
      <c r="BB629" s="34"/>
      <c r="BC629" s="34"/>
      <c r="BD629" s="34"/>
      <c r="BE629" s="34"/>
      <c r="BF629" s="34"/>
      <c r="BG629" s="34"/>
      <c r="BH629" s="34"/>
      <c r="BI629" s="34"/>
      <c r="BJ629" s="34"/>
      <c r="BK629" s="34"/>
      <c r="BL629" s="34"/>
      <c r="BM629" s="34"/>
      <c r="BN629" s="1408">
        <f>IF(J761="SRO/Studio",O761,0)</f>
        <v>0</v>
      </c>
      <c r="BO629" s="1409"/>
      <c r="BP629" s="1409"/>
      <c r="BQ629" s="1409"/>
      <c r="BR629" s="1410"/>
      <c r="BS629" s="1417">
        <f>IF(J761="1 Bedroom",O761,0)</f>
        <v>0</v>
      </c>
      <c r="BT629" s="1417"/>
      <c r="BU629" s="1417"/>
      <c r="BV629" s="1417"/>
      <c r="BW629" s="1417"/>
      <c r="BX629" s="1417">
        <f>IF(J761="2 Bedrooms",O761,0)</f>
        <v>0</v>
      </c>
      <c r="BY629" s="1417"/>
      <c r="BZ629" s="1417"/>
      <c r="CA629" s="1417"/>
      <c r="CB629" s="1417"/>
      <c r="CC629" s="1417">
        <f>IF(J761="3 Bedrooms",O761,0)</f>
        <v>0</v>
      </c>
      <c r="CD629" s="1417"/>
      <c r="CE629" s="1417"/>
      <c r="CF629" s="1417"/>
      <c r="CG629" s="1417"/>
      <c r="CH629" s="1417">
        <f>IF(J761="4 Bedrooms",O761,0)</f>
        <v>0</v>
      </c>
      <c r="CI629" s="1417"/>
      <c r="CJ629" s="1417"/>
      <c r="CK629" s="1417"/>
      <c r="CL629" s="1417"/>
      <c r="CM629" s="1417">
        <f>IF(J761="5 Bedrooms",O761,0)</f>
        <v>0</v>
      </c>
      <c r="CN629" s="1417"/>
      <c r="CO629" s="1417"/>
      <c r="CP629" s="1417"/>
      <c r="CQ629" s="1417"/>
      <c r="CV629" s="3"/>
      <c r="CW629" s="3"/>
      <c r="CX629" s="3"/>
      <c r="CY629" s="3"/>
      <c r="CZ629" s="3"/>
      <c r="DA629" s="3"/>
      <c r="DB629" s="3"/>
      <c r="DC629" s="3"/>
      <c r="DD629" s="3"/>
      <c r="DE629" s="3"/>
      <c r="DF629" s="3"/>
      <c r="DX629" s="1406" t="e">
        <f t="shared" si="24"/>
        <v>#VALUE!</v>
      </c>
      <c r="DY629" s="1406"/>
      <c r="DZ629" s="1406"/>
      <c r="EA629" s="1406"/>
      <c r="EB629" s="1406"/>
      <c r="EC629" s="1406" t="e">
        <f t="shared" si="25"/>
        <v>#VALUE!</v>
      </c>
      <c r="ED629" s="1406"/>
      <c r="EE629" s="1406"/>
      <c r="EF629" s="1406"/>
      <c r="EG629" s="1406"/>
      <c r="EH629" s="1406" t="e">
        <f t="shared" si="26"/>
        <v>#VALUE!</v>
      </c>
      <c r="EI629" s="1406"/>
      <c r="EJ629" s="1406"/>
      <c r="EK629" s="1406"/>
      <c r="EL629" s="1406"/>
      <c r="EM629" s="1406">
        <f t="shared" si="27"/>
        <v>316.2962962962963</v>
      </c>
      <c r="EN629" s="1406"/>
      <c r="EO629" s="1406"/>
      <c r="EP629" s="1406"/>
      <c r="EQ629" s="1406"/>
      <c r="ER629" s="1406" t="e">
        <f t="shared" si="28"/>
        <v>#VALUE!</v>
      </c>
      <c r="ES629" s="1406"/>
      <c r="ET629" s="1406"/>
      <c r="EU629" s="1406"/>
      <c r="EV629" s="1406"/>
      <c r="EW629" s="1406" t="e">
        <f t="shared" si="29"/>
        <v>#VALUE!</v>
      </c>
      <c r="EX629" s="1406"/>
      <c r="EY629" s="1406"/>
      <c r="EZ629" s="1406"/>
      <c r="FA629" s="1406"/>
    </row>
    <row r="630" spans="1:157" ht="13.25" customHeight="1">
      <c r="B630" s="52" t="s">
        <v>466</v>
      </c>
      <c r="C630" s="1346" t="str">
        <f t="shared" si="31"/>
        <v>LISC Housing Catalyst Fund</v>
      </c>
      <c r="D630" s="1346"/>
      <c r="E630" s="1346"/>
      <c r="F630" s="1346"/>
      <c r="G630" s="1346"/>
      <c r="H630" s="1346"/>
      <c r="I630" s="1346"/>
      <c r="J630" s="1346"/>
      <c r="K630" s="1346"/>
      <c r="L630" s="1346"/>
      <c r="M630" s="1389" t="s">
        <v>2544</v>
      </c>
      <c r="N630" s="1389"/>
      <c r="O630" s="1389"/>
      <c r="P630" s="1389"/>
      <c r="Q630" s="1380">
        <f t="shared" si="32"/>
        <v>660</v>
      </c>
      <c r="R630" s="1381"/>
      <c r="S630" s="1382"/>
      <c r="T630" s="1380"/>
      <c r="U630" s="1381"/>
      <c r="V630" s="1382"/>
      <c r="W630" s="1354">
        <v>5.0000000000000001E-3</v>
      </c>
      <c r="X630" s="1355"/>
      <c r="Y630" s="1356"/>
      <c r="Z630" s="1377" t="s">
        <v>467</v>
      </c>
      <c r="AA630" s="1378"/>
      <c r="AB630" s="1379"/>
      <c r="AC630" s="1429">
        <v>8</v>
      </c>
      <c r="AD630" s="1430"/>
      <c r="AE630" s="1431"/>
      <c r="AF630" s="1364"/>
      <c r="AG630" s="1365"/>
      <c r="AH630" s="1365"/>
      <c r="AI630" s="1365"/>
      <c r="AJ630" s="1366"/>
      <c r="AK630" s="1424"/>
      <c r="AL630" s="1425"/>
      <c r="AM630" s="1425"/>
      <c r="AN630" s="1426"/>
      <c r="AO630" s="1420">
        <f t="shared" si="33"/>
        <v>5286000</v>
      </c>
      <c r="AP630" s="1421"/>
      <c r="AQ630" s="1421"/>
      <c r="AR630" s="1421"/>
      <c r="AS630" s="1422"/>
      <c r="AT630" s="1183" t="str">
        <f t="shared" si="30"/>
        <v/>
      </c>
      <c r="AU630" s="3"/>
      <c r="AV630" s="3"/>
      <c r="AW630" s="3"/>
      <c r="AX630" s="3"/>
      <c r="AY630" s="3"/>
      <c r="AZ630" s="34"/>
      <c r="BA630" s="34"/>
      <c r="BB630" s="34"/>
      <c r="BC630" s="34"/>
      <c r="BD630" s="34"/>
      <c r="BE630" s="34"/>
      <c r="BF630" s="34"/>
      <c r="BG630" s="34"/>
      <c r="BH630" s="34"/>
      <c r="BI630" s="34"/>
      <c r="BJ630" s="34"/>
      <c r="BK630" s="34"/>
      <c r="BL630" s="34"/>
      <c r="BM630" s="34"/>
      <c r="BN630" s="1427">
        <f>SUM(BN626:BR629)</f>
        <v>0</v>
      </c>
      <c r="BO630" s="1590"/>
      <c r="BP630" s="1590"/>
      <c r="BQ630" s="1590"/>
      <c r="BR630" s="1428"/>
      <c r="BS630" s="1411">
        <f>SUM(BS626:BW629)</f>
        <v>0</v>
      </c>
      <c r="BT630" s="1412"/>
      <c r="BU630" s="1412"/>
      <c r="BV630" s="1412"/>
      <c r="BW630" s="1413"/>
      <c r="BX630" s="1411">
        <f>SUM(BX626:CB629)</f>
        <v>1</v>
      </c>
      <c r="BY630" s="1412"/>
      <c r="BZ630" s="1412"/>
      <c r="CA630" s="1412"/>
      <c r="CB630" s="1413"/>
      <c r="CC630" s="1411">
        <f>SUM(CC626:CG629)</f>
        <v>0</v>
      </c>
      <c r="CD630" s="1412"/>
      <c r="CE630" s="1412"/>
      <c r="CF630" s="1412"/>
      <c r="CG630" s="1413"/>
      <c r="CH630" s="1411">
        <f>SUM(CH626:CL629)</f>
        <v>0</v>
      </c>
      <c r="CI630" s="1412"/>
      <c r="CJ630" s="1412"/>
      <c r="CK630" s="1412"/>
      <c r="CL630" s="1413"/>
      <c r="CM630" s="1411">
        <f>SUM(CM626:CQ629)</f>
        <v>0</v>
      </c>
      <c r="CN630" s="1412"/>
      <c r="CO630" s="1412"/>
      <c r="CP630" s="1412"/>
      <c r="CQ630" s="1413"/>
      <c r="CS630" s="888">
        <f>BN630+BS630+BX630+CC630+CH630+CM630</f>
        <v>1</v>
      </c>
      <c r="CT630" s="57" t="s">
        <v>2123</v>
      </c>
      <c r="CU630" s="3"/>
      <c r="CV630" s="3"/>
      <c r="CW630" s="3"/>
      <c r="CX630" s="3"/>
      <c r="CY630" s="3"/>
      <c r="CZ630" s="3"/>
      <c r="DA630" s="3"/>
      <c r="DB630" s="3"/>
      <c r="DC630" s="3"/>
      <c r="DD630" s="3"/>
      <c r="DE630" s="3"/>
      <c r="DF630" s="3"/>
      <c r="DX630" s="1406" t="e">
        <f t="shared" si="24"/>
        <v>#VALUE!</v>
      </c>
      <c r="DY630" s="1406"/>
      <c r="DZ630" s="1406"/>
      <c r="EA630" s="1406"/>
      <c r="EB630" s="1406"/>
      <c r="EC630" s="1406" t="e">
        <f t="shared" si="25"/>
        <v>#VALUE!</v>
      </c>
      <c r="ED630" s="1406"/>
      <c r="EE630" s="1406"/>
      <c r="EF630" s="1406"/>
      <c r="EG630" s="1406"/>
      <c r="EH630" s="1406" t="e">
        <f t="shared" si="26"/>
        <v>#VALUE!</v>
      </c>
      <c r="EI630" s="1406"/>
      <c r="EJ630" s="1406"/>
      <c r="EK630" s="1406"/>
      <c r="EL630" s="1406"/>
      <c r="EM630" s="1406">
        <f t="shared" si="27"/>
        <v>90.370370370370367</v>
      </c>
      <c r="EN630" s="1406"/>
      <c r="EO630" s="1406"/>
      <c r="EP630" s="1406"/>
      <c r="EQ630" s="1406"/>
      <c r="ER630" s="1406" t="e">
        <f t="shared" si="28"/>
        <v>#VALUE!</v>
      </c>
      <c r="ES630" s="1406"/>
      <c r="ET630" s="1406"/>
      <c r="EU630" s="1406"/>
      <c r="EV630" s="1406"/>
      <c r="EW630" s="1406" t="e">
        <f t="shared" si="29"/>
        <v>#VALUE!</v>
      </c>
      <c r="EX630" s="1406"/>
      <c r="EY630" s="1406"/>
      <c r="EZ630" s="1406"/>
      <c r="FA630" s="1406"/>
    </row>
    <row r="631" spans="1:157" ht="13.25" customHeight="1">
      <c r="B631" s="52" t="s">
        <v>471</v>
      </c>
      <c r="C631" s="1346" t="str">
        <f t="shared" si="31"/>
        <v>Impact Fee Waiver</v>
      </c>
      <c r="D631" s="1346"/>
      <c r="E631" s="1346"/>
      <c r="F631" s="1346"/>
      <c r="G631" s="1346"/>
      <c r="H631" s="1346"/>
      <c r="I631" s="1346"/>
      <c r="J631" s="1346"/>
      <c r="K631" s="1346"/>
      <c r="L631" s="1346"/>
      <c r="M631" s="1389" t="s">
        <v>2557</v>
      </c>
      <c r="N631" s="1389"/>
      <c r="O631" s="1389"/>
      <c r="P631" s="1389"/>
      <c r="Q631" s="1380"/>
      <c r="R631" s="1381"/>
      <c r="S631" s="1382"/>
      <c r="T631" s="1380"/>
      <c r="U631" s="1381"/>
      <c r="V631" s="1382"/>
      <c r="W631" s="1354"/>
      <c r="X631" s="1355"/>
      <c r="Y631" s="1356"/>
      <c r="Z631" s="1377" t="s">
        <v>302</v>
      </c>
      <c r="AA631" s="1378"/>
      <c r="AB631" s="1379"/>
      <c r="AC631" s="1429"/>
      <c r="AD631" s="1430"/>
      <c r="AE631" s="1431"/>
      <c r="AF631" s="1364"/>
      <c r="AG631" s="1365"/>
      <c r="AH631" s="1365"/>
      <c r="AI631" s="1365"/>
      <c r="AJ631" s="1366"/>
      <c r="AK631" s="1424"/>
      <c r="AL631" s="1425"/>
      <c r="AM631" s="1425"/>
      <c r="AN631" s="1426"/>
      <c r="AO631" s="1420">
        <f t="shared" si="33"/>
        <v>3330452</v>
      </c>
      <c r="AP631" s="1421"/>
      <c r="AQ631" s="1421"/>
      <c r="AR631" s="1421"/>
      <c r="AS631" s="1422"/>
      <c r="AT631" s="1183" t="str">
        <f t="shared" si="30"/>
        <v/>
      </c>
      <c r="AU631" s="3"/>
      <c r="AV631" s="3"/>
      <c r="AW631" s="3"/>
      <c r="AX631" s="3"/>
      <c r="AY631" s="3"/>
      <c r="AZ631" s="34"/>
      <c r="BA631" s="34"/>
      <c r="BB631" s="34"/>
      <c r="BC631" s="34"/>
      <c r="BD631" s="34"/>
      <c r="BE631" s="34"/>
      <c r="BF631" s="34"/>
      <c r="BG631" s="34"/>
      <c r="BH631" s="34"/>
      <c r="BI631" s="34"/>
      <c r="BJ631" s="34"/>
      <c r="BK631" s="34"/>
      <c r="BL631" s="34"/>
      <c r="BM631" s="34"/>
      <c r="BR631" s="888">
        <f>BN630*1</f>
        <v>0</v>
      </c>
      <c r="BS631" s="3"/>
      <c r="BT631" s="3"/>
      <c r="BU631" s="3"/>
      <c r="BV631" s="3"/>
      <c r="BW631" s="888">
        <f>BS630*1</f>
        <v>0</v>
      </c>
      <c r="BX631" s="3"/>
      <c r="BY631" s="3"/>
      <c r="BZ631" s="3"/>
      <c r="CA631" s="3"/>
      <c r="CB631" s="888">
        <f>BX630*2</f>
        <v>2</v>
      </c>
      <c r="CC631" s="3"/>
      <c r="CD631" s="3"/>
      <c r="CE631" s="3"/>
      <c r="CF631" s="3"/>
      <c r="CG631" s="888">
        <f>CC630*3</f>
        <v>0</v>
      </c>
      <c r="CH631" s="3"/>
      <c r="CI631" s="3"/>
      <c r="CJ631" s="3"/>
      <c r="CK631" s="3"/>
      <c r="CL631" s="888">
        <f>CH630*4</f>
        <v>0</v>
      </c>
      <c r="CM631" s="3"/>
      <c r="CN631" s="3"/>
      <c r="CO631" s="3"/>
      <c r="CP631" s="3"/>
      <c r="CQ631" s="888">
        <f>CM630*5</f>
        <v>0</v>
      </c>
      <c r="CS631" s="888">
        <f>BR631+BW631+CB631+CG631+CL631+CQ631</f>
        <v>2</v>
      </c>
      <c r="CT631" s="57" t="s">
        <v>2125</v>
      </c>
      <c r="CU631" s="3"/>
      <c r="CV631" s="3"/>
      <c r="CW631" s="3"/>
      <c r="CX631" s="3"/>
      <c r="CY631" s="3"/>
      <c r="CZ631" s="3"/>
      <c r="DA631" s="3"/>
      <c r="DB631" s="3"/>
      <c r="DC631" s="3"/>
      <c r="DD631" s="3"/>
      <c r="DE631" s="3"/>
      <c r="DF631" s="3"/>
      <c r="DX631" s="1406" t="e">
        <f t="shared" si="24"/>
        <v>#VALUE!</v>
      </c>
      <c r="DY631" s="1406"/>
      <c r="DZ631" s="1406"/>
      <c r="EA631" s="1406"/>
      <c r="EB631" s="1406"/>
      <c r="EC631" s="1406" t="e">
        <f t="shared" si="25"/>
        <v>#VALUE!</v>
      </c>
      <c r="ED631" s="1406"/>
      <c r="EE631" s="1406"/>
      <c r="EF631" s="1406"/>
      <c r="EG631" s="1406"/>
      <c r="EH631" s="1406" t="e">
        <f t="shared" si="26"/>
        <v>#VALUE!</v>
      </c>
      <c r="EI631" s="1406"/>
      <c r="EJ631" s="1406"/>
      <c r="EK631" s="1406"/>
      <c r="EL631" s="1406"/>
      <c r="EM631" s="1406" t="e">
        <f t="shared" si="27"/>
        <v>#VALUE!</v>
      </c>
      <c r="EN631" s="1406"/>
      <c r="EO631" s="1406"/>
      <c r="EP631" s="1406"/>
      <c r="EQ631" s="1406"/>
      <c r="ER631" s="1406">
        <f t="shared" si="28"/>
        <v>191</v>
      </c>
      <c r="ES631" s="1406"/>
      <c r="ET631" s="1406"/>
      <c r="EU631" s="1406"/>
      <c r="EV631" s="1406"/>
      <c r="EW631" s="1406" t="e">
        <f t="shared" si="29"/>
        <v>#VALUE!</v>
      </c>
      <c r="EX631" s="1406"/>
      <c r="EY631" s="1406"/>
      <c r="EZ631" s="1406"/>
      <c r="FA631" s="1406"/>
    </row>
    <row r="632" spans="1:157" ht="13.25" customHeight="1">
      <c r="B632" s="52" t="s">
        <v>656</v>
      </c>
      <c r="C632" s="1346" t="str">
        <f>+C559</f>
        <v>Deferred Developer Fee</v>
      </c>
      <c r="D632" s="1346"/>
      <c r="E632" s="1346"/>
      <c r="F632" s="1346"/>
      <c r="G632" s="1346"/>
      <c r="H632" s="1346"/>
      <c r="I632" s="1346"/>
      <c r="J632" s="1346"/>
      <c r="K632" s="1346"/>
      <c r="L632" s="1346"/>
      <c r="M632" s="1389" t="s">
        <v>2535</v>
      </c>
      <c r="N632" s="1389"/>
      <c r="O632" s="1389"/>
      <c r="P632" s="1389"/>
      <c r="Q632" s="1380"/>
      <c r="R632" s="1381"/>
      <c r="S632" s="1382"/>
      <c r="T632" s="1380"/>
      <c r="U632" s="1381"/>
      <c r="V632" s="1382"/>
      <c r="W632" s="1354"/>
      <c r="X632" s="1355"/>
      <c r="Y632" s="1356"/>
      <c r="Z632" s="1377" t="s">
        <v>468</v>
      </c>
      <c r="AA632" s="1378"/>
      <c r="AB632" s="1379"/>
      <c r="AC632" s="1429"/>
      <c r="AD632" s="1430"/>
      <c r="AE632" s="1431"/>
      <c r="AF632" s="1364"/>
      <c r="AG632" s="1365"/>
      <c r="AH632" s="1365"/>
      <c r="AI632" s="1365"/>
      <c r="AJ632" s="1366"/>
      <c r="AK632" s="1424"/>
      <c r="AL632" s="1425"/>
      <c r="AM632" s="1425"/>
      <c r="AN632" s="1426"/>
      <c r="AO632" s="1420">
        <f>+AM559</f>
        <v>4750527</v>
      </c>
      <c r="AP632" s="1421"/>
      <c r="AQ632" s="1421"/>
      <c r="AR632" s="1421"/>
      <c r="AS632" s="1422"/>
      <c r="AT632" s="1183"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6" t="e">
        <f t="shared" si="24"/>
        <v>#VALUE!</v>
      </c>
      <c r="DY632" s="1406"/>
      <c r="DZ632" s="1406"/>
      <c r="EA632" s="1406"/>
      <c r="EB632" s="1406"/>
      <c r="EC632" s="1406" t="e">
        <f t="shared" si="25"/>
        <v>#VALUE!</v>
      </c>
      <c r="ED632" s="1406"/>
      <c r="EE632" s="1406"/>
      <c r="EF632" s="1406"/>
      <c r="EG632" s="1406"/>
      <c r="EH632" s="1406" t="e">
        <f t="shared" si="26"/>
        <v>#VALUE!</v>
      </c>
      <c r="EI632" s="1406"/>
      <c r="EJ632" s="1406"/>
      <c r="EK632" s="1406"/>
      <c r="EL632" s="1406"/>
      <c r="EM632" s="1406" t="e">
        <f t="shared" si="27"/>
        <v>#VALUE!</v>
      </c>
      <c r="EN632" s="1406"/>
      <c r="EO632" s="1406"/>
      <c r="EP632" s="1406"/>
      <c r="EQ632" s="1406"/>
      <c r="ER632" s="1406">
        <f t="shared" si="28"/>
        <v>382</v>
      </c>
      <c r="ES632" s="1406"/>
      <c r="ET632" s="1406"/>
      <c r="EU632" s="1406"/>
      <c r="EV632" s="1406"/>
      <c r="EW632" s="1406" t="e">
        <f t="shared" si="29"/>
        <v>#VALUE!</v>
      </c>
      <c r="EX632" s="1406"/>
      <c r="EY632" s="1406"/>
      <c r="EZ632" s="1406"/>
      <c r="FA632" s="1406"/>
    </row>
    <row r="633" spans="1:157" ht="13.25" customHeight="1">
      <c r="B633" s="52" t="s">
        <v>364</v>
      </c>
      <c r="C633" s="1346" t="str">
        <f>+C561</f>
        <v>Accrued/Deferred Interest</v>
      </c>
      <c r="D633" s="1346"/>
      <c r="E633" s="1346"/>
      <c r="F633" s="1346"/>
      <c r="G633" s="1346"/>
      <c r="H633" s="1346"/>
      <c r="I633" s="1346"/>
      <c r="J633" s="1346"/>
      <c r="K633" s="1346"/>
      <c r="L633" s="1346"/>
      <c r="M633" s="1389" t="s">
        <v>2533</v>
      </c>
      <c r="N633" s="1389"/>
      <c r="O633" s="1389"/>
      <c r="P633" s="1389"/>
      <c r="Q633" s="1380"/>
      <c r="R633" s="1381"/>
      <c r="S633" s="1382"/>
      <c r="T633" s="1380"/>
      <c r="U633" s="1381"/>
      <c r="V633" s="1382"/>
      <c r="W633" s="1354"/>
      <c r="X633" s="1355"/>
      <c r="Y633" s="1356"/>
      <c r="Z633" s="1377" t="s">
        <v>468</v>
      </c>
      <c r="AA633" s="1378"/>
      <c r="AB633" s="1379"/>
      <c r="AC633" s="1429"/>
      <c r="AD633" s="1430"/>
      <c r="AE633" s="1431"/>
      <c r="AF633" s="1364"/>
      <c r="AG633" s="1365"/>
      <c r="AH633" s="1365"/>
      <c r="AI633" s="1365"/>
      <c r="AJ633" s="1366"/>
      <c r="AK633" s="1424"/>
      <c r="AL633" s="1425"/>
      <c r="AM633" s="1425"/>
      <c r="AN633" s="1426"/>
      <c r="AO633" s="1420">
        <f>+AM561</f>
        <v>1045178</v>
      </c>
      <c r="AP633" s="1421"/>
      <c r="AQ633" s="1421"/>
      <c r="AR633" s="1421"/>
      <c r="AS633" s="1422"/>
      <c r="AT633" s="1183"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6">
        <f t="shared" si="24"/>
        <v>588.5</v>
      </c>
      <c r="DY633" s="1406"/>
      <c r="DZ633" s="1406"/>
      <c r="EA633" s="1406"/>
      <c r="EB633" s="1406"/>
      <c r="EC633" s="1406" t="e">
        <f t="shared" si="25"/>
        <v>#VALUE!</v>
      </c>
      <c r="ED633" s="1406"/>
      <c r="EE633" s="1406"/>
      <c r="EF633" s="1406"/>
      <c r="EG633" s="1406"/>
      <c r="EH633" s="1406" t="e">
        <f t="shared" si="26"/>
        <v>#VALUE!</v>
      </c>
      <c r="EI633" s="1406"/>
      <c r="EJ633" s="1406"/>
      <c r="EK633" s="1406"/>
      <c r="EL633" s="1406"/>
      <c r="EM633" s="1406" t="e">
        <f t="shared" si="27"/>
        <v>#VALUE!</v>
      </c>
      <c r="EN633" s="1406"/>
      <c r="EO633" s="1406"/>
      <c r="EP633" s="1406"/>
      <c r="EQ633" s="1406"/>
      <c r="ER633" s="1406" t="e">
        <f t="shared" si="28"/>
        <v>#VALUE!</v>
      </c>
      <c r="ES633" s="1406"/>
      <c r="ET633" s="1406"/>
      <c r="EU633" s="1406"/>
      <c r="EV633" s="1406"/>
      <c r="EW633" s="1406" t="e">
        <f t="shared" si="29"/>
        <v>#VALUE!</v>
      </c>
      <c r="EX633" s="1406"/>
      <c r="EY633" s="1406"/>
      <c r="EZ633" s="1406"/>
      <c r="FA633" s="1406"/>
    </row>
    <row r="634" spans="1:157" ht="13.25" customHeight="1">
      <c r="B634" s="52" t="s">
        <v>365</v>
      </c>
      <c r="C634" s="1346"/>
      <c r="D634" s="1346"/>
      <c r="E634" s="1346"/>
      <c r="F634" s="1346"/>
      <c r="G634" s="1346"/>
      <c r="H634" s="1346"/>
      <c r="I634" s="1346"/>
      <c r="J634" s="1346"/>
      <c r="K634" s="1346"/>
      <c r="L634" s="1346"/>
      <c r="M634" s="1389"/>
      <c r="N634" s="1389"/>
      <c r="O634" s="1389"/>
      <c r="P634" s="1389"/>
      <c r="Q634" s="1380"/>
      <c r="R634" s="1381"/>
      <c r="S634" s="1382"/>
      <c r="T634" s="1380"/>
      <c r="U634" s="1381"/>
      <c r="V634" s="1382"/>
      <c r="W634" s="1354"/>
      <c r="X634" s="1355"/>
      <c r="Y634" s="1356"/>
      <c r="Z634" s="1377"/>
      <c r="AA634" s="1378"/>
      <c r="AB634" s="1379"/>
      <c r="AC634" s="1429"/>
      <c r="AD634" s="1430"/>
      <c r="AE634" s="1431"/>
      <c r="AF634" s="1364"/>
      <c r="AG634" s="1365"/>
      <c r="AH634" s="1365"/>
      <c r="AI634" s="1365"/>
      <c r="AJ634" s="1366"/>
      <c r="AK634" s="1424"/>
      <c r="AL634" s="1425"/>
      <c r="AM634" s="1425"/>
      <c r="AN634" s="1426"/>
      <c r="AO634" s="1420"/>
      <c r="AP634" s="1421"/>
      <c r="AQ634" s="1421"/>
      <c r="AR634" s="1421"/>
      <c r="AS634" s="1422"/>
      <c r="AT634" s="1183" t="str">
        <f t="shared" si="30"/>
        <v/>
      </c>
      <c r="AU634" s="3"/>
      <c r="AV634" s="3"/>
      <c r="AW634" s="3"/>
      <c r="AX634" s="3"/>
      <c r="AY634" s="3"/>
      <c r="AZ634" s="3"/>
      <c r="BA634" s="3"/>
      <c r="BB634" s="3"/>
      <c r="BC634" s="3"/>
      <c r="BD634" s="3"/>
      <c r="BE634" s="3"/>
      <c r="BF634" s="3"/>
      <c r="BG634" s="3"/>
      <c r="BH634" s="3"/>
      <c r="BI634" s="3"/>
      <c r="BJ634" s="3"/>
      <c r="BK634" s="3"/>
      <c r="BL634" s="3"/>
      <c r="BM634" s="3"/>
      <c r="BN634" s="1408">
        <f t="shared" ref="BN634:BN643" si="34">IF(J772="SRO/Studio",O772,0)</f>
        <v>0</v>
      </c>
      <c r="BO634" s="1409"/>
      <c r="BP634" s="1409"/>
      <c r="BQ634" s="1409"/>
      <c r="BR634" s="1410"/>
      <c r="BS634" s="1417">
        <f t="shared" ref="BS634:BS643" si="35">IF(J772="1 Bedroom",O772,0)</f>
        <v>0</v>
      </c>
      <c r="BT634" s="1417"/>
      <c r="BU634" s="1417"/>
      <c r="BV634" s="1417"/>
      <c r="BW634" s="1417"/>
      <c r="BX634" s="1417">
        <f t="shared" ref="BX634:BX643" si="36">IF(J772="2 Bedrooms",O772,0)</f>
        <v>0</v>
      </c>
      <c r="BY634" s="1417"/>
      <c r="BZ634" s="1417"/>
      <c r="CA634" s="1417"/>
      <c r="CB634" s="1417"/>
      <c r="CC634" s="1417">
        <f t="shared" ref="CC634:CC643" si="37">IF(J772="3 Bedrooms",O772,0)</f>
        <v>0</v>
      </c>
      <c r="CD634" s="1417"/>
      <c r="CE634" s="1417"/>
      <c r="CF634" s="1417"/>
      <c r="CG634" s="1417"/>
      <c r="CH634" s="1417">
        <f t="shared" ref="CH634:CH643" si="38">IF(J772="4 Bedrooms",O772,0)</f>
        <v>0</v>
      </c>
      <c r="CI634" s="1417"/>
      <c r="CJ634" s="1417"/>
      <c r="CK634" s="1417"/>
      <c r="CL634" s="1417"/>
      <c r="CM634" s="1417">
        <f t="shared" ref="CM634:CM643" si="39">IF(J772="5 Bedrooms",O772,0)</f>
        <v>0</v>
      </c>
      <c r="CN634" s="1417"/>
      <c r="CO634" s="1417"/>
      <c r="CP634" s="1417"/>
      <c r="CQ634" s="1417"/>
      <c r="CR634" s="6"/>
      <c r="CS634" s="1408">
        <f>IF(AND(BN634&gt;=1,AH772&gt;=0.1,AH772&lt;=1),O772,0)</f>
        <v>0</v>
      </c>
      <c r="CT634" s="1409"/>
      <c r="CU634" s="1409"/>
      <c r="CV634" s="1409"/>
      <c r="CW634" s="1410"/>
      <c r="CX634" s="1408">
        <f>IF(AND(BS634&gt;=1,AH772&gt;=0.1,AH772&lt;=1),O772,0)</f>
        <v>0</v>
      </c>
      <c r="CY634" s="1409"/>
      <c r="CZ634" s="1409"/>
      <c r="DA634" s="1409"/>
      <c r="DB634" s="1410"/>
      <c r="DC634" s="1408">
        <f>IF(AND(BX634&gt;=1,AH772&gt;=0.1,AH772&lt;=1),O772,0)</f>
        <v>0</v>
      </c>
      <c r="DD634" s="1409"/>
      <c r="DE634" s="1409"/>
      <c r="DF634" s="1409"/>
      <c r="DG634" s="1410"/>
      <c r="DH634" s="1408">
        <f>IF(AND(CC634&gt;=1,AH772&gt;=0.1,AH772&lt;=1),O772,0)</f>
        <v>0</v>
      </c>
      <c r="DI634" s="1409"/>
      <c r="DJ634" s="1409"/>
      <c r="DK634" s="1409"/>
      <c r="DL634" s="1410"/>
      <c r="DM634" s="1408">
        <f>IF(AND(CH634&gt;=1,AH772&gt;=0.1,AH772&lt;=1),O772,0)</f>
        <v>0</v>
      </c>
      <c r="DN634" s="1409"/>
      <c r="DO634" s="1409"/>
      <c r="DP634" s="1409"/>
      <c r="DQ634" s="1410"/>
      <c r="DR634" s="1408">
        <f>IF(AND(CM634&gt;=1,AH772&gt;=0.1,AH772&lt;=1),O772,0)</f>
        <v>0</v>
      </c>
      <c r="DS634" s="1409"/>
      <c r="DT634" s="1409"/>
      <c r="DU634" s="1409"/>
      <c r="DV634" s="1410"/>
      <c r="DX634" s="1406" t="e">
        <f t="shared" si="24"/>
        <v>#VALUE!</v>
      </c>
      <c r="DY634" s="1406"/>
      <c r="DZ634" s="1406"/>
      <c r="EA634" s="1406"/>
      <c r="EB634" s="1406"/>
      <c r="EC634" s="1406">
        <f t="shared" si="25"/>
        <v>396.9473684210526</v>
      </c>
      <c r="ED634" s="1406"/>
      <c r="EE634" s="1406"/>
      <c r="EF634" s="1406"/>
      <c r="EG634" s="1406"/>
      <c r="EH634" s="1406" t="e">
        <f t="shared" si="26"/>
        <v>#VALUE!</v>
      </c>
      <c r="EI634" s="1406"/>
      <c r="EJ634" s="1406"/>
      <c r="EK634" s="1406"/>
      <c r="EL634" s="1406"/>
      <c r="EM634" s="1406" t="e">
        <f t="shared" si="27"/>
        <v>#VALUE!</v>
      </c>
      <c r="EN634" s="1406"/>
      <c r="EO634" s="1406"/>
      <c r="EP634" s="1406"/>
      <c r="EQ634" s="1406"/>
      <c r="ER634" s="1406" t="e">
        <f t="shared" si="28"/>
        <v>#VALUE!</v>
      </c>
      <c r="ES634" s="1406"/>
      <c r="ET634" s="1406"/>
      <c r="EU634" s="1406"/>
      <c r="EV634" s="1406"/>
      <c r="EW634" s="1406" t="e">
        <f t="shared" si="29"/>
        <v>#VALUE!</v>
      </c>
      <c r="EX634" s="1406"/>
      <c r="EY634" s="1406"/>
      <c r="EZ634" s="1406"/>
      <c r="FA634" s="1406"/>
    </row>
    <row r="635" spans="1:157" ht="13.25" customHeight="1">
      <c r="B635" s="1577" t="s">
        <v>129</v>
      </c>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578"/>
      <c r="AJ635" s="1578"/>
      <c r="AK635" s="1578"/>
      <c r="AL635" s="1578"/>
      <c r="AM635" s="1578"/>
      <c r="AN635" s="1579"/>
      <c r="AO635" s="1587">
        <f>SUM(AO623:AR634)</f>
        <v>76802244</v>
      </c>
      <c r="AP635" s="1588"/>
      <c r="AQ635" s="1588"/>
      <c r="AR635" s="1588"/>
      <c r="AS635" s="1589"/>
      <c r="AZ635" s="3"/>
      <c r="BA635" s="3"/>
      <c r="BB635" s="3"/>
      <c r="BC635" s="3"/>
      <c r="BD635" s="3"/>
      <c r="BE635" s="3"/>
      <c r="BF635" s="3"/>
      <c r="BG635" s="3"/>
      <c r="BH635" s="3"/>
      <c r="BI635" s="3"/>
      <c r="BJ635" s="3"/>
      <c r="BK635" s="3"/>
      <c r="BL635" s="3"/>
      <c r="BM635" s="3"/>
      <c r="BN635" s="1408">
        <f t="shared" si="34"/>
        <v>0</v>
      </c>
      <c r="BO635" s="1409"/>
      <c r="BP635" s="1409"/>
      <c r="BQ635" s="1409"/>
      <c r="BR635" s="1410"/>
      <c r="BS635" s="1417">
        <f t="shared" si="35"/>
        <v>0</v>
      </c>
      <c r="BT635" s="1417"/>
      <c r="BU635" s="1417"/>
      <c r="BV635" s="1417"/>
      <c r="BW635" s="1417"/>
      <c r="BX635" s="1417">
        <f t="shared" si="36"/>
        <v>0</v>
      </c>
      <c r="BY635" s="1417"/>
      <c r="BZ635" s="1417"/>
      <c r="CA635" s="1417"/>
      <c r="CB635" s="1417"/>
      <c r="CC635" s="1417">
        <f t="shared" si="37"/>
        <v>0</v>
      </c>
      <c r="CD635" s="1417"/>
      <c r="CE635" s="1417"/>
      <c r="CF635" s="1417"/>
      <c r="CG635" s="1417"/>
      <c r="CH635" s="1417">
        <f t="shared" si="38"/>
        <v>0</v>
      </c>
      <c r="CI635" s="1417"/>
      <c r="CJ635" s="1417"/>
      <c r="CK635" s="1417"/>
      <c r="CL635" s="1417"/>
      <c r="CM635" s="1417">
        <f t="shared" si="39"/>
        <v>0</v>
      </c>
      <c r="CN635" s="1417"/>
      <c r="CO635" s="1417"/>
      <c r="CP635" s="1417"/>
      <c r="CQ635" s="1417"/>
      <c r="CR635" s="6"/>
      <c r="CS635" s="1408">
        <f t="shared" ref="CS635:CS643" si="40">IF(AND(BN635&gt;=1,AH773&gt;=0.1,AH773&lt;=1),O773,0)</f>
        <v>0</v>
      </c>
      <c r="CT635" s="1409"/>
      <c r="CU635" s="1409"/>
      <c r="CV635" s="1409"/>
      <c r="CW635" s="1410"/>
      <c r="CX635" s="1408">
        <f t="shared" ref="CX635:CX643" si="41">IF(AND(BS635&gt;=1,AH773&gt;=0.1,AH773&lt;=1),O773,0)</f>
        <v>0</v>
      </c>
      <c r="CY635" s="1409"/>
      <c r="CZ635" s="1409"/>
      <c r="DA635" s="1409"/>
      <c r="DB635" s="1410"/>
      <c r="DC635" s="1408">
        <f t="shared" ref="DC635:DC643" si="42">IF(AND(BX635&gt;=1,AH773&gt;=0.1,AH773&lt;=1),O773,0)</f>
        <v>0</v>
      </c>
      <c r="DD635" s="1409"/>
      <c r="DE635" s="1409"/>
      <c r="DF635" s="1409"/>
      <c r="DG635" s="1410"/>
      <c r="DH635" s="1408">
        <f t="shared" ref="DH635:DH643" si="43">IF(AND(CC635&gt;=1,AH773&gt;=0.1,AH773&lt;=1),O773,0)</f>
        <v>0</v>
      </c>
      <c r="DI635" s="1409"/>
      <c r="DJ635" s="1409"/>
      <c r="DK635" s="1409"/>
      <c r="DL635" s="1410"/>
      <c r="DM635" s="1408">
        <f t="shared" ref="DM635:DM643" si="44">IF(AND(CH635&gt;=1,AH773&gt;=0.1,AH773&lt;=1),O773,0)</f>
        <v>0</v>
      </c>
      <c r="DN635" s="1409"/>
      <c r="DO635" s="1409"/>
      <c r="DP635" s="1409"/>
      <c r="DQ635" s="1410"/>
      <c r="DR635" s="1408">
        <f t="shared" ref="DR635:DR643" si="45">IF(AND(CM635&gt;=1,AH773&gt;=0.1,AH773&lt;=1),O773,0)</f>
        <v>0</v>
      </c>
      <c r="DS635" s="1409"/>
      <c r="DT635" s="1409"/>
      <c r="DU635" s="1409"/>
      <c r="DV635" s="1410"/>
      <c r="DX635" s="1406" t="e">
        <f t="shared" si="24"/>
        <v>#VALUE!</v>
      </c>
      <c r="DY635" s="1406"/>
      <c r="DZ635" s="1406"/>
      <c r="EA635" s="1406"/>
      <c r="EB635" s="1406"/>
      <c r="EC635" s="1406" t="e">
        <f t="shared" si="25"/>
        <v>#VALUE!</v>
      </c>
      <c r="ED635" s="1406"/>
      <c r="EE635" s="1406"/>
      <c r="EF635" s="1406"/>
      <c r="EG635" s="1406"/>
      <c r="EH635" s="1406">
        <f t="shared" si="26"/>
        <v>100.94594594594595</v>
      </c>
      <c r="EI635" s="1406"/>
      <c r="EJ635" s="1406"/>
      <c r="EK635" s="1406"/>
      <c r="EL635" s="1406"/>
      <c r="EM635" s="1406" t="e">
        <f t="shared" si="27"/>
        <v>#VALUE!</v>
      </c>
      <c r="EN635" s="1406"/>
      <c r="EO635" s="1406"/>
      <c r="EP635" s="1406"/>
      <c r="EQ635" s="1406"/>
      <c r="ER635" s="1406" t="e">
        <f t="shared" si="28"/>
        <v>#VALUE!</v>
      </c>
      <c r="ES635" s="1406"/>
      <c r="ET635" s="1406"/>
      <c r="EU635" s="1406"/>
      <c r="EV635" s="1406"/>
      <c r="EW635" s="1406" t="e">
        <f t="shared" si="29"/>
        <v>#VALUE!</v>
      </c>
      <c r="EX635" s="1406"/>
      <c r="EY635" s="1406"/>
      <c r="EZ635" s="1406"/>
      <c r="FA635" s="1406"/>
    </row>
    <row r="636" spans="1:157" ht="13.25" customHeight="1">
      <c r="B636" s="1577" t="s">
        <v>269</v>
      </c>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578"/>
      <c r="AJ636" s="1578"/>
      <c r="AK636" s="1578"/>
      <c r="AL636" s="1578"/>
      <c r="AM636" s="1578"/>
      <c r="AN636" s="1579"/>
      <c r="AO636" s="1420">
        <v>63746822</v>
      </c>
      <c r="AP636" s="1421"/>
      <c r="AQ636" s="1421"/>
      <c r="AR636" s="1421"/>
      <c r="AS636" s="1422"/>
      <c r="AZ636" s="34"/>
      <c r="BA636" s="34"/>
      <c r="BB636" s="34"/>
      <c r="BC636" s="34"/>
      <c r="BD636" s="34"/>
      <c r="BE636" s="34"/>
      <c r="BF636" s="34"/>
      <c r="BG636" s="34"/>
      <c r="BH636" s="34"/>
      <c r="BI636" s="34"/>
      <c r="BJ636" s="34"/>
      <c r="BK636" s="34"/>
      <c r="BL636" s="34"/>
      <c r="BM636" s="34"/>
      <c r="BN636" s="1408">
        <f t="shared" si="34"/>
        <v>0</v>
      </c>
      <c r="BO636" s="1409"/>
      <c r="BP636" s="1409"/>
      <c r="BQ636" s="1409"/>
      <c r="BR636" s="1410"/>
      <c r="BS636" s="1417">
        <f t="shared" si="35"/>
        <v>0</v>
      </c>
      <c r="BT636" s="1417"/>
      <c r="BU636" s="1417"/>
      <c r="BV636" s="1417"/>
      <c r="BW636" s="1417"/>
      <c r="BX636" s="1417">
        <f t="shared" si="36"/>
        <v>0</v>
      </c>
      <c r="BY636" s="1417"/>
      <c r="BZ636" s="1417"/>
      <c r="CA636" s="1417"/>
      <c r="CB636" s="1417"/>
      <c r="CC636" s="1417">
        <f t="shared" si="37"/>
        <v>0</v>
      </c>
      <c r="CD636" s="1417"/>
      <c r="CE636" s="1417"/>
      <c r="CF636" s="1417"/>
      <c r="CG636" s="1417"/>
      <c r="CH636" s="1417">
        <f t="shared" si="38"/>
        <v>0</v>
      </c>
      <c r="CI636" s="1417"/>
      <c r="CJ636" s="1417"/>
      <c r="CK636" s="1417"/>
      <c r="CL636" s="1417"/>
      <c r="CM636" s="1417">
        <f t="shared" si="39"/>
        <v>0</v>
      </c>
      <c r="CN636" s="1417"/>
      <c r="CO636" s="1417"/>
      <c r="CP636" s="1417"/>
      <c r="CQ636" s="1417"/>
      <c r="CR636" s="6"/>
      <c r="CS636" s="1408">
        <f t="shared" si="40"/>
        <v>0</v>
      </c>
      <c r="CT636" s="1409"/>
      <c r="CU636" s="1409"/>
      <c r="CV636" s="1409"/>
      <c r="CW636" s="1410"/>
      <c r="CX636" s="1408">
        <f t="shared" si="41"/>
        <v>0</v>
      </c>
      <c r="CY636" s="1409"/>
      <c r="CZ636" s="1409"/>
      <c r="DA636" s="1409"/>
      <c r="DB636" s="1410"/>
      <c r="DC636" s="1408">
        <f t="shared" si="42"/>
        <v>0</v>
      </c>
      <c r="DD636" s="1409"/>
      <c r="DE636" s="1409"/>
      <c r="DF636" s="1409"/>
      <c r="DG636" s="1410"/>
      <c r="DH636" s="1408">
        <f t="shared" si="43"/>
        <v>0</v>
      </c>
      <c r="DI636" s="1409"/>
      <c r="DJ636" s="1409"/>
      <c r="DK636" s="1409"/>
      <c r="DL636" s="1410"/>
      <c r="DM636" s="1408">
        <f t="shared" si="44"/>
        <v>0</v>
      </c>
      <c r="DN636" s="1409"/>
      <c r="DO636" s="1409"/>
      <c r="DP636" s="1409"/>
      <c r="DQ636" s="1410"/>
      <c r="DR636" s="1408">
        <f t="shared" si="45"/>
        <v>0</v>
      </c>
      <c r="DS636" s="1409"/>
      <c r="DT636" s="1409"/>
      <c r="DU636" s="1409"/>
      <c r="DV636" s="1410"/>
      <c r="DX636" s="1406" t="e">
        <f t="shared" si="24"/>
        <v>#VALUE!</v>
      </c>
      <c r="DY636" s="1406"/>
      <c r="DZ636" s="1406"/>
      <c r="EA636" s="1406"/>
      <c r="EB636" s="1406"/>
      <c r="EC636" s="1406" t="e">
        <f t="shared" si="25"/>
        <v>#VALUE!</v>
      </c>
      <c r="ED636" s="1406"/>
      <c r="EE636" s="1406"/>
      <c r="EF636" s="1406"/>
      <c r="EG636" s="1406"/>
      <c r="EH636" s="1406" t="e">
        <f t="shared" si="26"/>
        <v>#VALUE!</v>
      </c>
      <c r="EI636" s="1406"/>
      <c r="EJ636" s="1406"/>
      <c r="EK636" s="1406"/>
      <c r="EL636" s="1406"/>
      <c r="EM636" s="1406">
        <f t="shared" si="27"/>
        <v>126.29629629629629</v>
      </c>
      <c r="EN636" s="1406"/>
      <c r="EO636" s="1406"/>
      <c r="EP636" s="1406"/>
      <c r="EQ636" s="1406"/>
      <c r="ER636" s="1406" t="e">
        <f t="shared" si="28"/>
        <v>#VALUE!</v>
      </c>
      <c r="ES636" s="1406"/>
      <c r="ET636" s="1406"/>
      <c r="EU636" s="1406"/>
      <c r="EV636" s="1406"/>
      <c r="EW636" s="1406" t="e">
        <f t="shared" si="29"/>
        <v>#VALUE!</v>
      </c>
      <c r="EX636" s="1406"/>
      <c r="EY636" s="1406"/>
      <c r="EZ636" s="1406"/>
      <c r="FA636" s="1406"/>
    </row>
    <row r="637" spans="1:157" ht="13.25" customHeight="1">
      <c r="B637" s="1738" t="s">
        <v>270</v>
      </c>
      <c r="C637" s="1739"/>
      <c r="D637" s="1739"/>
      <c r="E637" s="1739"/>
      <c r="F637" s="1739"/>
      <c r="G637" s="1739"/>
      <c r="H637" s="1739"/>
      <c r="I637" s="1739"/>
      <c r="J637" s="1739"/>
      <c r="K637" s="1739"/>
      <c r="L637" s="1739"/>
      <c r="M637" s="1739"/>
      <c r="N637" s="1739"/>
      <c r="O637" s="1739"/>
      <c r="P637" s="1739"/>
      <c r="Q637" s="1739"/>
      <c r="R637" s="1739"/>
      <c r="S637" s="1739"/>
      <c r="T637" s="1739"/>
      <c r="U637" s="1739"/>
      <c r="V637" s="1739"/>
      <c r="W637" s="1739"/>
      <c r="X637" s="1739"/>
      <c r="Y637" s="1739"/>
      <c r="Z637" s="1739"/>
      <c r="AA637" s="1739"/>
      <c r="AB637" s="1739"/>
      <c r="AC637" s="1739"/>
      <c r="AD637" s="1739"/>
      <c r="AE637" s="1739"/>
      <c r="AF637" s="1739"/>
      <c r="AG637" s="1739"/>
      <c r="AH637" s="1739"/>
      <c r="AI637" s="1739"/>
      <c r="AJ637" s="1739"/>
      <c r="AK637" s="1739"/>
      <c r="AL637" s="1739"/>
      <c r="AM637" s="1739"/>
      <c r="AN637" s="1740"/>
      <c r="AO637" s="1587">
        <f>AO635+AO636</f>
        <v>140549066</v>
      </c>
      <c r="AP637" s="1588"/>
      <c r="AQ637" s="1588"/>
      <c r="AR637" s="1588"/>
      <c r="AS637" s="1589"/>
      <c r="AZ637" s="34"/>
      <c r="BA637" s="34"/>
      <c r="BB637" s="34"/>
      <c r="BC637" s="34"/>
      <c r="BD637" s="34"/>
      <c r="BE637" s="34"/>
      <c r="BF637" s="34"/>
      <c r="BG637" s="34"/>
      <c r="BH637" s="34"/>
      <c r="BI637" s="34"/>
      <c r="BJ637" s="34"/>
      <c r="BK637" s="34"/>
      <c r="BL637" s="34"/>
      <c r="BM637" s="34"/>
      <c r="BN637" s="1408">
        <f t="shared" si="34"/>
        <v>0</v>
      </c>
      <c r="BO637" s="1409"/>
      <c r="BP637" s="1409"/>
      <c r="BQ637" s="1409"/>
      <c r="BR637" s="1410"/>
      <c r="BS637" s="1417">
        <f t="shared" si="35"/>
        <v>0</v>
      </c>
      <c r="BT637" s="1417"/>
      <c r="BU637" s="1417"/>
      <c r="BV637" s="1417"/>
      <c r="BW637" s="1417"/>
      <c r="BX637" s="1417">
        <f t="shared" si="36"/>
        <v>0</v>
      </c>
      <c r="BY637" s="1417"/>
      <c r="BZ637" s="1417"/>
      <c r="CA637" s="1417"/>
      <c r="CB637" s="1417"/>
      <c r="CC637" s="1417">
        <f t="shared" si="37"/>
        <v>0</v>
      </c>
      <c r="CD637" s="1417"/>
      <c r="CE637" s="1417"/>
      <c r="CF637" s="1417"/>
      <c r="CG637" s="1417"/>
      <c r="CH637" s="1417">
        <f t="shared" si="38"/>
        <v>0</v>
      </c>
      <c r="CI637" s="1417"/>
      <c r="CJ637" s="1417"/>
      <c r="CK637" s="1417"/>
      <c r="CL637" s="1417"/>
      <c r="CM637" s="1417">
        <f t="shared" si="39"/>
        <v>0</v>
      </c>
      <c r="CN637" s="1417"/>
      <c r="CO637" s="1417"/>
      <c r="CP637" s="1417"/>
      <c r="CQ637" s="1417"/>
      <c r="CR637" s="6"/>
      <c r="CS637" s="1408">
        <f t="shared" si="40"/>
        <v>0</v>
      </c>
      <c r="CT637" s="1409"/>
      <c r="CU637" s="1409"/>
      <c r="CV637" s="1409"/>
      <c r="CW637" s="1410"/>
      <c r="CX637" s="1408">
        <f t="shared" si="41"/>
        <v>0</v>
      </c>
      <c r="CY637" s="1409"/>
      <c r="CZ637" s="1409"/>
      <c r="DA637" s="1409"/>
      <c r="DB637" s="1410"/>
      <c r="DC637" s="1408">
        <f t="shared" si="42"/>
        <v>0</v>
      </c>
      <c r="DD637" s="1409"/>
      <c r="DE637" s="1409"/>
      <c r="DF637" s="1409"/>
      <c r="DG637" s="1410"/>
      <c r="DH637" s="1408">
        <f t="shared" si="43"/>
        <v>0</v>
      </c>
      <c r="DI637" s="1409"/>
      <c r="DJ637" s="1409"/>
      <c r="DK637" s="1409"/>
      <c r="DL637" s="1410"/>
      <c r="DM637" s="1408">
        <f t="shared" si="44"/>
        <v>0</v>
      </c>
      <c r="DN637" s="1409"/>
      <c r="DO637" s="1409"/>
      <c r="DP637" s="1409"/>
      <c r="DQ637" s="1410"/>
      <c r="DR637" s="1408">
        <f t="shared" si="45"/>
        <v>0</v>
      </c>
      <c r="DS637" s="1409"/>
      <c r="DT637" s="1409"/>
      <c r="DU637" s="1409"/>
      <c r="DV637" s="1410"/>
      <c r="DX637" s="1406" t="e">
        <f t="shared" si="24"/>
        <v>#VALUE!</v>
      </c>
      <c r="DY637" s="1406"/>
      <c r="DZ637" s="1406"/>
      <c r="EA637" s="1406"/>
      <c r="EB637" s="1406"/>
      <c r="EC637" s="1406">
        <f t="shared" si="25"/>
        <v>169.15789473684211</v>
      </c>
      <c r="ED637" s="1406"/>
      <c r="EE637" s="1406"/>
      <c r="EF637" s="1406"/>
      <c r="EG637" s="1406"/>
      <c r="EH637" s="1406" t="e">
        <f t="shared" si="26"/>
        <v>#VALUE!</v>
      </c>
      <c r="EI637" s="1406"/>
      <c r="EJ637" s="1406"/>
      <c r="EK637" s="1406"/>
      <c r="EL637" s="1406"/>
      <c r="EM637" s="1406" t="e">
        <f t="shared" si="27"/>
        <v>#VALUE!</v>
      </c>
      <c r="EN637" s="1406"/>
      <c r="EO637" s="1406"/>
      <c r="EP637" s="1406"/>
      <c r="EQ637" s="1406"/>
      <c r="ER637" s="1406" t="e">
        <f t="shared" si="28"/>
        <v>#VALUE!</v>
      </c>
      <c r="ES637" s="1406"/>
      <c r="ET637" s="1406"/>
      <c r="EU637" s="1406"/>
      <c r="EV637" s="1406"/>
      <c r="EW637" s="1406" t="e">
        <f t="shared" si="29"/>
        <v>#VALUE!</v>
      </c>
      <c r="EX637" s="1406"/>
      <c r="EY637" s="1406"/>
      <c r="EZ637" s="1406"/>
      <c r="FA637" s="1406"/>
    </row>
    <row r="638" spans="1:157" ht="13.25" customHeight="1">
      <c r="B638" s="538"/>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8">
        <f t="shared" si="34"/>
        <v>0</v>
      </c>
      <c r="BO638" s="1409"/>
      <c r="BP638" s="1409"/>
      <c r="BQ638" s="1409"/>
      <c r="BR638" s="1410"/>
      <c r="BS638" s="1417">
        <f t="shared" si="35"/>
        <v>0</v>
      </c>
      <c r="BT638" s="1417"/>
      <c r="BU638" s="1417"/>
      <c r="BV638" s="1417"/>
      <c r="BW638" s="1417"/>
      <c r="BX638" s="1417">
        <f t="shared" si="36"/>
        <v>0</v>
      </c>
      <c r="BY638" s="1417"/>
      <c r="BZ638" s="1417"/>
      <c r="CA638" s="1417"/>
      <c r="CB638" s="1417"/>
      <c r="CC638" s="1417">
        <f t="shared" si="37"/>
        <v>0</v>
      </c>
      <c r="CD638" s="1417"/>
      <c r="CE638" s="1417"/>
      <c r="CF638" s="1417"/>
      <c r="CG638" s="1417"/>
      <c r="CH638" s="1417">
        <f t="shared" si="38"/>
        <v>0</v>
      </c>
      <c r="CI638" s="1417"/>
      <c r="CJ638" s="1417"/>
      <c r="CK638" s="1417"/>
      <c r="CL638" s="1417"/>
      <c r="CM638" s="1417">
        <f t="shared" si="39"/>
        <v>0</v>
      </c>
      <c r="CN638" s="1417"/>
      <c r="CO638" s="1417"/>
      <c r="CP638" s="1417"/>
      <c r="CQ638" s="1417"/>
      <c r="CR638" s="6"/>
      <c r="CS638" s="1408">
        <f t="shared" si="40"/>
        <v>0</v>
      </c>
      <c r="CT638" s="1409"/>
      <c r="CU638" s="1409"/>
      <c r="CV638" s="1409"/>
      <c r="CW638" s="1410"/>
      <c r="CX638" s="1408">
        <f t="shared" si="41"/>
        <v>0</v>
      </c>
      <c r="CY638" s="1409"/>
      <c r="CZ638" s="1409"/>
      <c r="DA638" s="1409"/>
      <c r="DB638" s="1410"/>
      <c r="DC638" s="1408">
        <f t="shared" si="42"/>
        <v>0</v>
      </c>
      <c r="DD638" s="1409"/>
      <c r="DE638" s="1409"/>
      <c r="DF638" s="1409"/>
      <c r="DG638" s="1410"/>
      <c r="DH638" s="1408">
        <f t="shared" si="43"/>
        <v>0</v>
      </c>
      <c r="DI638" s="1409"/>
      <c r="DJ638" s="1409"/>
      <c r="DK638" s="1409"/>
      <c r="DL638" s="1410"/>
      <c r="DM638" s="1408">
        <f t="shared" si="44"/>
        <v>0</v>
      </c>
      <c r="DN638" s="1409"/>
      <c r="DO638" s="1409"/>
      <c r="DP638" s="1409"/>
      <c r="DQ638" s="1410"/>
      <c r="DR638" s="1408">
        <f t="shared" si="45"/>
        <v>0</v>
      </c>
      <c r="DS638" s="1409"/>
      <c r="DT638" s="1409"/>
      <c r="DU638" s="1409"/>
      <c r="DV638" s="1410"/>
      <c r="DX638" s="1406" t="e">
        <f t="shared" si="24"/>
        <v>#VALUE!</v>
      </c>
      <c r="DY638" s="1406"/>
      <c r="DZ638" s="1406"/>
      <c r="EA638" s="1406"/>
      <c r="EB638" s="1406"/>
      <c r="EC638" s="1406">
        <f t="shared" si="25"/>
        <v>84.578947368421055</v>
      </c>
      <c r="ED638" s="1406"/>
      <c r="EE638" s="1406"/>
      <c r="EF638" s="1406"/>
      <c r="EG638" s="1406"/>
      <c r="EH638" s="1406" t="e">
        <f t="shared" si="26"/>
        <v>#VALUE!</v>
      </c>
      <c r="EI638" s="1406"/>
      <c r="EJ638" s="1406"/>
      <c r="EK638" s="1406"/>
      <c r="EL638" s="1406"/>
      <c r="EM638" s="1406" t="e">
        <f t="shared" si="27"/>
        <v>#VALUE!</v>
      </c>
      <c r="EN638" s="1406"/>
      <c r="EO638" s="1406"/>
      <c r="EP638" s="1406"/>
      <c r="EQ638" s="1406"/>
      <c r="ER638" s="1406" t="e">
        <f t="shared" si="28"/>
        <v>#VALUE!</v>
      </c>
      <c r="ES638" s="1406"/>
      <c r="ET638" s="1406"/>
      <c r="EU638" s="1406"/>
      <c r="EV638" s="1406"/>
      <c r="EW638" s="1406" t="e">
        <f t="shared" si="29"/>
        <v>#VALUE!</v>
      </c>
      <c r="EX638" s="1406"/>
      <c r="EY638" s="1406"/>
      <c r="EZ638" s="1406"/>
      <c r="FA638" s="1406"/>
    </row>
    <row r="639" spans="1:157" ht="13.25" customHeight="1">
      <c r="A639" s="55" t="s">
        <v>113</v>
      </c>
      <c r="B639" t="s">
        <v>473</v>
      </c>
      <c r="G639" s="1348" t="str">
        <f>C623</f>
        <v>CCRC TE Perm Loan Tranche A</v>
      </c>
      <c r="H639" s="1348"/>
      <c r="I639" s="1348"/>
      <c r="J639" s="1348"/>
      <c r="K639" s="1348"/>
      <c r="L639" s="1348"/>
      <c r="M639" s="1348"/>
      <c r="N639" s="1348"/>
      <c r="O639" s="1348"/>
      <c r="P639" s="1348"/>
      <c r="Q639" s="1348"/>
      <c r="R639" s="1348"/>
      <c r="S639" s="8"/>
      <c r="T639" s="55" t="s">
        <v>114</v>
      </c>
      <c r="U639" t="s">
        <v>473</v>
      </c>
      <c r="Z639" s="1348" t="str">
        <f>C624</f>
        <v>CCRC TE Perm Loan Tranche B</v>
      </c>
      <c r="AA639" s="1348"/>
      <c r="AB639" s="1348"/>
      <c r="AC639" s="1348"/>
      <c r="AD639" s="1348"/>
      <c r="AE639" s="1348"/>
      <c r="AF639" s="1348"/>
      <c r="AG639" s="1348"/>
      <c r="AH639" s="1348"/>
      <c r="AI639" s="1348"/>
      <c r="AJ639" s="1348"/>
      <c r="AK639" s="1348"/>
      <c r="AZ639" s="34"/>
      <c r="BA639" s="34"/>
      <c r="BB639" s="34"/>
      <c r="BC639" s="34"/>
      <c r="BD639" s="34"/>
      <c r="BE639" s="34"/>
      <c r="BF639" s="34"/>
      <c r="BG639" s="34"/>
      <c r="BH639" s="34"/>
      <c r="BI639" s="34"/>
      <c r="BJ639" s="34"/>
      <c r="BK639" s="34"/>
      <c r="BL639" s="34"/>
      <c r="BM639" s="34"/>
      <c r="BN639" s="1408">
        <f t="shared" si="34"/>
        <v>0</v>
      </c>
      <c r="BO639" s="1409"/>
      <c r="BP639" s="1409"/>
      <c r="BQ639" s="1409"/>
      <c r="BR639" s="1410"/>
      <c r="BS639" s="1417">
        <f t="shared" si="35"/>
        <v>0</v>
      </c>
      <c r="BT639" s="1417"/>
      <c r="BU639" s="1417"/>
      <c r="BV639" s="1417"/>
      <c r="BW639" s="1417"/>
      <c r="BX639" s="1417">
        <f t="shared" si="36"/>
        <v>0</v>
      </c>
      <c r="BY639" s="1417"/>
      <c r="BZ639" s="1417"/>
      <c r="CA639" s="1417"/>
      <c r="CB639" s="1417"/>
      <c r="CC639" s="1417">
        <f t="shared" si="37"/>
        <v>0</v>
      </c>
      <c r="CD639" s="1417"/>
      <c r="CE639" s="1417"/>
      <c r="CF639" s="1417"/>
      <c r="CG639" s="1417"/>
      <c r="CH639" s="1417">
        <f t="shared" si="38"/>
        <v>0</v>
      </c>
      <c r="CI639" s="1417"/>
      <c r="CJ639" s="1417"/>
      <c r="CK639" s="1417"/>
      <c r="CL639" s="1417"/>
      <c r="CM639" s="1417">
        <f t="shared" si="39"/>
        <v>0</v>
      </c>
      <c r="CN639" s="1417"/>
      <c r="CO639" s="1417"/>
      <c r="CP639" s="1417"/>
      <c r="CQ639" s="1417"/>
      <c r="CR639" s="6"/>
      <c r="CS639" s="1408">
        <f t="shared" si="40"/>
        <v>0</v>
      </c>
      <c r="CT639" s="1409"/>
      <c r="CU639" s="1409"/>
      <c r="CV639" s="1409"/>
      <c r="CW639" s="1410"/>
      <c r="CX639" s="1408">
        <f t="shared" si="41"/>
        <v>0</v>
      </c>
      <c r="CY639" s="1409"/>
      <c r="CZ639" s="1409"/>
      <c r="DA639" s="1409"/>
      <c r="DB639" s="1410"/>
      <c r="DC639" s="1408">
        <f t="shared" si="42"/>
        <v>0</v>
      </c>
      <c r="DD639" s="1409"/>
      <c r="DE639" s="1409"/>
      <c r="DF639" s="1409"/>
      <c r="DG639" s="1410"/>
      <c r="DH639" s="1408">
        <f t="shared" si="43"/>
        <v>0</v>
      </c>
      <c r="DI639" s="1409"/>
      <c r="DJ639" s="1409"/>
      <c r="DK639" s="1409"/>
      <c r="DL639" s="1410"/>
      <c r="DM639" s="1408">
        <f t="shared" si="44"/>
        <v>0</v>
      </c>
      <c r="DN639" s="1409"/>
      <c r="DO639" s="1409"/>
      <c r="DP639" s="1409"/>
      <c r="DQ639" s="1410"/>
      <c r="DR639" s="1408">
        <f t="shared" si="45"/>
        <v>0</v>
      </c>
      <c r="DS639" s="1409"/>
      <c r="DT639" s="1409"/>
      <c r="DU639" s="1409"/>
      <c r="DV639" s="1410"/>
      <c r="DX639" s="1406" t="e">
        <f t="shared" si="24"/>
        <v>#VALUE!</v>
      </c>
      <c r="DY639" s="1406"/>
      <c r="DZ639" s="1406"/>
      <c r="EA639" s="1406"/>
      <c r="EB639" s="1406"/>
      <c r="EC639" s="1406" t="e">
        <f t="shared" si="25"/>
        <v>#VALUE!</v>
      </c>
      <c r="ED639" s="1406"/>
      <c r="EE639" s="1406"/>
      <c r="EF639" s="1406"/>
      <c r="EG639" s="1406"/>
      <c r="EH639" s="1406">
        <f t="shared" si="26"/>
        <v>542.87837837837833</v>
      </c>
      <c r="EI639" s="1406"/>
      <c r="EJ639" s="1406"/>
      <c r="EK639" s="1406"/>
      <c r="EL639" s="1406"/>
      <c r="EM639" s="1406" t="e">
        <f t="shared" si="27"/>
        <v>#VALUE!</v>
      </c>
      <c r="EN639" s="1406"/>
      <c r="EO639" s="1406"/>
      <c r="EP639" s="1406"/>
      <c r="EQ639" s="1406"/>
      <c r="ER639" s="1406" t="e">
        <f t="shared" si="28"/>
        <v>#VALUE!</v>
      </c>
      <c r="ES639" s="1406"/>
      <c r="ET639" s="1406"/>
      <c r="EU639" s="1406"/>
      <c r="EV639" s="1406"/>
      <c r="EW639" s="1406" t="e">
        <f t="shared" si="29"/>
        <v>#VALUE!</v>
      </c>
      <c r="EX639" s="1406"/>
      <c r="EY639" s="1406"/>
      <c r="EZ639" s="1406"/>
      <c r="FA639" s="1406"/>
    </row>
    <row r="640" spans="1:157" ht="13.25" customHeight="1">
      <c r="A640" s="22"/>
      <c r="B640" t="s">
        <v>86</v>
      </c>
      <c r="G640" s="1349" t="s">
        <v>2786</v>
      </c>
      <c r="H640" s="1350"/>
      <c r="I640" s="1350"/>
      <c r="J640" s="1350"/>
      <c r="K640" s="1350"/>
      <c r="L640" s="1350"/>
      <c r="M640" s="1350"/>
      <c r="N640" s="1350"/>
      <c r="O640" s="1350"/>
      <c r="P640" s="1350"/>
      <c r="Q640" s="1350"/>
      <c r="R640" s="1350"/>
      <c r="S640" s="8"/>
      <c r="T640" s="22"/>
      <c r="U640" t="s">
        <v>86</v>
      </c>
      <c r="Z640" s="1349" t="s">
        <v>2786</v>
      </c>
      <c r="AA640" s="1350"/>
      <c r="AB640" s="1350"/>
      <c r="AC640" s="1350"/>
      <c r="AD640" s="1350"/>
      <c r="AE640" s="1350"/>
      <c r="AF640" s="1350"/>
      <c r="AG640" s="1350"/>
      <c r="AH640" s="1350"/>
      <c r="AI640" s="1350"/>
      <c r="AJ640" s="1350"/>
      <c r="AK640" s="1350"/>
      <c r="AZ640" s="34"/>
      <c r="BA640" s="34"/>
      <c r="BB640" s="34"/>
      <c r="BC640" s="34"/>
      <c r="BD640" s="34"/>
      <c r="BE640" s="34"/>
      <c r="BF640" s="34"/>
      <c r="BG640" s="34"/>
      <c r="BH640" s="34"/>
      <c r="BI640" s="34"/>
      <c r="BJ640" s="34"/>
      <c r="BK640" s="34"/>
      <c r="BL640" s="34"/>
      <c r="BM640" s="34"/>
      <c r="BN640" s="1408">
        <f t="shared" si="34"/>
        <v>0</v>
      </c>
      <c r="BO640" s="1409"/>
      <c r="BP640" s="1409"/>
      <c r="BQ640" s="1409"/>
      <c r="BR640" s="1410"/>
      <c r="BS640" s="1417">
        <f t="shared" si="35"/>
        <v>0</v>
      </c>
      <c r="BT640" s="1417"/>
      <c r="BU640" s="1417"/>
      <c r="BV640" s="1417"/>
      <c r="BW640" s="1417"/>
      <c r="BX640" s="1417">
        <f t="shared" si="36"/>
        <v>0</v>
      </c>
      <c r="BY640" s="1417"/>
      <c r="BZ640" s="1417"/>
      <c r="CA640" s="1417"/>
      <c r="CB640" s="1417"/>
      <c r="CC640" s="1417">
        <f t="shared" si="37"/>
        <v>0</v>
      </c>
      <c r="CD640" s="1417"/>
      <c r="CE640" s="1417"/>
      <c r="CF640" s="1417"/>
      <c r="CG640" s="1417"/>
      <c r="CH640" s="1417">
        <f t="shared" si="38"/>
        <v>0</v>
      </c>
      <c r="CI640" s="1417"/>
      <c r="CJ640" s="1417"/>
      <c r="CK640" s="1417"/>
      <c r="CL640" s="1417"/>
      <c r="CM640" s="1417">
        <f t="shared" si="39"/>
        <v>0</v>
      </c>
      <c r="CN640" s="1417"/>
      <c r="CO640" s="1417"/>
      <c r="CP640" s="1417"/>
      <c r="CQ640" s="1417"/>
      <c r="CR640" s="6"/>
      <c r="CS640" s="1408">
        <f t="shared" si="40"/>
        <v>0</v>
      </c>
      <c r="CT640" s="1409"/>
      <c r="CU640" s="1409"/>
      <c r="CV640" s="1409"/>
      <c r="CW640" s="1410"/>
      <c r="CX640" s="1408">
        <f t="shared" si="41"/>
        <v>0</v>
      </c>
      <c r="CY640" s="1409"/>
      <c r="CZ640" s="1409"/>
      <c r="DA640" s="1409"/>
      <c r="DB640" s="1410"/>
      <c r="DC640" s="1408">
        <f t="shared" si="42"/>
        <v>0</v>
      </c>
      <c r="DD640" s="1409"/>
      <c r="DE640" s="1409"/>
      <c r="DF640" s="1409"/>
      <c r="DG640" s="1410"/>
      <c r="DH640" s="1408">
        <f t="shared" si="43"/>
        <v>0</v>
      </c>
      <c r="DI640" s="1409"/>
      <c r="DJ640" s="1409"/>
      <c r="DK640" s="1409"/>
      <c r="DL640" s="1410"/>
      <c r="DM640" s="1408">
        <f t="shared" si="44"/>
        <v>0</v>
      </c>
      <c r="DN640" s="1409"/>
      <c r="DO640" s="1409"/>
      <c r="DP640" s="1409"/>
      <c r="DQ640" s="1410"/>
      <c r="DR640" s="1408">
        <f t="shared" si="45"/>
        <v>0</v>
      </c>
      <c r="DS640" s="1409"/>
      <c r="DT640" s="1409"/>
      <c r="DU640" s="1409"/>
      <c r="DV640" s="1410"/>
      <c r="DX640" s="1406" t="e">
        <f t="shared" si="24"/>
        <v>#VALUE!</v>
      </c>
      <c r="DY640" s="1406"/>
      <c r="DZ640" s="1406"/>
      <c r="EA640" s="1406"/>
      <c r="EB640" s="1406"/>
      <c r="EC640" s="1406" t="e">
        <f t="shared" si="25"/>
        <v>#VALUE!</v>
      </c>
      <c r="ED640" s="1406"/>
      <c r="EE640" s="1406"/>
      <c r="EF640" s="1406"/>
      <c r="EG640" s="1406"/>
      <c r="EH640" s="1406">
        <f t="shared" si="26"/>
        <v>25.851351351351354</v>
      </c>
      <c r="EI640" s="1406"/>
      <c r="EJ640" s="1406"/>
      <c r="EK640" s="1406"/>
      <c r="EL640" s="1406"/>
      <c r="EM640" s="1406" t="e">
        <f t="shared" si="27"/>
        <v>#VALUE!</v>
      </c>
      <c r="EN640" s="1406"/>
      <c r="EO640" s="1406"/>
      <c r="EP640" s="1406"/>
      <c r="EQ640" s="1406"/>
      <c r="ER640" s="1406" t="e">
        <f t="shared" si="28"/>
        <v>#VALUE!</v>
      </c>
      <c r="ES640" s="1406"/>
      <c r="ET640" s="1406"/>
      <c r="EU640" s="1406"/>
      <c r="EV640" s="1406"/>
      <c r="EW640" s="1406" t="e">
        <f t="shared" si="29"/>
        <v>#VALUE!</v>
      </c>
      <c r="EX640" s="1406"/>
      <c r="EY640" s="1406"/>
      <c r="EZ640" s="1406"/>
      <c r="FA640" s="1406"/>
    </row>
    <row r="641" spans="1:157" ht="13.25" customHeight="1">
      <c r="A641" s="22"/>
      <c r="B641" t="s">
        <v>590</v>
      </c>
      <c r="G641" s="1349" t="s">
        <v>2787</v>
      </c>
      <c r="H641" s="1350"/>
      <c r="I641" s="1350"/>
      <c r="J641" s="1350"/>
      <c r="K641" s="1350"/>
      <c r="L641" s="1350"/>
      <c r="M641" s="1350"/>
      <c r="N641" s="1350"/>
      <c r="O641" s="1350"/>
      <c r="P641" s="1350"/>
      <c r="Q641" s="1350"/>
      <c r="R641" s="1350"/>
      <c r="T641" s="22"/>
      <c r="U641" t="s">
        <v>590</v>
      </c>
      <c r="Z641" s="1358" t="s">
        <v>2787</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08">
        <f t="shared" si="34"/>
        <v>0</v>
      </c>
      <c r="BO641" s="1409"/>
      <c r="BP641" s="1409"/>
      <c r="BQ641" s="1409"/>
      <c r="BR641" s="1410"/>
      <c r="BS641" s="1417">
        <f t="shared" si="35"/>
        <v>0</v>
      </c>
      <c r="BT641" s="1417"/>
      <c r="BU641" s="1417"/>
      <c r="BV641" s="1417"/>
      <c r="BW641" s="1417"/>
      <c r="BX641" s="1417">
        <f t="shared" si="36"/>
        <v>0</v>
      </c>
      <c r="BY641" s="1417"/>
      <c r="BZ641" s="1417"/>
      <c r="CA641" s="1417"/>
      <c r="CB641" s="1417"/>
      <c r="CC641" s="1417">
        <f t="shared" si="37"/>
        <v>0</v>
      </c>
      <c r="CD641" s="1417"/>
      <c r="CE641" s="1417"/>
      <c r="CF641" s="1417"/>
      <c r="CG641" s="1417"/>
      <c r="CH641" s="1417">
        <f t="shared" si="38"/>
        <v>0</v>
      </c>
      <c r="CI641" s="1417"/>
      <c r="CJ641" s="1417"/>
      <c r="CK641" s="1417"/>
      <c r="CL641" s="1417"/>
      <c r="CM641" s="1417">
        <f t="shared" si="39"/>
        <v>0</v>
      </c>
      <c r="CN641" s="1417"/>
      <c r="CO641" s="1417"/>
      <c r="CP641" s="1417"/>
      <c r="CQ641" s="1417"/>
      <c r="CR641" s="6"/>
      <c r="CS641" s="1408">
        <f t="shared" si="40"/>
        <v>0</v>
      </c>
      <c r="CT641" s="1409"/>
      <c r="CU641" s="1409"/>
      <c r="CV641" s="1409"/>
      <c r="CW641" s="1410"/>
      <c r="CX641" s="1408">
        <f t="shared" si="41"/>
        <v>0</v>
      </c>
      <c r="CY641" s="1409"/>
      <c r="CZ641" s="1409"/>
      <c r="DA641" s="1409"/>
      <c r="DB641" s="1410"/>
      <c r="DC641" s="1408">
        <f t="shared" si="42"/>
        <v>0</v>
      </c>
      <c r="DD641" s="1409"/>
      <c r="DE641" s="1409"/>
      <c r="DF641" s="1409"/>
      <c r="DG641" s="1410"/>
      <c r="DH641" s="1408">
        <f t="shared" si="43"/>
        <v>0</v>
      </c>
      <c r="DI641" s="1409"/>
      <c r="DJ641" s="1409"/>
      <c r="DK641" s="1409"/>
      <c r="DL641" s="1410"/>
      <c r="DM641" s="1408">
        <f t="shared" si="44"/>
        <v>0</v>
      </c>
      <c r="DN641" s="1409"/>
      <c r="DO641" s="1409"/>
      <c r="DP641" s="1409"/>
      <c r="DQ641" s="1410"/>
      <c r="DR641" s="1408">
        <f t="shared" si="45"/>
        <v>0</v>
      </c>
      <c r="DS641" s="1409"/>
      <c r="DT641" s="1409"/>
      <c r="DU641" s="1409"/>
      <c r="DV641" s="1410"/>
      <c r="DX641" s="1406" t="e">
        <f t="shared" si="24"/>
        <v>#VALUE!</v>
      </c>
      <c r="DY641" s="1406"/>
      <c r="DZ641" s="1406"/>
      <c r="EA641" s="1406"/>
      <c r="EB641" s="1406"/>
      <c r="EC641" s="1406" t="e">
        <f t="shared" si="25"/>
        <v>#VALUE!</v>
      </c>
      <c r="ED641" s="1406"/>
      <c r="EE641" s="1406"/>
      <c r="EF641" s="1406"/>
      <c r="EG641" s="1406"/>
      <c r="EH641" s="1406" t="e">
        <f t="shared" si="26"/>
        <v>#VALUE!</v>
      </c>
      <c r="EI641" s="1406"/>
      <c r="EJ641" s="1406"/>
      <c r="EK641" s="1406"/>
      <c r="EL641" s="1406"/>
      <c r="EM641" s="1406">
        <f t="shared" si="27"/>
        <v>243.2222222222222</v>
      </c>
      <c r="EN641" s="1406"/>
      <c r="EO641" s="1406"/>
      <c r="EP641" s="1406"/>
      <c r="EQ641" s="1406"/>
      <c r="ER641" s="1406" t="e">
        <f t="shared" si="28"/>
        <v>#VALUE!</v>
      </c>
      <c r="ES641" s="1406"/>
      <c r="ET641" s="1406"/>
      <c r="EU641" s="1406"/>
      <c r="EV641" s="1406"/>
      <c r="EW641" s="1406" t="e">
        <f t="shared" si="29"/>
        <v>#VALUE!</v>
      </c>
      <c r="EX641" s="1406"/>
      <c r="EY641" s="1406"/>
      <c r="EZ641" s="1406"/>
      <c r="FA641" s="1406"/>
    </row>
    <row r="642" spans="1:157" ht="13.25" customHeight="1">
      <c r="A642" s="22"/>
      <c r="B642" t="s">
        <v>17</v>
      </c>
      <c r="G642" s="1349" t="s">
        <v>2788</v>
      </c>
      <c r="H642" s="1350"/>
      <c r="I642" s="1350"/>
      <c r="J642" s="1350"/>
      <c r="K642" s="1350"/>
      <c r="L642" s="1350"/>
      <c r="M642" s="1350"/>
      <c r="N642" s="1350"/>
      <c r="O642" s="1350"/>
      <c r="P642" s="1350"/>
      <c r="Q642" s="1350"/>
      <c r="R642" s="1350"/>
      <c r="S642" s="8"/>
      <c r="T642" s="22"/>
      <c r="U642" t="s">
        <v>17</v>
      </c>
      <c r="Z642" s="1358" t="s">
        <v>2788</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08">
        <f t="shared" si="34"/>
        <v>0</v>
      </c>
      <c r="BO642" s="1409"/>
      <c r="BP642" s="1409"/>
      <c r="BQ642" s="1409"/>
      <c r="BR642" s="1410"/>
      <c r="BS642" s="1417">
        <f t="shared" si="35"/>
        <v>0</v>
      </c>
      <c r="BT642" s="1417"/>
      <c r="BU642" s="1417"/>
      <c r="BV642" s="1417"/>
      <c r="BW642" s="1417"/>
      <c r="BX642" s="1417">
        <f t="shared" si="36"/>
        <v>0</v>
      </c>
      <c r="BY642" s="1417"/>
      <c r="BZ642" s="1417"/>
      <c r="CA642" s="1417"/>
      <c r="CB642" s="1417"/>
      <c r="CC642" s="1417">
        <f t="shared" si="37"/>
        <v>0</v>
      </c>
      <c r="CD642" s="1417"/>
      <c r="CE642" s="1417"/>
      <c r="CF642" s="1417"/>
      <c r="CG642" s="1417"/>
      <c r="CH642" s="1417">
        <f t="shared" si="38"/>
        <v>0</v>
      </c>
      <c r="CI642" s="1417"/>
      <c r="CJ642" s="1417"/>
      <c r="CK642" s="1417"/>
      <c r="CL642" s="1417"/>
      <c r="CM642" s="1417">
        <f t="shared" si="39"/>
        <v>0</v>
      </c>
      <c r="CN642" s="1417"/>
      <c r="CO642" s="1417"/>
      <c r="CP642" s="1417"/>
      <c r="CQ642" s="1417"/>
      <c r="CR642" s="6"/>
      <c r="CS642" s="1408">
        <f t="shared" si="40"/>
        <v>0</v>
      </c>
      <c r="CT642" s="1409"/>
      <c r="CU642" s="1409"/>
      <c r="CV642" s="1409"/>
      <c r="CW642" s="1410"/>
      <c r="CX642" s="1408">
        <f t="shared" si="41"/>
        <v>0</v>
      </c>
      <c r="CY642" s="1409"/>
      <c r="CZ642" s="1409"/>
      <c r="DA642" s="1409"/>
      <c r="DB642" s="1410"/>
      <c r="DC642" s="1408">
        <f t="shared" si="42"/>
        <v>0</v>
      </c>
      <c r="DD642" s="1409"/>
      <c r="DE642" s="1409"/>
      <c r="DF642" s="1409"/>
      <c r="DG642" s="1410"/>
      <c r="DH642" s="1408">
        <f t="shared" si="43"/>
        <v>0</v>
      </c>
      <c r="DI642" s="1409"/>
      <c r="DJ642" s="1409"/>
      <c r="DK642" s="1409"/>
      <c r="DL642" s="1410"/>
      <c r="DM642" s="1408">
        <f t="shared" si="44"/>
        <v>0</v>
      </c>
      <c r="DN642" s="1409"/>
      <c r="DO642" s="1409"/>
      <c r="DP642" s="1409"/>
      <c r="DQ642" s="1410"/>
      <c r="DR642" s="1408">
        <f t="shared" si="45"/>
        <v>0</v>
      </c>
      <c r="DS642" s="1409"/>
      <c r="DT642" s="1409"/>
      <c r="DU642" s="1409"/>
      <c r="DV642" s="1410"/>
      <c r="DX642" s="1406" t="e">
        <f t="shared" si="24"/>
        <v>#VALUE!</v>
      </c>
      <c r="DY642" s="1406"/>
      <c r="DZ642" s="1406"/>
      <c r="EA642" s="1406"/>
      <c r="EB642" s="1406"/>
      <c r="EC642" s="1406" t="e">
        <f t="shared" si="25"/>
        <v>#VALUE!</v>
      </c>
      <c r="ED642" s="1406"/>
      <c r="EE642" s="1406"/>
      <c r="EF642" s="1406"/>
      <c r="EG642" s="1406"/>
      <c r="EH642" s="1406" t="e">
        <f t="shared" si="26"/>
        <v>#VALUE!</v>
      </c>
      <c r="EI642" s="1406"/>
      <c r="EJ642" s="1406"/>
      <c r="EK642" s="1406"/>
      <c r="EL642" s="1406"/>
      <c r="EM642" s="1406">
        <f t="shared" si="27"/>
        <v>81.074074074074076</v>
      </c>
      <c r="EN642" s="1406"/>
      <c r="EO642" s="1406"/>
      <c r="EP642" s="1406"/>
      <c r="EQ642" s="1406"/>
      <c r="ER642" s="1406" t="e">
        <f t="shared" si="28"/>
        <v>#VALUE!</v>
      </c>
      <c r="ES642" s="1406"/>
      <c r="ET642" s="1406"/>
      <c r="EU642" s="1406"/>
      <c r="EV642" s="1406"/>
      <c r="EW642" s="1406" t="e">
        <f t="shared" si="29"/>
        <v>#VALUE!</v>
      </c>
      <c r="EX642" s="1406"/>
      <c r="EY642" s="1406"/>
      <c r="EZ642" s="1406"/>
      <c r="FA642" s="1406"/>
    </row>
    <row r="643" spans="1:157" ht="13.25" customHeight="1">
      <c r="A643" s="22"/>
      <c r="B643" t="s">
        <v>318</v>
      </c>
      <c r="G643" s="1352" t="s">
        <v>2789</v>
      </c>
      <c r="H643" s="1353"/>
      <c r="I643" s="1353"/>
      <c r="J643" s="1353"/>
      <c r="K643" s="1353"/>
      <c r="L643" s="1353"/>
      <c r="O643" s="33" t="s">
        <v>208</v>
      </c>
      <c r="P643" s="1347"/>
      <c r="Q643" s="1347"/>
      <c r="R643" s="1347"/>
      <c r="S643" s="10"/>
      <c r="T643" s="22"/>
      <c r="U643" t="s">
        <v>318</v>
      </c>
      <c r="Z643" s="1352" t="s">
        <v>2789</v>
      </c>
      <c r="AA643" s="1353"/>
      <c r="AB643" s="1353"/>
      <c r="AC643" s="1353"/>
      <c r="AD643" s="1353"/>
      <c r="AE643" s="1353"/>
      <c r="AH643" s="33" t="s">
        <v>208</v>
      </c>
      <c r="AI643" s="1347"/>
      <c r="AJ643" s="1347"/>
      <c r="AK643" s="1347"/>
      <c r="AZ643" s="34"/>
      <c r="BA643" s="34"/>
      <c r="BB643" s="34"/>
      <c r="BC643" s="34"/>
      <c r="BD643" s="34"/>
      <c r="BE643" s="34"/>
      <c r="BF643" s="34"/>
      <c r="BG643" s="34"/>
      <c r="BH643" s="34"/>
      <c r="BI643" s="34"/>
      <c r="BJ643" s="34"/>
      <c r="BK643" s="34"/>
      <c r="BL643" s="34"/>
      <c r="BM643" s="34"/>
      <c r="BN643" s="1408">
        <f t="shared" si="34"/>
        <v>0</v>
      </c>
      <c r="BO643" s="1409"/>
      <c r="BP643" s="1409"/>
      <c r="BQ643" s="1409"/>
      <c r="BR643" s="1410"/>
      <c r="BS643" s="1417">
        <f t="shared" si="35"/>
        <v>0</v>
      </c>
      <c r="BT643" s="1417"/>
      <c r="BU643" s="1417"/>
      <c r="BV643" s="1417"/>
      <c r="BW643" s="1417"/>
      <c r="BX643" s="1417">
        <f t="shared" si="36"/>
        <v>0</v>
      </c>
      <c r="BY643" s="1417"/>
      <c r="BZ643" s="1417"/>
      <c r="CA643" s="1417"/>
      <c r="CB643" s="1417"/>
      <c r="CC643" s="1417">
        <f t="shared" si="37"/>
        <v>0</v>
      </c>
      <c r="CD643" s="1417"/>
      <c r="CE643" s="1417"/>
      <c r="CF643" s="1417"/>
      <c r="CG643" s="1417"/>
      <c r="CH643" s="1417">
        <f t="shared" si="38"/>
        <v>0</v>
      </c>
      <c r="CI643" s="1417"/>
      <c r="CJ643" s="1417"/>
      <c r="CK643" s="1417"/>
      <c r="CL643" s="1417"/>
      <c r="CM643" s="1417">
        <f t="shared" si="39"/>
        <v>0</v>
      </c>
      <c r="CN643" s="1417"/>
      <c r="CO643" s="1417"/>
      <c r="CP643" s="1417"/>
      <c r="CQ643" s="1417"/>
      <c r="CR643" s="6"/>
      <c r="CS643" s="1408">
        <f t="shared" si="40"/>
        <v>0</v>
      </c>
      <c r="CT643" s="1409"/>
      <c r="CU643" s="1409"/>
      <c r="CV643" s="1409"/>
      <c r="CW643" s="1410"/>
      <c r="CX643" s="1408">
        <f t="shared" si="41"/>
        <v>0</v>
      </c>
      <c r="CY643" s="1409"/>
      <c r="CZ643" s="1409"/>
      <c r="DA643" s="1409"/>
      <c r="DB643" s="1410"/>
      <c r="DC643" s="1408">
        <f t="shared" si="42"/>
        <v>0</v>
      </c>
      <c r="DD643" s="1409"/>
      <c r="DE643" s="1409"/>
      <c r="DF643" s="1409"/>
      <c r="DG643" s="1410"/>
      <c r="DH643" s="1408">
        <f t="shared" si="43"/>
        <v>0</v>
      </c>
      <c r="DI643" s="1409"/>
      <c r="DJ643" s="1409"/>
      <c r="DK643" s="1409"/>
      <c r="DL643" s="1410"/>
      <c r="DM643" s="1408">
        <f t="shared" si="44"/>
        <v>0</v>
      </c>
      <c r="DN643" s="1409"/>
      <c r="DO643" s="1409"/>
      <c r="DP643" s="1409"/>
      <c r="DQ643" s="1410"/>
      <c r="DR643" s="1408">
        <f t="shared" si="45"/>
        <v>0</v>
      </c>
      <c r="DS643" s="1409"/>
      <c r="DT643" s="1409"/>
      <c r="DU643" s="1409"/>
      <c r="DV643" s="1410"/>
      <c r="DX643" s="1406" t="e">
        <f t="shared" si="24"/>
        <v>#VALUE!</v>
      </c>
      <c r="DY643" s="1406"/>
      <c r="DZ643" s="1406"/>
      <c r="EA643" s="1406"/>
      <c r="EB643" s="1406"/>
      <c r="EC643" s="1406" t="e">
        <f t="shared" si="25"/>
        <v>#VALUE!</v>
      </c>
      <c r="ED643" s="1406"/>
      <c r="EE643" s="1406"/>
      <c r="EF643" s="1406"/>
      <c r="EG643" s="1406"/>
      <c r="EH643" s="1406" t="e">
        <f t="shared" si="26"/>
        <v>#VALUE!</v>
      </c>
      <c r="EI643" s="1406"/>
      <c r="EJ643" s="1406"/>
      <c r="EK643" s="1406"/>
      <c r="EL643" s="1406"/>
      <c r="EM643" s="1406" t="e">
        <f t="shared" si="27"/>
        <v>#VALUE!</v>
      </c>
      <c r="EN643" s="1406"/>
      <c r="EO643" s="1406"/>
      <c r="EP643" s="1406"/>
      <c r="EQ643" s="1406"/>
      <c r="ER643" s="1406">
        <f t="shared" si="28"/>
        <v>690.85714285714278</v>
      </c>
      <c r="ES643" s="1406"/>
      <c r="ET643" s="1406"/>
      <c r="EU643" s="1406"/>
      <c r="EV643" s="1406"/>
      <c r="EW643" s="1406" t="e">
        <f t="shared" si="29"/>
        <v>#VALUE!</v>
      </c>
      <c r="EX643" s="1406"/>
      <c r="EY643" s="1406"/>
      <c r="EZ643" s="1406"/>
      <c r="FA643" s="1406"/>
    </row>
    <row r="644" spans="1:157" ht="13.25" customHeight="1">
      <c r="A644" s="22"/>
      <c r="B644" t="s">
        <v>18</v>
      </c>
      <c r="H644" s="1349" t="s">
        <v>2790</v>
      </c>
      <c r="I644" s="1350"/>
      <c r="J644" s="1350"/>
      <c r="K644" s="1350"/>
      <c r="L644" s="1350"/>
      <c r="M644" s="1350"/>
      <c r="N644" s="1350"/>
      <c r="O644" s="1350"/>
      <c r="P644" s="1350"/>
      <c r="Q644" s="1350"/>
      <c r="R644" s="1350"/>
      <c r="S644" s="8"/>
      <c r="T644" s="22"/>
      <c r="U644" t="s">
        <v>18</v>
      </c>
      <c r="AA644" s="1349" t="s">
        <v>2790</v>
      </c>
      <c r="AB644" s="1350"/>
      <c r="AC644" s="1350"/>
      <c r="AD644" s="1350"/>
      <c r="AE644" s="1350"/>
      <c r="AF644" s="1350"/>
      <c r="AG644" s="1350"/>
      <c r="AH644" s="1350"/>
      <c r="AI644" s="1350"/>
      <c r="AJ644" s="1350"/>
      <c r="AK644" s="1350"/>
      <c r="AZ644" s="34"/>
      <c r="BA644" s="34"/>
      <c r="BB644" s="34"/>
      <c r="BC644" s="34"/>
      <c r="BD644" s="34"/>
      <c r="BE644" s="34"/>
      <c r="BF644" s="34"/>
      <c r="BG644" s="34"/>
      <c r="BH644" s="34"/>
      <c r="BI644" s="34"/>
      <c r="BJ644" s="34"/>
      <c r="BK644" s="34"/>
      <c r="BL644" s="34"/>
      <c r="BM644" s="34"/>
      <c r="BN644" s="1427">
        <f>SUM(BN634:BR643)</f>
        <v>0</v>
      </c>
      <c r="BO644" s="1590"/>
      <c r="BP644" s="1590"/>
      <c r="BQ644" s="1590"/>
      <c r="BR644" s="1428"/>
      <c r="BS644" s="1411">
        <f>SUM(BS634:BW643)</f>
        <v>0</v>
      </c>
      <c r="BT644" s="1412"/>
      <c r="BU644" s="1412"/>
      <c r="BV644" s="1412"/>
      <c r="BW644" s="1413"/>
      <c r="BX644" s="1411">
        <f>SUM(BX634:CB643)</f>
        <v>0</v>
      </c>
      <c r="BY644" s="1412"/>
      <c r="BZ644" s="1412"/>
      <c r="CA644" s="1412"/>
      <c r="CB644" s="1413"/>
      <c r="CC644" s="1411">
        <f>SUM(CC634:CG643)</f>
        <v>0</v>
      </c>
      <c r="CD644" s="1412"/>
      <c r="CE644" s="1412"/>
      <c r="CF644" s="1412"/>
      <c r="CG644" s="1413"/>
      <c r="CH644" s="1411">
        <f>SUM(CH634:CL643)</f>
        <v>0</v>
      </c>
      <c r="CI644" s="1412"/>
      <c r="CJ644" s="1412"/>
      <c r="CK644" s="1412"/>
      <c r="CL644" s="1413"/>
      <c r="CM644" s="1411">
        <f>SUM(CM634:CQ643)</f>
        <v>0</v>
      </c>
      <c r="CN644" s="1412"/>
      <c r="CO644" s="1412"/>
      <c r="CP644" s="1412"/>
      <c r="CQ644" s="1413"/>
      <c r="CR644" s="1031"/>
      <c r="CS644" s="1407">
        <f>SUM(CS634:CW643)</f>
        <v>0</v>
      </c>
      <c r="CT644" s="1407"/>
      <c r="CU644" s="1407"/>
      <c r="CV644" s="1407"/>
      <c r="CW644" s="1407"/>
      <c r="CX644" s="1407">
        <f>SUM(CX634:DB643)</f>
        <v>0</v>
      </c>
      <c r="CY644" s="1407"/>
      <c r="CZ644" s="1407"/>
      <c r="DA644" s="1407"/>
      <c r="DB644" s="1407"/>
      <c r="DC644" s="1407">
        <f>SUM(DC634:DG643)</f>
        <v>0</v>
      </c>
      <c r="DD644" s="1407"/>
      <c r="DE644" s="1407"/>
      <c r="DF644" s="1407"/>
      <c r="DG644" s="1407"/>
      <c r="DH644" s="1407">
        <f>SUM(DH634:DL643)</f>
        <v>0</v>
      </c>
      <c r="DI644" s="1407"/>
      <c r="DJ644" s="1407"/>
      <c r="DK644" s="1407"/>
      <c r="DL644" s="1407"/>
      <c r="DM644" s="1407">
        <f>SUM(DM634:DQ643)</f>
        <v>0</v>
      </c>
      <c r="DN644" s="1407"/>
      <c r="DO644" s="1407"/>
      <c r="DP644" s="1407"/>
      <c r="DQ644" s="1407"/>
      <c r="DR644" s="1407">
        <f>SUM(DR634:DV643)</f>
        <v>0</v>
      </c>
      <c r="DS644" s="1407"/>
      <c r="DT644" s="1407"/>
      <c r="DU644" s="1407"/>
      <c r="DV644" s="1407"/>
      <c r="DX644" s="1406" t="e">
        <f t="shared" si="24"/>
        <v>#VALUE!</v>
      </c>
      <c r="DY644" s="1406"/>
      <c r="DZ644" s="1406"/>
      <c r="EA644" s="1406"/>
      <c r="EB644" s="1406"/>
      <c r="EC644" s="1406">
        <f t="shared" si="25"/>
        <v>411.78947368421052</v>
      </c>
      <c r="ED644" s="1406"/>
      <c r="EE644" s="1406"/>
      <c r="EF644" s="1406"/>
      <c r="EG644" s="1406"/>
      <c r="EH644" s="1406" t="e">
        <f t="shared" si="26"/>
        <v>#VALUE!</v>
      </c>
      <c r="EI644" s="1406"/>
      <c r="EJ644" s="1406"/>
      <c r="EK644" s="1406"/>
      <c r="EL644" s="1406"/>
      <c r="EM644" s="1406" t="e">
        <f t="shared" si="27"/>
        <v>#VALUE!</v>
      </c>
      <c r="EN644" s="1406"/>
      <c r="EO644" s="1406"/>
      <c r="EP644" s="1406"/>
      <c r="EQ644" s="1406"/>
      <c r="ER644" s="1406" t="e">
        <f t="shared" si="28"/>
        <v>#VALUE!</v>
      </c>
      <c r="ES644" s="1406"/>
      <c r="ET644" s="1406"/>
      <c r="EU644" s="1406"/>
      <c r="EV644" s="1406"/>
      <c r="EW644" s="1406" t="e">
        <f t="shared" si="29"/>
        <v>#VALUE!</v>
      </c>
      <c r="EX644" s="1406"/>
      <c r="EY644" s="1406"/>
      <c r="EZ644" s="1406"/>
      <c r="FA644" s="1406"/>
    </row>
    <row r="645" spans="1:157" ht="13.25" customHeight="1">
      <c r="A645" s="22"/>
      <c r="B645" t="s">
        <v>20</v>
      </c>
      <c r="N645" s="1664" t="s">
        <v>555</v>
      </c>
      <c r="O645" s="1351"/>
      <c r="T645" s="22"/>
      <c r="U645" t="s">
        <v>20</v>
      </c>
      <c r="AG645" s="1351" t="s">
        <v>555</v>
      </c>
      <c r="AH645" s="1351"/>
      <c r="AZ645" s="34"/>
      <c r="BA645" s="34"/>
      <c r="BB645" s="34"/>
      <c r="BC645" s="34"/>
      <c r="BD645" s="34"/>
      <c r="BE645" s="34"/>
      <c r="BF645" s="34"/>
      <c r="BG645" s="34"/>
      <c r="BH645" s="34"/>
      <c r="BI645" s="34"/>
      <c r="BJ645" s="34"/>
      <c r="BK645" s="34"/>
      <c r="BL645" s="34"/>
      <c r="BM645" s="34"/>
      <c r="BR645" s="888">
        <f>BN644*1</f>
        <v>0</v>
      </c>
      <c r="BS645" s="3"/>
      <c r="BT645" s="3"/>
      <c r="BU645" s="3"/>
      <c r="BV645" s="3"/>
      <c r="BW645" s="888">
        <f>BS644*1</f>
        <v>0</v>
      </c>
      <c r="BX645" s="3"/>
      <c r="BY645" s="3"/>
      <c r="BZ645" s="3"/>
      <c r="CA645" s="3"/>
      <c r="CB645" s="888">
        <f>BX644*2</f>
        <v>0</v>
      </c>
      <c r="CC645" s="3"/>
      <c r="CD645" s="3"/>
      <c r="CE645" s="3"/>
      <c r="CF645" s="3"/>
      <c r="CG645" s="888">
        <f>CC644*3</f>
        <v>0</v>
      </c>
      <c r="CH645" s="3"/>
      <c r="CI645" s="3"/>
      <c r="CJ645" s="3"/>
      <c r="CK645" s="3"/>
      <c r="CL645" s="888">
        <f>CH644*4</f>
        <v>0</v>
      </c>
      <c r="CM645" s="3"/>
      <c r="CN645" s="3"/>
      <c r="CO645" s="3"/>
      <c r="CP645" s="3"/>
      <c r="CQ645" s="888">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6" t="e">
        <f t="shared" si="24"/>
        <v>#VALUE!</v>
      </c>
      <c r="DY645" s="1406"/>
      <c r="DZ645" s="1406"/>
      <c r="EA645" s="1406"/>
      <c r="EB645" s="1406"/>
      <c r="EC645" s="1406" t="e">
        <f t="shared" si="25"/>
        <v>#VALUE!</v>
      </c>
      <c r="ED645" s="1406"/>
      <c r="EE645" s="1406"/>
      <c r="EF645" s="1406"/>
      <c r="EG645" s="1406"/>
      <c r="EH645" s="1406">
        <f t="shared" si="26"/>
        <v>657.7297297297298</v>
      </c>
      <c r="EI645" s="1406"/>
      <c r="EJ645" s="1406"/>
      <c r="EK645" s="1406"/>
      <c r="EL645" s="1406"/>
      <c r="EM645" s="1406" t="e">
        <f t="shared" si="27"/>
        <v>#VALUE!</v>
      </c>
      <c r="EN645" s="1406"/>
      <c r="EO645" s="1406"/>
      <c r="EP645" s="1406"/>
      <c r="EQ645" s="1406"/>
      <c r="ER645" s="1406" t="e">
        <f t="shared" si="28"/>
        <v>#VALUE!</v>
      </c>
      <c r="ES645" s="1406"/>
      <c r="ET645" s="1406"/>
      <c r="EU645" s="1406"/>
      <c r="EV645" s="1406"/>
      <c r="EW645" s="1406" t="e">
        <f t="shared" si="29"/>
        <v>#VALUE!</v>
      </c>
      <c r="EX645" s="1406"/>
      <c r="EY645" s="1406"/>
      <c r="EZ645" s="1406"/>
      <c r="FA645" s="1406"/>
    </row>
    <row r="646" spans="1:157" ht="13.25" customHeight="1">
      <c r="A646" s="22"/>
      <c r="T646" s="22"/>
      <c r="AZ646" s="34"/>
      <c r="BA646" s="34"/>
      <c r="BB646" s="34"/>
      <c r="BC646" s="34"/>
      <c r="BD646" s="34"/>
      <c r="BE646" s="34"/>
      <c r="BF646" s="34"/>
      <c r="BG646" s="34"/>
      <c r="BH646" s="34"/>
      <c r="BI646" s="34"/>
      <c r="BJ646" s="34"/>
      <c r="BK646" s="34"/>
      <c r="BL646" s="34"/>
      <c r="BM646" s="34"/>
      <c r="CR646" s="3"/>
      <c r="CS646" s="888">
        <f>BN644+BS644+BX644+CC644+CH644+CM644</f>
        <v>0</v>
      </c>
      <c r="CT646" s="57" t="s">
        <v>2122</v>
      </c>
      <c r="CU646" s="3"/>
      <c r="CV646" s="3"/>
      <c r="CW646" s="3"/>
      <c r="CX646" s="3"/>
      <c r="CY646" s="3"/>
      <c r="CZ646" s="3"/>
      <c r="DA646" s="3"/>
      <c r="DB646" s="3"/>
      <c r="DC646" s="3"/>
      <c r="DD646" s="3"/>
      <c r="DE646" s="3"/>
      <c r="DF646" s="3"/>
      <c r="DQ646" s="56" t="s">
        <v>2134</v>
      </c>
      <c r="DR646" s="1406">
        <f>SUM(CS644:DV644)</f>
        <v>0</v>
      </c>
      <c r="DS646" s="1406"/>
      <c r="DT646" s="1406"/>
      <c r="DU646" s="1406"/>
      <c r="DV646" s="1406"/>
      <c r="DX646" s="1406" t="e">
        <f t="shared" si="24"/>
        <v>#VALUE!</v>
      </c>
      <c r="DY646" s="1406"/>
      <c r="DZ646" s="1406"/>
      <c r="EA646" s="1406"/>
      <c r="EB646" s="1406"/>
      <c r="EC646" s="1406" t="e">
        <f t="shared" si="25"/>
        <v>#VALUE!</v>
      </c>
      <c r="ED646" s="1406"/>
      <c r="EE646" s="1406"/>
      <c r="EF646" s="1406"/>
      <c r="EG646" s="1406"/>
      <c r="EH646" s="1406" t="e">
        <f t="shared" si="26"/>
        <v>#VALUE!</v>
      </c>
      <c r="EI646" s="1406"/>
      <c r="EJ646" s="1406"/>
      <c r="EK646" s="1406"/>
      <c r="EL646" s="1406"/>
      <c r="EM646" s="1406">
        <f t="shared" si="27"/>
        <v>1140</v>
      </c>
      <c r="EN646" s="1406"/>
      <c r="EO646" s="1406"/>
      <c r="EP646" s="1406"/>
      <c r="EQ646" s="1406"/>
      <c r="ER646" s="1406" t="e">
        <f t="shared" si="28"/>
        <v>#VALUE!</v>
      </c>
      <c r="ES646" s="1406"/>
      <c r="ET646" s="1406"/>
      <c r="EU646" s="1406"/>
      <c r="EV646" s="1406"/>
      <c r="EW646" s="1406" t="e">
        <f t="shared" si="29"/>
        <v>#VALUE!</v>
      </c>
      <c r="EX646" s="1406"/>
      <c r="EY646" s="1406"/>
      <c r="EZ646" s="1406"/>
      <c r="FA646" s="1406"/>
    </row>
    <row r="647" spans="1:157" ht="13.25" customHeight="1">
      <c r="A647" s="55" t="s">
        <v>120</v>
      </c>
      <c r="B647" t="s">
        <v>473</v>
      </c>
      <c r="G647" s="1348" t="str">
        <f>C625</f>
        <v>HCD - AHSC</v>
      </c>
      <c r="H647" s="1348"/>
      <c r="I647" s="1348"/>
      <c r="J647" s="1348"/>
      <c r="K647" s="1348"/>
      <c r="L647" s="1348"/>
      <c r="M647" s="1348"/>
      <c r="N647" s="1348"/>
      <c r="O647" s="1348"/>
      <c r="P647" s="1348"/>
      <c r="Q647" s="1348"/>
      <c r="R647" s="1348"/>
      <c r="T647" s="55" t="s">
        <v>591</v>
      </c>
      <c r="U647" t="s">
        <v>473</v>
      </c>
      <c r="Z647" s="1348" t="str">
        <f>C626</f>
        <v>San Mateo County Loans</v>
      </c>
      <c r="AA647" s="1348"/>
      <c r="AB647" s="1348"/>
      <c r="AC647" s="1348"/>
      <c r="AD647" s="1348"/>
      <c r="AE647" s="1348"/>
      <c r="AF647" s="1348"/>
      <c r="AG647" s="1348"/>
      <c r="AH647" s="1348"/>
      <c r="AI647" s="1348"/>
      <c r="AJ647" s="1348"/>
      <c r="AK647" s="1348"/>
      <c r="AZ647" s="34"/>
      <c r="BA647" s="34"/>
      <c r="BB647" s="34"/>
      <c r="BC647" s="34"/>
      <c r="BD647" s="34"/>
      <c r="BE647" s="34"/>
      <c r="BF647" s="34"/>
      <c r="BG647" s="34"/>
      <c r="BH647" s="34"/>
      <c r="BI647" s="34"/>
      <c r="BJ647" s="34"/>
      <c r="BK647" s="34"/>
      <c r="BL647" s="34"/>
      <c r="BM647" s="34"/>
      <c r="CR647" s="3"/>
      <c r="CS647" s="888">
        <f>BR645+BW645+CB645+CG645+CL645+CQ645</f>
        <v>0</v>
      </c>
      <c r="CT647" s="57" t="s">
        <v>1810</v>
      </c>
      <c r="CU647" s="3"/>
      <c r="CV647" s="3"/>
      <c r="CW647" s="3"/>
      <c r="CX647" s="3"/>
      <c r="CY647" s="3"/>
      <c r="CZ647" s="3"/>
      <c r="DA647" s="3"/>
      <c r="DB647" s="3"/>
      <c r="DC647" s="3"/>
      <c r="DD647" s="3"/>
      <c r="DE647" s="3"/>
      <c r="DF647" s="3"/>
      <c r="DX647" s="1406" t="e">
        <f t="shared" si="24"/>
        <v>#VALUE!</v>
      </c>
      <c r="DY647" s="1406"/>
      <c r="DZ647" s="1406"/>
      <c r="EA647" s="1406"/>
      <c r="EB647" s="1406"/>
      <c r="EC647" s="1406" t="e">
        <f t="shared" si="25"/>
        <v>#VALUE!</v>
      </c>
      <c r="ED647" s="1406"/>
      <c r="EE647" s="1406"/>
      <c r="EF647" s="1406"/>
      <c r="EG647" s="1406"/>
      <c r="EH647" s="1406" t="e">
        <f t="shared" si="26"/>
        <v>#VALUE!</v>
      </c>
      <c r="EI647" s="1406"/>
      <c r="EJ647" s="1406"/>
      <c r="EK647" s="1406"/>
      <c r="EL647" s="1406"/>
      <c r="EM647" s="1406" t="e">
        <f t="shared" si="27"/>
        <v>#VALUE!</v>
      </c>
      <c r="EN647" s="1406"/>
      <c r="EO647" s="1406"/>
      <c r="EP647" s="1406"/>
      <c r="EQ647" s="1406"/>
      <c r="ER647" s="1406">
        <f t="shared" si="28"/>
        <v>845.42857142857133</v>
      </c>
      <c r="ES647" s="1406"/>
      <c r="ET647" s="1406"/>
      <c r="EU647" s="1406"/>
      <c r="EV647" s="1406"/>
      <c r="EW647" s="1406" t="e">
        <f t="shared" si="29"/>
        <v>#VALUE!</v>
      </c>
      <c r="EX647" s="1406"/>
      <c r="EY647" s="1406"/>
      <c r="EZ647" s="1406"/>
      <c r="FA647" s="1406"/>
    </row>
    <row r="648" spans="1:157" ht="13.25" customHeight="1">
      <c r="A648" s="22"/>
      <c r="B648" t="s">
        <v>86</v>
      </c>
      <c r="G648" s="1350" t="s">
        <v>2792</v>
      </c>
      <c r="H648" s="1350"/>
      <c r="I648" s="1350"/>
      <c r="J648" s="1350"/>
      <c r="K648" s="1350"/>
      <c r="L648" s="1350"/>
      <c r="M648" s="1350"/>
      <c r="N648" s="1350"/>
      <c r="O648" s="1350"/>
      <c r="P648" s="1350"/>
      <c r="Q648" s="1350"/>
      <c r="R648" s="1350"/>
      <c r="T648" s="22"/>
      <c r="U648" t="s">
        <v>86</v>
      </c>
      <c r="Z648" s="1350" t="str">
        <f>G574</f>
        <v>264 Harbor Boulevard Bldg. A</v>
      </c>
      <c r="AA648" s="1350"/>
      <c r="AB648" s="1350"/>
      <c r="AC648" s="1350"/>
      <c r="AD648" s="1350"/>
      <c r="AE648" s="1350"/>
      <c r="AF648" s="1350"/>
      <c r="AG648" s="1350"/>
      <c r="AH648" s="1350"/>
      <c r="AI648" s="1350"/>
      <c r="AJ648" s="1350"/>
      <c r="AK648" s="1350"/>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6" t="e">
        <f t="shared" si="24"/>
        <v>#VALUE!</v>
      </c>
      <c r="DY648" s="1406"/>
      <c r="DZ648" s="1406"/>
      <c r="EA648" s="1406"/>
      <c r="EB648" s="1406"/>
      <c r="EC648" s="1406" t="e">
        <f t="shared" si="25"/>
        <v>#VALUE!</v>
      </c>
      <c r="ED648" s="1406"/>
      <c r="EE648" s="1406"/>
      <c r="EF648" s="1406"/>
      <c r="EG648" s="1406"/>
      <c r="EH648" s="1406" t="e">
        <f t="shared" si="26"/>
        <v>#VALUE!</v>
      </c>
      <c r="EI648" s="1406"/>
      <c r="EJ648" s="1406"/>
      <c r="EK648" s="1406"/>
      <c r="EL648" s="1406"/>
      <c r="EM648" s="1406" t="e">
        <f t="shared" si="27"/>
        <v>#VALUE!</v>
      </c>
      <c r="EN648" s="1406"/>
      <c r="EO648" s="1406"/>
      <c r="EP648" s="1406"/>
      <c r="EQ648" s="1406"/>
      <c r="ER648" s="1406" t="e">
        <f t="shared" si="28"/>
        <v>#VALUE!</v>
      </c>
      <c r="ES648" s="1406"/>
      <c r="ET648" s="1406"/>
      <c r="EU648" s="1406"/>
      <c r="EV648" s="1406"/>
      <c r="EW648" s="1406" t="e">
        <f t="shared" si="29"/>
        <v>#VALUE!</v>
      </c>
      <c r="EX648" s="1406"/>
      <c r="EY648" s="1406"/>
      <c r="EZ648" s="1406"/>
      <c r="FA648" s="1406"/>
    </row>
    <row r="649" spans="1:157" ht="13.25" customHeight="1">
      <c r="A649" s="22"/>
      <c r="B649" t="s">
        <v>590</v>
      </c>
      <c r="G649" s="1359" t="s">
        <v>2791</v>
      </c>
      <c r="H649" s="1359"/>
      <c r="I649" s="1359"/>
      <c r="J649" s="1359"/>
      <c r="K649" s="1359"/>
      <c r="L649" s="1359"/>
      <c r="M649" s="1359"/>
      <c r="N649" s="1359"/>
      <c r="O649" s="1359"/>
      <c r="P649" s="1359"/>
      <c r="Q649" s="1359"/>
      <c r="R649" s="1359"/>
      <c r="T649" s="22"/>
      <c r="U649" t="s">
        <v>590</v>
      </c>
      <c r="Z649" s="1359" t="str">
        <f>G575</f>
        <v>Belmont, CA 94002</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1">
        <f>BN621+BN630+BN644</f>
        <v>8</v>
      </c>
      <c r="BO649" s="1412"/>
      <c r="BP649" s="1412"/>
      <c r="BQ649" s="1412"/>
      <c r="BR649" s="1413"/>
      <c r="BS649" s="1411">
        <f>BS621+BS630+BS644</f>
        <v>19</v>
      </c>
      <c r="BT649" s="1412"/>
      <c r="BU649" s="1412"/>
      <c r="BV649" s="1412"/>
      <c r="BW649" s="1413"/>
      <c r="BX649" s="1411">
        <f>BX621+BX630+BX644</f>
        <v>75</v>
      </c>
      <c r="BY649" s="1412"/>
      <c r="BZ649" s="1412"/>
      <c r="CA649" s="1412"/>
      <c r="CB649" s="1413"/>
      <c r="CC649" s="1411">
        <f>CC621+CC630+CC644</f>
        <v>27</v>
      </c>
      <c r="CD649" s="1412"/>
      <c r="CE649" s="1412"/>
      <c r="CF649" s="1412"/>
      <c r="CG649" s="1413"/>
      <c r="CH649" s="1411">
        <f>CH621+CH630+CH644</f>
        <v>7</v>
      </c>
      <c r="CI649" s="1412"/>
      <c r="CJ649" s="1412"/>
      <c r="CK649" s="1412"/>
      <c r="CL649" s="1413"/>
      <c r="CM649" s="1414">
        <f>CM644+CM630+CM621</f>
        <v>0</v>
      </c>
      <c r="CN649" s="1415"/>
      <c r="CO649" s="1415"/>
      <c r="CP649" s="1415"/>
      <c r="CQ649" s="1416"/>
      <c r="CR649" s="3"/>
      <c r="CS649" s="888">
        <f>CS623+CS647</f>
        <v>284</v>
      </c>
      <c r="CT649" s="57" t="s">
        <v>2127</v>
      </c>
      <c r="CU649" s="3"/>
      <c r="CV649" s="3"/>
      <c r="CW649" s="3"/>
      <c r="CX649" s="3"/>
      <c r="CY649" s="3"/>
      <c r="CZ649" s="3"/>
      <c r="DA649" s="3"/>
      <c r="DB649" s="3"/>
      <c r="DC649" s="3"/>
      <c r="DD649" s="3"/>
      <c r="DE649" s="3"/>
      <c r="DF649" s="3"/>
      <c r="DX649" s="1406">
        <f>SUMIF(DX624:EB648,"&gt;0")</f>
        <v>1013.5</v>
      </c>
      <c r="DY649" s="1406"/>
      <c r="DZ649" s="1406"/>
      <c r="EA649" s="1406"/>
      <c r="EB649" s="1406"/>
      <c r="EC649" s="1406">
        <f>SUMIF(EC624:EG648,"&gt;0")</f>
        <v>1348.8947368421052</v>
      </c>
      <c r="ED649" s="1406"/>
      <c r="EE649" s="1406"/>
      <c r="EF649" s="1406"/>
      <c r="EG649" s="1406"/>
      <c r="EH649" s="1406">
        <f>SUMIF(EH624:EL648,"&gt;0")</f>
        <v>1661.2162162162163</v>
      </c>
      <c r="EI649" s="1406"/>
      <c r="EJ649" s="1406"/>
      <c r="EK649" s="1406"/>
      <c r="EL649" s="1406"/>
      <c r="EM649" s="1406">
        <f>SUMIF(EM624:EQ648,"&gt;0")</f>
        <v>1997.2592592592591</v>
      </c>
      <c r="EN649" s="1406"/>
      <c r="EO649" s="1406"/>
      <c r="EP649" s="1406"/>
      <c r="EQ649" s="1406"/>
      <c r="ER649" s="1406">
        <f>SUMIF(ER624:EV648,"&gt;0")</f>
        <v>2109.2857142857138</v>
      </c>
      <c r="ES649" s="1406"/>
      <c r="ET649" s="1406"/>
      <c r="EU649" s="1406"/>
      <c r="EV649" s="1406"/>
      <c r="EW649" s="1406">
        <f>SUMIF(EW624:FA648,"&gt;0")</f>
        <v>0</v>
      </c>
      <c r="EX649" s="1406"/>
      <c r="EY649" s="1406"/>
      <c r="EZ649" s="1406"/>
      <c r="FA649" s="1406"/>
    </row>
    <row r="650" spans="1:157" ht="13.25" customHeight="1">
      <c r="A650" s="22"/>
      <c r="B650" t="s">
        <v>17</v>
      </c>
      <c r="G650" s="1359" t="s">
        <v>2793</v>
      </c>
      <c r="H650" s="1359"/>
      <c r="I650" s="1359"/>
      <c r="J650" s="1359"/>
      <c r="K650" s="1359"/>
      <c r="L650" s="1359"/>
      <c r="M650" s="1359"/>
      <c r="N650" s="1359"/>
      <c r="O650" s="1359"/>
      <c r="P650" s="1359"/>
      <c r="Q650" s="1359"/>
      <c r="R650" s="1359"/>
      <c r="T650" s="22"/>
      <c r="U650" t="s">
        <v>17</v>
      </c>
      <c r="Z650" s="1359" t="str">
        <f>G576</f>
        <v>Karen Coppock</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25" customHeight="1">
      <c r="A651" s="22"/>
      <c r="B651" t="s">
        <v>318</v>
      </c>
      <c r="G651" s="1352" t="s">
        <v>2794</v>
      </c>
      <c r="H651" s="1353"/>
      <c r="I651" s="1353"/>
      <c r="J651" s="1353"/>
      <c r="K651" s="1353"/>
      <c r="L651" s="1353"/>
      <c r="O651" s="33" t="s">
        <v>208</v>
      </c>
      <c r="P651" s="1347"/>
      <c r="Q651" s="1347"/>
      <c r="R651" s="1347"/>
      <c r="T651" s="22"/>
      <c r="U651" t="s">
        <v>318</v>
      </c>
      <c r="Z651" s="1353" t="str">
        <f>G577</f>
        <v>650-453-0697</v>
      </c>
      <c r="AA651" s="1353"/>
      <c r="AB651" s="1353"/>
      <c r="AC651" s="1353"/>
      <c r="AD651" s="1353"/>
      <c r="AE651" s="1353"/>
      <c r="AH651" s="33" t="s">
        <v>208</v>
      </c>
      <c r="AI651" s="1347"/>
      <c r="AJ651" s="1347"/>
      <c r="AK651" s="134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25" customHeight="1">
      <c r="A652" s="22"/>
      <c r="B652" t="s">
        <v>18</v>
      </c>
      <c r="H652" s="1350" t="s">
        <v>2780</v>
      </c>
      <c r="I652" s="1350"/>
      <c r="J652" s="1350"/>
      <c r="K652" s="1350"/>
      <c r="L652" s="1350"/>
      <c r="M652" s="1350"/>
      <c r="N652" s="1350"/>
      <c r="O652" s="1350"/>
      <c r="P652" s="1350"/>
      <c r="Q652" s="1350"/>
      <c r="R652" s="1350"/>
      <c r="T652" s="22"/>
      <c r="U652" t="s">
        <v>18</v>
      </c>
      <c r="AA652" s="1350" t="str">
        <f>H586</f>
        <v xml:space="preserve">Residual Receipts </v>
      </c>
      <c r="AB652" s="1350"/>
      <c r="AC652" s="1350"/>
      <c r="AD652" s="1350"/>
      <c r="AE652" s="1350"/>
      <c r="AF652" s="1350"/>
      <c r="AG652" s="1350"/>
      <c r="AH652" s="1350"/>
      <c r="AI652" s="1350"/>
      <c r="AJ652" s="1350"/>
      <c r="AK652" s="1350"/>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25" customHeight="1">
      <c r="A653" s="22"/>
      <c r="B653" t="s">
        <v>20</v>
      </c>
      <c r="N653" s="1351" t="s">
        <v>555</v>
      </c>
      <c r="O653" s="1351"/>
      <c r="T653" s="22"/>
      <c r="U653" t="s">
        <v>20</v>
      </c>
      <c r="AG653" s="1351" t="s">
        <v>555</v>
      </c>
      <c r="AH653" s="1351"/>
      <c r="AZ653" s="3"/>
      <c r="BA653" s="3"/>
      <c r="BB653" s="3"/>
      <c r="BC653" s="3"/>
      <c r="BD653" s="3"/>
      <c r="BE653" s="3"/>
      <c r="BF653" s="3"/>
      <c r="BG653" s="3"/>
      <c r="BH653" s="3"/>
      <c r="BI653" s="3"/>
      <c r="BJ653" s="3"/>
      <c r="BK653" s="3"/>
      <c r="BL653" s="3"/>
      <c r="BM653" s="3"/>
      <c r="BN653" s="3"/>
      <c r="BO653" s="3"/>
      <c r="BP653" s="299" t="s">
        <v>657</v>
      </c>
      <c r="BQ653" s="208"/>
      <c r="BR653" s="208"/>
      <c r="BS653" s="208"/>
      <c r="BT653" s="208"/>
      <c r="BU653" s="208"/>
      <c r="BV653" s="208"/>
      <c r="BW653" s="3"/>
      <c r="BX653" s="299"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25" customHeight="1">
      <c r="A654" s="22"/>
      <c r="T654" s="22"/>
      <c r="AZ654" s="3"/>
      <c r="BA654" s="3"/>
      <c r="BB654" s="3"/>
      <c r="BC654" s="3"/>
      <c r="BD654" s="3"/>
      <c r="BE654" s="3"/>
      <c r="BF654" s="3"/>
      <c r="BG654" s="3"/>
      <c r="BH654" s="3"/>
      <c r="BI654" s="3"/>
      <c r="BJ654" s="3"/>
      <c r="BK654" s="3"/>
      <c r="BL654" s="3"/>
      <c r="BM654" s="3"/>
      <c r="BN654" s="3"/>
      <c r="BO654" s="3"/>
      <c r="BP654" s="297"/>
      <c r="BQ654" s="209"/>
      <c r="BR654" s="298"/>
      <c r="BS654" s="298"/>
      <c r="BT654" s="298"/>
      <c r="BU654" s="298"/>
      <c r="BV654" s="298"/>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25" customHeight="1" thickBot="1">
      <c r="A655" s="55" t="s">
        <v>788</v>
      </c>
      <c r="B655" t="s">
        <v>473</v>
      </c>
      <c r="G655" s="1348" t="str">
        <f>C627</f>
        <v>Santa Clara County - Stanford Funds</v>
      </c>
      <c r="H655" s="1348"/>
      <c r="I655" s="1348"/>
      <c r="J655" s="1348"/>
      <c r="K655" s="1348"/>
      <c r="L655" s="1348"/>
      <c r="M655" s="1348"/>
      <c r="N655" s="1348"/>
      <c r="O655" s="1348"/>
      <c r="P655" s="1348"/>
      <c r="Q655" s="1348"/>
      <c r="R655" s="1348"/>
      <c r="T655" s="55" t="s">
        <v>594</v>
      </c>
      <c r="U655" t="s">
        <v>473</v>
      </c>
      <c r="Z655" s="1348" t="str">
        <f>C628</f>
        <v>City of East Palo Alto Loans</v>
      </c>
      <c r="AA655" s="1348"/>
      <c r="AB655" s="1348"/>
      <c r="AC655" s="1348"/>
      <c r="AD655" s="1348"/>
      <c r="AE655" s="1348"/>
      <c r="AF655" s="1348"/>
      <c r="AG655" s="1348"/>
      <c r="AH655" s="1348"/>
      <c r="AI655" s="1348"/>
      <c r="AJ655" s="1348"/>
      <c r="AK655" s="1348"/>
      <c r="AZ655" s="3"/>
      <c r="BA655" s="166" t="s">
        <v>659</v>
      </c>
      <c r="BB655" s="3"/>
      <c r="BC655" s="3"/>
      <c r="BD655" s="3"/>
      <c r="BE655" s="3"/>
      <c r="BF655" s="217"/>
      <c r="BG655" s="218" t="s">
        <v>929</v>
      </c>
      <c r="BH655" s="217"/>
      <c r="BI655" s="217"/>
      <c r="BJ655" s="3"/>
      <c r="BK655" s="3"/>
      <c r="BL655" s="3"/>
      <c r="BM655" s="3"/>
      <c r="BN655" s="3"/>
      <c r="BO655" s="3"/>
      <c r="BP655" s="367" t="s">
        <v>658</v>
      </c>
      <c r="BQ655" s="368" t="s">
        <v>326</v>
      </c>
      <c r="BR655" s="368" t="s">
        <v>327</v>
      </c>
      <c r="BS655" s="368" t="s">
        <v>164</v>
      </c>
      <c r="BT655" s="368" t="s">
        <v>165</v>
      </c>
      <c r="BU655" s="368" t="s">
        <v>166</v>
      </c>
      <c r="BV655" s="368" t="s">
        <v>30</v>
      </c>
      <c r="BW655" s="3"/>
      <c r="BX655" s="368" t="s">
        <v>326</v>
      </c>
      <c r="BY655" s="368" t="s">
        <v>327</v>
      </c>
      <c r="BZ655" s="368" t="s">
        <v>164</v>
      </c>
      <c r="CA655" s="368" t="s">
        <v>165</v>
      </c>
      <c r="CB655" s="368"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25" customHeight="1">
      <c r="A656" s="22"/>
      <c r="B656" t="s">
        <v>86</v>
      </c>
      <c r="G656" s="1350" t="str">
        <f>Z574</f>
        <v>150 W Tasman Dr.</v>
      </c>
      <c r="H656" s="1350"/>
      <c r="I656" s="1350"/>
      <c r="J656" s="1350"/>
      <c r="K656" s="1350"/>
      <c r="L656" s="1350"/>
      <c r="M656" s="1350"/>
      <c r="N656" s="1350"/>
      <c r="O656" s="1350"/>
      <c r="P656" s="1350"/>
      <c r="Q656" s="1350"/>
      <c r="R656" s="1350"/>
      <c r="T656" s="22"/>
      <c r="U656" t="s">
        <v>86</v>
      </c>
      <c r="Z656" s="1350" t="str">
        <f>G582</f>
        <v>1960 Tate St</v>
      </c>
      <c r="AA656" s="1350"/>
      <c r="AB656" s="1350"/>
      <c r="AC656" s="1350"/>
      <c r="AD656" s="1350"/>
      <c r="AE656" s="1350"/>
      <c r="AF656" s="1350"/>
      <c r="AG656" s="1350"/>
      <c r="AH656" s="1350"/>
      <c r="AI656" s="1350"/>
      <c r="AJ656" s="1350"/>
      <c r="AK656" s="1350"/>
      <c r="AZ656" s="3"/>
      <c r="BA656" s="118">
        <f t="shared" ref="BA656:BA680" si="46">IF($G714=0,"N/A",VLOOKUP($T$189,TC_Rent,(MATCH($B714,bedrooms,FALSE))))</f>
        <v>3262</v>
      </c>
      <c r="BB656" s="3"/>
      <c r="BC656" s="3"/>
      <c r="BD656" s="3"/>
      <c r="BE656" s="3"/>
      <c r="BF656" s="217"/>
      <c r="BG656" s="304" t="s">
        <v>930</v>
      </c>
      <c r="BH656" s="309" t="s">
        <v>931</v>
      </c>
      <c r="BI656" s="308" t="s">
        <v>932</v>
      </c>
      <c r="BJ656" s="3"/>
      <c r="BK656" s="3"/>
      <c r="BL656" s="3"/>
      <c r="BM656" s="3"/>
      <c r="BN656" s="3"/>
      <c r="BO656" s="3"/>
      <c r="BP656" s="369" t="s">
        <v>486</v>
      </c>
      <c r="BQ656" s="483">
        <v>2500</v>
      </c>
      <c r="BR656" s="484">
        <v>2678</v>
      </c>
      <c r="BS656" s="485">
        <v>3214</v>
      </c>
      <c r="BT656" s="484">
        <v>3712</v>
      </c>
      <c r="BU656" s="485">
        <v>4142</v>
      </c>
      <c r="BV656" s="486">
        <v>4570</v>
      </c>
      <c r="BW656" s="3"/>
      <c r="BX656" s="888">
        <v>1538</v>
      </c>
      <c r="BY656" s="888">
        <v>1854</v>
      </c>
      <c r="BZ656" s="888">
        <v>2274</v>
      </c>
      <c r="CA656" s="888">
        <v>3006</v>
      </c>
      <c r="CB656" s="888">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25" customHeight="1">
      <c r="A657" s="22"/>
      <c r="B657" t="s">
        <v>590</v>
      </c>
      <c r="G657" s="1350" t="str">
        <f>Z575</f>
        <v>San Jose, CA 95134</v>
      </c>
      <c r="H657" s="1350"/>
      <c r="I657" s="1350"/>
      <c r="J657" s="1350"/>
      <c r="K657" s="1350"/>
      <c r="L657" s="1350"/>
      <c r="M657" s="1350"/>
      <c r="N657" s="1350"/>
      <c r="O657" s="1350"/>
      <c r="P657" s="1350"/>
      <c r="Q657" s="1350"/>
      <c r="R657" s="1350"/>
      <c r="T657" s="22"/>
      <c r="U657" t="s">
        <v>590</v>
      </c>
      <c r="Z657" s="1359" t="str">
        <f>G583</f>
        <v>East Palo Alto, CA 94303</v>
      </c>
      <c r="AA657" s="1359"/>
      <c r="AB657" s="1359"/>
      <c r="AC657" s="1359"/>
      <c r="AD657" s="1359"/>
      <c r="AE657" s="1359"/>
      <c r="AF657" s="1359"/>
      <c r="AG657" s="1359"/>
      <c r="AH657" s="1359"/>
      <c r="AI657" s="1359"/>
      <c r="AJ657" s="1359"/>
      <c r="AK657" s="1359"/>
      <c r="AZ657" s="3"/>
      <c r="BA657" s="118">
        <f t="shared" si="46"/>
        <v>3496</v>
      </c>
      <c r="BB657" s="3"/>
      <c r="BC657" s="3"/>
      <c r="BD657" s="3"/>
      <c r="BE657" s="3"/>
      <c r="BF657" s="217"/>
      <c r="BG657" s="306">
        <f t="shared" ref="BG657:BG681" si="47">G714</f>
        <v>4</v>
      </c>
      <c r="BH657" s="310">
        <f>BG657/$BG$682</f>
        <v>2.9629629629629631E-2</v>
      </c>
      <c r="BI657" s="311">
        <f t="shared" ref="BI657:BI681" si="48">IF(BH657=0," ",BH657*AC714)</f>
        <v>8.8888888888888889E-3</v>
      </c>
      <c r="BJ657" s="3"/>
      <c r="BK657" s="3"/>
      <c r="BL657" s="3"/>
      <c r="BM657" s="3"/>
      <c r="BN657" s="3"/>
      <c r="BO657" s="3"/>
      <c r="BP657" s="370" t="s">
        <v>487</v>
      </c>
      <c r="BQ657" s="487">
        <v>1590</v>
      </c>
      <c r="BR657" s="488">
        <v>1702</v>
      </c>
      <c r="BS657" s="487">
        <v>2044</v>
      </c>
      <c r="BT657" s="488">
        <v>2360</v>
      </c>
      <c r="BU657" s="488">
        <v>2634</v>
      </c>
      <c r="BV657" s="489">
        <v>2906</v>
      </c>
      <c r="BW657" s="3"/>
      <c r="BX657" s="888">
        <v>725</v>
      </c>
      <c r="BY657" s="888">
        <v>822</v>
      </c>
      <c r="BZ657" s="888">
        <v>1073</v>
      </c>
      <c r="CA657" s="888">
        <v>1524</v>
      </c>
      <c r="CB657" s="888">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25" customHeight="1">
      <c r="A658" s="22"/>
      <c r="B658" t="s">
        <v>17</v>
      </c>
      <c r="G658" s="1350" t="str">
        <f>Z576</f>
        <v>Stephan Jackson</v>
      </c>
      <c r="H658" s="1350"/>
      <c r="I658" s="1350"/>
      <c r="J658" s="1350"/>
      <c r="K658" s="1350"/>
      <c r="L658" s="1350"/>
      <c r="M658" s="1350"/>
      <c r="N658" s="1350"/>
      <c r="O658" s="1350"/>
      <c r="P658" s="1350"/>
      <c r="Q658" s="1350"/>
      <c r="R658" s="1350"/>
      <c r="T658" s="22"/>
      <c r="U658" t="s">
        <v>17</v>
      </c>
      <c r="Z658" s="1359" t="str">
        <f>G584</f>
        <v xml:space="preserve">Amy Chen </v>
      </c>
      <c r="AA658" s="1359"/>
      <c r="AB658" s="1359"/>
      <c r="AC658" s="1359"/>
      <c r="AD658" s="1359"/>
      <c r="AE658" s="1359"/>
      <c r="AF658" s="1359"/>
      <c r="AG658" s="1359"/>
      <c r="AH658" s="1359"/>
      <c r="AI658" s="1359"/>
      <c r="AJ658" s="1359"/>
      <c r="AK658" s="1359"/>
      <c r="AZ658" s="3"/>
      <c r="BA658" s="118">
        <f t="shared" si="46"/>
        <v>3496</v>
      </c>
      <c r="BB658" s="3"/>
      <c r="BC658" s="3"/>
      <c r="BD658" s="3"/>
      <c r="BE658" s="3"/>
      <c r="BF658" s="217"/>
      <c r="BG658" s="307">
        <f t="shared" si="47"/>
        <v>4</v>
      </c>
      <c r="BH658" s="310">
        <f t="shared" ref="BH658:BH681" si="49">BG658/$BG$682</f>
        <v>2.9629629629629631E-2</v>
      </c>
      <c r="BI658" s="311">
        <f t="shared" si="48"/>
        <v>8.8888888888888889E-3</v>
      </c>
      <c r="BJ658" s="3"/>
      <c r="BK658" s="3"/>
      <c r="BL658" s="3"/>
      <c r="BM658" s="3"/>
      <c r="BN658" s="3"/>
      <c r="BO658" s="3"/>
      <c r="BP658" s="370" t="s">
        <v>488</v>
      </c>
      <c r="BQ658" s="490">
        <v>1516</v>
      </c>
      <c r="BR658" s="491">
        <v>1624</v>
      </c>
      <c r="BS658" s="490">
        <v>1950</v>
      </c>
      <c r="BT658" s="491">
        <v>2252</v>
      </c>
      <c r="BU658" s="491">
        <v>2512</v>
      </c>
      <c r="BV658" s="492">
        <v>2772</v>
      </c>
      <c r="BW658" s="3"/>
      <c r="BX658" s="888">
        <v>920</v>
      </c>
      <c r="BY658" s="888">
        <v>926</v>
      </c>
      <c r="BZ658" s="888">
        <v>1148</v>
      </c>
      <c r="CA658" s="888">
        <v>1631</v>
      </c>
      <c r="CB658" s="888">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25" customHeight="1">
      <c r="A659" s="22"/>
      <c r="B659" t="s">
        <v>318</v>
      </c>
      <c r="G659" s="1353" t="str">
        <f>Z577</f>
        <v>408-278-6412</v>
      </c>
      <c r="H659" s="1353"/>
      <c r="I659" s="1353"/>
      <c r="J659" s="1353"/>
      <c r="K659" s="1353"/>
      <c r="L659" s="1353"/>
      <c r="O659" s="33" t="s">
        <v>208</v>
      </c>
      <c r="P659" s="1347"/>
      <c r="Q659" s="1347"/>
      <c r="R659" s="1347"/>
      <c r="T659" s="22"/>
      <c r="U659" t="s">
        <v>318</v>
      </c>
      <c r="Z659" s="1353" t="str">
        <f>G585</f>
        <v>650.853.3193</v>
      </c>
      <c r="AA659" s="1353"/>
      <c r="AB659" s="1353"/>
      <c r="AC659" s="1353"/>
      <c r="AD659" s="1353"/>
      <c r="AE659" s="1353"/>
      <c r="AH659" s="33" t="s">
        <v>208</v>
      </c>
      <c r="AI659" s="1347"/>
      <c r="AJ659" s="1347"/>
      <c r="AK659" s="1347"/>
      <c r="AZ659" s="3"/>
      <c r="BA659" s="118">
        <f t="shared" si="46"/>
        <v>4194</v>
      </c>
      <c r="BB659" s="3"/>
      <c r="BC659" s="3"/>
      <c r="BD659" s="3"/>
      <c r="BE659" s="3"/>
      <c r="BF659" s="217"/>
      <c r="BG659" s="307">
        <f t="shared" si="47"/>
        <v>2</v>
      </c>
      <c r="BH659" s="310">
        <f t="shared" si="49"/>
        <v>1.4814814814814815E-2</v>
      </c>
      <c r="BI659" s="311">
        <f t="shared" si="48"/>
        <v>4.4444444444444444E-3</v>
      </c>
      <c r="BJ659" s="3"/>
      <c r="BK659" s="3"/>
      <c r="BL659" s="3"/>
      <c r="BM659" s="3"/>
      <c r="BN659" s="3"/>
      <c r="BO659" s="3"/>
      <c r="BP659" s="370" t="s">
        <v>489</v>
      </c>
      <c r="BQ659" s="490">
        <v>1364</v>
      </c>
      <c r="BR659" s="491">
        <v>1462</v>
      </c>
      <c r="BS659" s="490">
        <v>1754</v>
      </c>
      <c r="BT659" s="491">
        <v>2026</v>
      </c>
      <c r="BU659" s="491">
        <v>2260</v>
      </c>
      <c r="BV659" s="492">
        <v>2492</v>
      </c>
      <c r="BW659" s="3"/>
      <c r="BX659" s="888">
        <v>826</v>
      </c>
      <c r="BY659" s="888">
        <v>895</v>
      </c>
      <c r="BZ659" s="888">
        <v>1177</v>
      </c>
      <c r="CA659" s="888">
        <v>1662</v>
      </c>
      <c r="CB659" s="888">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25" customHeight="1">
      <c r="A660" s="22"/>
      <c r="B660" t="s">
        <v>18</v>
      </c>
      <c r="H660" s="1350" t="str">
        <f>AA578</f>
        <v>Residual Receipts</v>
      </c>
      <c r="I660" s="1350"/>
      <c r="J660" s="1350"/>
      <c r="K660" s="1350"/>
      <c r="L660" s="1350"/>
      <c r="M660" s="1350"/>
      <c r="N660" s="1350"/>
      <c r="O660" s="1350"/>
      <c r="P660" s="1350"/>
      <c r="Q660" s="1350"/>
      <c r="R660" s="1350"/>
      <c r="T660" s="22"/>
      <c r="U660" t="s">
        <v>18</v>
      </c>
      <c r="AA660" s="1350" t="str">
        <f>H586</f>
        <v xml:space="preserve">Residual Receipts </v>
      </c>
      <c r="AB660" s="1350"/>
      <c r="AC660" s="1350"/>
      <c r="AD660" s="1350"/>
      <c r="AE660" s="1350"/>
      <c r="AF660" s="1350"/>
      <c r="AG660" s="1350"/>
      <c r="AH660" s="1350"/>
      <c r="AI660" s="1350"/>
      <c r="AJ660" s="1350"/>
      <c r="AK660" s="1350"/>
      <c r="AZ660" s="3"/>
      <c r="BA660" s="118">
        <f t="shared" si="46"/>
        <v>4194</v>
      </c>
      <c r="BB660" s="3"/>
      <c r="BC660" s="3"/>
      <c r="BD660" s="3"/>
      <c r="BE660" s="3"/>
      <c r="BF660" s="217"/>
      <c r="BG660" s="307">
        <f t="shared" si="47"/>
        <v>19</v>
      </c>
      <c r="BH660" s="310">
        <f t="shared" si="49"/>
        <v>0.14074074074074075</v>
      </c>
      <c r="BI660" s="311">
        <f t="shared" si="48"/>
        <v>4.2222222222222223E-2</v>
      </c>
      <c r="BJ660" s="3"/>
      <c r="BK660" s="3"/>
      <c r="BL660" s="3"/>
      <c r="BM660" s="3"/>
      <c r="BN660" s="3"/>
      <c r="BO660" s="3"/>
      <c r="BP660" s="370" t="s">
        <v>490</v>
      </c>
      <c r="BQ660" s="490">
        <v>1574</v>
      </c>
      <c r="BR660" s="491">
        <v>1686</v>
      </c>
      <c r="BS660" s="490">
        <v>2024</v>
      </c>
      <c r="BT660" s="491">
        <v>2340</v>
      </c>
      <c r="BU660" s="491">
        <v>2610</v>
      </c>
      <c r="BV660" s="492">
        <v>2880</v>
      </c>
      <c r="BW660" s="3"/>
      <c r="BX660" s="888">
        <v>739</v>
      </c>
      <c r="BY660" s="888">
        <v>857</v>
      </c>
      <c r="BZ660" s="888">
        <v>1094</v>
      </c>
      <c r="CA660" s="888">
        <v>1554</v>
      </c>
      <c r="CB660" s="888">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25" customHeight="1">
      <c r="A661" s="22"/>
      <c r="B661" t="s">
        <v>20</v>
      </c>
      <c r="N661" s="1351" t="s">
        <v>555</v>
      </c>
      <c r="O661" s="1351"/>
      <c r="T661" s="22"/>
      <c r="U661" t="s">
        <v>20</v>
      </c>
      <c r="AG661" s="1351" t="s">
        <v>555</v>
      </c>
      <c r="AH661" s="1351"/>
      <c r="AZ661" s="3"/>
      <c r="BA661" s="118">
        <f t="shared" si="46"/>
        <v>4846</v>
      </c>
      <c r="BB661" s="3"/>
      <c r="BC661" s="3"/>
      <c r="BD661" s="3"/>
      <c r="BE661" s="3"/>
      <c r="BF661" s="217"/>
      <c r="BG661" s="307">
        <f t="shared" si="47"/>
        <v>4</v>
      </c>
      <c r="BH661" s="310">
        <f t="shared" si="49"/>
        <v>2.9629629629629631E-2</v>
      </c>
      <c r="BI661" s="311">
        <f t="shared" si="48"/>
        <v>8.8888888888888889E-3</v>
      </c>
      <c r="BJ661" s="3"/>
      <c r="BK661" s="3"/>
      <c r="BL661" s="3"/>
      <c r="BM661" s="3"/>
      <c r="BN661" s="3"/>
      <c r="BO661" s="3"/>
      <c r="BP661" s="370" t="s">
        <v>491</v>
      </c>
      <c r="BQ661" s="490">
        <v>1364</v>
      </c>
      <c r="BR661" s="491">
        <v>1462</v>
      </c>
      <c r="BS661" s="490">
        <v>1754</v>
      </c>
      <c r="BT661" s="491">
        <v>2026</v>
      </c>
      <c r="BU661" s="491">
        <v>2260</v>
      </c>
      <c r="BV661" s="492">
        <v>2492</v>
      </c>
      <c r="BW661" s="3"/>
      <c r="BX661" s="888">
        <v>713</v>
      </c>
      <c r="BY661" s="888">
        <v>717</v>
      </c>
      <c r="BZ661" s="888">
        <v>944</v>
      </c>
      <c r="CA661" s="888">
        <v>1341</v>
      </c>
      <c r="CB661" s="888">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25" customHeight="1">
      <c r="A662" s="22"/>
      <c r="T662" s="22"/>
      <c r="AZ662" s="3"/>
      <c r="BA662" s="118">
        <f t="shared" si="46"/>
        <v>4846</v>
      </c>
      <c r="BB662" s="3"/>
      <c r="BC662" s="3"/>
      <c r="BD662" s="3"/>
      <c r="BE662" s="3"/>
      <c r="BF662" s="217"/>
      <c r="BG662" s="307">
        <f t="shared" si="47"/>
        <v>7</v>
      </c>
      <c r="BH662" s="310">
        <f t="shared" si="49"/>
        <v>5.185185185185185E-2</v>
      </c>
      <c r="BI662" s="311">
        <f t="shared" si="48"/>
        <v>1.5555555555555555E-2</v>
      </c>
      <c r="BJ662" s="3"/>
      <c r="BK662" s="3"/>
      <c r="BL662" s="3"/>
      <c r="BM662" s="3"/>
      <c r="BN662" s="3"/>
      <c r="BO662" s="3"/>
      <c r="BP662" s="370" t="s">
        <v>492</v>
      </c>
      <c r="BQ662" s="490">
        <v>2500</v>
      </c>
      <c r="BR662" s="491">
        <v>2678</v>
      </c>
      <c r="BS662" s="490">
        <v>3214</v>
      </c>
      <c r="BT662" s="491">
        <v>3712</v>
      </c>
      <c r="BU662" s="491">
        <v>4142</v>
      </c>
      <c r="BV662" s="492">
        <v>4570</v>
      </c>
      <c r="BW662" s="3"/>
      <c r="BX662" s="888">
        <v>1538</v>
      </c>
      <c r="BY662" s="888">
        <v>1854</v>
      </c>
      <c r="BZ662" s="888">
        <v>2274</v>
      </c>
      <c r="CA662" s="888">
        <v>3006</v>
      </c>
      <c r="CB662" s="888">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25" customHeight="1">
      <c r="A663" s="55" t="s">
        <v>465</v>
      </c>
      <c r="B663" t="s">
        <v>473</v>
      </c>
      <c r="G663" s="1348" t="str">
        <f>C629</f>
        <v>HEART - LHTF</v>
      </c>
      <c r="H663" s="1348"/>
      <c r="I663" s="1348"/>
      <c r="J663" s="1348"/>
      <c r="K663" s="1348"/>
      <c r="L663" s="1348"/>
      <c r="M663" s="1348"/>
      <c r="N663" s="1348"/>
      <c r="O663" s="1348"/>
      <c r="P663" s="1348"/>
      <c r="Q663" s="1348"/>
      <c r="R663" s="1348"/>
      <c r="T663" s="55" t="s">
        <v>466</v>
      </c>
      <c r="U663" t="s">
        <v>473</v>
      </c>
      <c r="Z663" s="1348" t="str">
        <f>C630</f>
        <v>LISC Housing Catalyst Fund</v>
      </c>
      <c r="AA663" s="1348"/>
      <c r="AB663" s="1348"/>
      <c r="AC663" s="1348"/>
      <c r="AD663" s="1348"/>
      <c r="AE663" s="1348"/>
      <c r="AF663" s="1348"/>
      <c r="AG663" s="1348"/>
      <c r="AH663" s="1348"/>
      <c r="AI663" s="1348"/>
      <c r="AJ663" s="1348"/>
      <c r="AK663" s="1348"/>
      <c r="AZ663" s="3"/>
      <c r="BA663" s="118">
        <f t="shared" si="46"/>
        <v>5406</v>
      </c>
      <c r="BB663" s="3"/>
      <c r="BC663" s="3"/>
      <c r="BD663" s="3"/>
      <c r="BE663" s="3"/>
      <c r="BF663" s="217"/>
      <c r="BG663" s="307">
        <f t="shared" si="47"/>
        <v>2</v>
      </c>
      <c r="BH663" s="310">
        <f t="shared" si="49"/>
        <v>1.4814814814814815E-2</v>
      </c>
      <c r="BI663" s="311">
        <f t="shared" si="48"/>
        <v>4.4444444444444444E-3</v>
      </c>
      <c r="BJ663" s="3"/>
      <c r="BK663" s="3"/>
      <c r="BL663" s="3"/>
      <c r="BM663" s="3"/>
      <c r="BN663" s="3"/>
      <c r="BO663" s="3"/>
      <c r="BP663" s="370" t="s">
        <v>493</v>
      </c>
      <c r="BQ663" s="490">
        <v>1364</v>
      </c>
      <c r="BR663" s="491">
        <v>1462</v>
      </c>
      <c r="BS663" s="490">
        <v>1754</v>
      </c>
      <c r="BT663" s="491">
        <v>2026</v>
      </c>
      <c r="BU663" s="491">
        <v>2260</v>
      </c>
      <c r="BV663" s="492">
        <v>2492</v>
      </c>
      <c r="BW663" s="3"/>
      <c r="BX663" s="888">
        <v>651</v>
      </c>
      <c r="BY663" s="888">
        <v>831</v>
      </c>
      <c r="BZ663" s="888">
        <v>980</v>
      </c>
      <c r="CA663" s="888">
        <v>1355</v>
      </c>
      <c r="CB663" s="888">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25" customHeight="1">
      <c r="A664" s="22"/>
      <c r="B664" t="s">
        <v>86</v>
      </c>
      <c r="G664" s="1350" t="str">
        <f>Z582</f>
        <v>2905 S. El Camino Real</v>
      </c>
      <c r="H664" s="1350"/>
      <c r="I664" s="1350"/>
      <c r="J664" s="1350"/>
      <c r="K664" s="1350"/>
      <c r="L664" s="1350"/>
      <c r="M664" s="1350"/>
      <c r="N664" s="1350"/>
      <c r="O664" s="1350"/>
      <c r="P664" s="1350"/>
      <c r="Q664" s="1350"/>
      <c r="R664" s="1350"/>
      <c r="T664" s="22"/>
      <c r="U664" t="s">
        <v>86</v>
      </c>
      <c r="Z664" s="1359" t="str">
        <f>G590</f>
        <v>1714 Franklin St #100-138</v>
      </c>
      <c r="AA664" s="1359"/>
      <c r="AB664" s="1359"/>
      <c r="AC664" s="1359"/>
      <c r="AD664" s="1359"/>
      <c r="AE664" s="1359"/>
      <c r="AF664" s="1359"/>
      <c r="AG664" s="1359"/>
      <c r="AH664" s="1359"/>
      <c r="AI664" s="1359"/>
      <c r="AJ664" s="1359"/>
      <c r="AK664" s="1359"/>
      <c r="AZ664" s="3"/>
      <c r="BA664" s="118">
        <f t="shared" si="46"/>
        <v>5406</v>
      </c>
      <c r="BB664" s="3"/>
      <c r="BC664" s="3"/>
      <c r="BD664" s="3"/>
      <c r="BE664" s="3"/>
      <c r="BF664" s="217"/>
      <c r="BG664" s="307">
        <f t="shared" si="47"/>
        <v>1</v>
      </c>
      <c r="BH664" s="310">
        <f t="shared" si="49"/>
        <v>7.4074074074074077E-3</v>
      </c>
      <c r="BI664" s="311">
        <f t="shared" si="48"/>
        <v>2.2222222222222222E-3</v>
      </c>
      <c r="BJ664" s="3"/>
      <c r="BK664" s="3"/>
      <c r="BL664" s="3"/>
      <c r="BM664" s="3"/>
      <c r="BN664" s="3"/>
      <c r="BO664" s="3"/>
      <c r="BP664" s="370" t="s">
        <v>494</v>
      </c>
      <c r="BQ664" s="490">
        <v>1774</v>
      </c>
      <c r="BR664" s="491">
        <v>1900</v>
      </c>
      <c r="BS664" s="490">
        <v>2280</v>
      </c>
      <c r="BT664" s="491">
        <v>2634</v>
      </c>
      <c r="BU664" s="491">
        <v>2940</v>
      </c>
      <c r="BV664" s="492">
        <v>3242</v>
      </c>
      <c r="BW664" s="3"/>
      <c r="BX664" s="888">
        <v>1108</v>
      </c>
      <c r="BY664" s="888">
        <v>1228</v>
      </c>
      <c r="BZ664" s="888">
        <v>1543</v>
      </c>
      <c r="CA664" s="888">
        <v>2192</v>
      </c>
      <c r="CB664" s="888">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25" customHeight="1">
      <c r="A665" s="22"/>
      <c r="B665" t="s">
        <v>590</v>
      </c>
      <c r="G665" s="1350" t="str">
        <f>Z583</f>
        <v>San Mateo, CA 94403</v>
      </c>
      <c r="H665" s="1350"/>
      <c r="I665" s="1350"/>
      <c r="J665" s="1350"/>
      <c r="K665" s="1350"/>
      <c r="L665" s="1350"/>
      <c r="M665" s="1350"/>
      <c r="N665" s="1350"/>
      <c r="O665" s="1350"/>
      <c r="P665" s="1350"/>
      <c r="Q665" s="1350"/>
      <c r="R665" s="1350"/>
      <c r="T665" s="22"/>
      <c r="U665" t="s">
        <v>590</v>
      </c>
      <c r="Z665" s="1359" t="str">
        <f>G591</f>
        <v>Oakland, CA 94612</v>
      </c>
      <c r="AA665" s="1359"/>
      <c r="AB665" s="1359"/>
      <c r="AC665" s="1359"/>
      <c r="AD665" s="1359"/>
      <c r="AE665" s="1359"/>
      <c r="AF665" s="1359"/>
      <c r="AG665" s="1359"/>
      <c r="AH665" s="1359"/>
      <c r="AI665" s="1359"/>
      <c r="AJ665" s="1359"/>
      <c r="AK665" s="1359"/>
      <c r="AZ665" s="3"/>
      <c r="BA665" s="118">
        <f t="shared" si="46"/>
        <v>3262</v>
      </c>
      <c r="BB665" s="3"/>
      <c r="BC665" s="3"/>
      <c r="BD665" s="3"/>
      <c r="BE665" s="3"/>
      <c r="BF665" s="217"/>
      <c r="BG665" s="307">
        <f t="shared" si="47"/>
        <v>2</v>
      </c>
      <c r="BH665" s="310">
        <f t="shared" si="49"/>
        <v>1.4814814814814815E-2</v>
      </c>
      <c r="BI665" s="311">
        <f t="shared" si="48"/>
        <v>4.4444444444444444E-3</v>
      </c>
      <c r="BJ665" s="3"/>
      <c r="BK665" s="3"/>
      <c r="BL665" s="3"/>
      <c r="BM665" s="3"/>
      <c r="BN665" s="3"/>
      <c r="BO665" s="3"/>
      <c r="BP665" s="370" t="s">
        <v>495</v>
      </c>
      <c r="BQ665" s="490">
        <v>1364</v>
      </c>
      <c r="BR665" s="491">
        <v>1462</v>
      </c>
      <c r="BS665" s="490">
        <v>1754</v>
      </c>
      <c r="BT665" s="491">
        <v>2026</v>
      </c>
      <c r="BU665" s="491">
        <v>2260</v>
      </c>
      <c r="BV665" s="492">
        <v>2492</v>
      </c>
      <c r="BW665" s="3"/>
      <c r="BX665" s="888">
        <v>899</v>
      </c>
      <c r="BY665" s="888">
        <v>904</v>
      </c>
      <c r="BZ665" s="888">
        <v>1137</v>
      </c>
      <c r="CA665" s="888">
        <v>1607</v>
      </c>
      <c r="CB665" s="888">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25" customHeight="1">
      <c r="A666" s="22"/>
      <c r="B666" t="s">
        <v>17</v>
      </c>
      <c r="G666" s="1350" t="str">
        <f>Z584</f>
        <v>Boris Vatkin</v>
      </c>
      <c r="H666" s="1350"/>
      <c r="I666" s="1350"/>
      <c r="J666" s="1350"/>
      <c r="K666" s="1350"/>
      <c r="L666" s="1350"/>
      <c r="M666" s="1350"/>
      <c r="N666" s="1350"/>
      <c r="O666" s="1350"/>
      <c r="P666" s="1350"/>
      <c r="Q666" s="1350"/>
      <c r="R666" s="1350"/>
      <c r="T666" s="22"/>
      <c r="U666" t="s">
        <v>17</v>
      </c>
      <c r="Z666" s="1359" t="str">
        <f>G592</f>
        <v>Asha Rao</v>
      </c>
      <c r="AA666" s="1359"/>
      <c r="AB666" s="1359"/>
      <c r="AC666" s="1359"/>
      <c r="AD666" s="1359"/>
      <c r="AE666" s="1359"/>
      <c r="AF666" s="1359"/>
      <c r="AG666" s="1359"/>
      <c r="AH666" s="1359"/>
      <c r="AI666" s="1359"/>
      <c r="AJ666" s="1359"/>
      <c r="AK666" s="1359"/>
      <c r="AZ666" s="3"/>
      <c r="BA666" s="118">
        <f t="shared" si="46"/>
        <v>3496</v>
      </c>
      <c r="BB666" s="3"/>
      <c r="BC666" s="3"/>
      <c r="BD666" s="3"/>
      <c r="BE666" s="3"/>
      <c r="BF666" s="217"/>
      <c r="BG666" s="307">
        <f t="shared" si="47"/>
        <v>4</v>
      </c>
      <c r="BH666" s="310">
        <f t="shared" si="49"/>
        <v>2.9629629629629631E-2</v>
      </c>
      <c r="BI666" s="311">
        <f t="shared" si="48"/>
        <v>1.1851851851851853E-2</v>
      </c>
      <c r="BJ666" s="3"/>
      <c r="BK666" s="3"/>
      <c r="BL666" s="3"/>
      <c r="BM666" s="3"/>
      <c r="BN666" s="3"/>
      <c r="BO666" s="3"/>
      <c r="BP666" s="370" t="s">
        <v>496</v>
      </c>
      <c r="BQ666" s="490">
        <v>1364</v>
      </c>
      <c r="BR666" s="491">
        <v>1462</v>
      </c>
      <c r="BS666" s="490">
        <v>1754</v>
      </c>
      <c r="BT666" s="491">
        <v>2026</v>
      </c>
      <c r="BU666" s="491">
        <v>2260</v>
      </c>
      <c r="BV666" s="492">
        <v>2492</v>
      </c>
      <c r="BW666" s="3"/>
      <c r="BX666" s="888">
        <v>627</v>
      </c>
      <c r="BY666" s="888">
        <v>717</v>
      </c>
      <c r="BZ666" s="888">
        <v>944</v>
      </c>
      <c r="CA666" s="888">
        <v>1167</v>
      </c>
      <c r="CB666" s="888">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25" customHeight="1">
      <c r="A667" s="22"/>
      <c r="B667" t="s">
        <v>318</v>
      </c>
      <c r="G667" s="1353" t="str">
        <f>Z585</f>
        <v>650-204-5639</v>
      </c>
      <c r="H667" s="1353"/>
      <c r="I667" s="1353"/>
      <c r="J667" s="1353"/>
      <c r="K667" s="1353"/>
      <c r="L667" s="1353"/>
      <c r="O667" s="33" t="s">
        <v>208</v>
      </c>
      <c r="P667" s="1347"/>
      <c r="Q667" s="1347"/>
      <c r="R667" s="1347"/>
      <c r="T667" s="22"/>
      <c r="U667" t="s">
        <v>318</v>
      </c>
      <c r="Z667" s="1353" t="str">
        <f>G593</f>
        <v>415-870-4464</v>
      </c>
      <c r="AA667" s="1353"/>
      <c r="AB667" s="1353"/>
      <c r="AC667" s="1353"/>
      <c r="AD667" s="1353"/>
      <c r="AE667" s="1353"/>
      <c r="AH667" s="33" t="s">
        <v>208</v>
      </c>
      <c r="AI667" s="1347"/>
      <c r="AJ667" s="1347"/>
      <c r="AK667" s="1347"/>
      <c r="AZ667" s="3"/>
      <c r="BA667" s="118">
        <f t="shared" si="46"/>
        <v>4194</v>
      </c>
      <c r="BB667" s="3"/>
      <c r="BC667" s="3"/>
      <c r="BD667" s="3"/>
      <c r="BE667" s="3"/>
      <c r="BF667" s="217"/>
      <c r="BG667" s="307">
        <f t="shared" si="47"/>
        <v>6</v>
      </c>
      <c r="BH667" s="310">
        <f t="shared" si="49"/>
        <v>4.4444444444444446E-2</v>
      </c>
      <c r="BI667" s="311">
        <f t="shared" si="48"/>
        <v>1.7777777777777778E-2</v>
      </c>
      <c r="BJ667" s="3"/>
      <c r="BK667" s="3"/>
      <c r="BL667" s="3"/>
      <c r="BM667" s="3"/>
      <c r="BN667" s="3"/>
      <c r="BO667" s="3"/>
      <c r="BP667" s="370" t="s">
        <v>497</v>
      </c>
      <c r="BQ667" s="490">
        <v>1364</v>
      </c>
      <c r="BR667" s="491">
        <v>1462</v>
      </c>
      <c r="BS667" s="490">
        <v>1754</v>
      </c>
      <c r="BT667" s="491">
        <v>2026</v>
      </c>
      <c r="BU667" s="491">
        <v>2260</v>
      </c>
      <c r="BV667" s="492">
        <v>2492</v>
      </c>
      <c r="BW667" s="3"/>
      <c r="BX667" s="888">
        <v>741</v>
      </c>
      <c r="BY667" s="888">
        <v>862</v>
      </c>
      <c r="BZ667" s="888">
        <v>1112</v>
      </c>
      <c r="CA667" s="888">
        <v>1580</v>
      </c>
      <c r="CB667" s="888">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25" customHeight="1">
      <c r="A668" s="22"/>
      <c r="B668" t="s">
        <v>18</v>
      </c>
      <c r="H668" s="1350" t="str">
        <f>AA586</f>
        <v xml:space="preserve">Residual Receipts </v>
      </c>
      <c r="I668" s="1350"/>
      <c r="J668" s="1350"/>
      <c r="K668" s="1350"/>
      <c r="L668" s="1350"/>
      <c r="M668" s="1350"/>
      <c r="N668" s="1350"/>
      <c r="O668" s="1350"/>
      <c r="P668" s="1350"/>
      <c r="Q668" s="1350"/>
      <c r="R668" s="1350"/>
      <c r="T668" s="22"/>
      <c r="U668" t="s">
        <v>18</v>
      </c>
      <c r="AA668" s="1350" t="str">
        <f>H594</f>
        <v xml:space="preserve">Residual Receipts </v>
      </c>
      <c r="AB668" s="1350"/>
      <c r="AC668" s="1350"/>
      <c r="AD668" s="1350"/>
      <c r="AE668" s="1350"/>
      <c r="AF668" s="1350"/>
      <c r="AG668" s="1350"/>
      <c r="AH668" s="1350"/>
      <c r="AI668" s="1350"/>
      <c r="AJ668" s="1350"/>
      <c r="AK668" s="1350"/>
      <c r="AZ668" s="3"/>
      <c r="BA668" s="118">
        <f t="shared" si="46"/>
        <v>4846</v>
      </c>
      <c r="BB668" s="3"/>
      <c r="BC668" s="3"/>
      <c r="BD668" s="3"/>
      <c r="BE668" s="3"/>
      <c r="BF668" s="217"/>
      <c r="BG668" s="307">
        <f t="shared" si="47"/>
        <v>5</v>
      </c>
      <c r="BH668" s="310">
        <f t="shared" si="49"/>
        <v>3.7037037037037035E-2</v>
      </c>
      <c r="BI668" s="311">
        <f t="shared" si="48"/>
        <v>1.4814814814814815E-2</v>
      </c>
      <c r="BJ668" s="3"/>
      <c r="BK668" s="3"/>
      <c r="BL668" s="3"/>
      <c r="BM668" s="3"/>
      <c r="BN668" s="3"/>
      <c r="BO668" s="3"/>
      <c r="BP668" s="370" t="s">
        <v>498</v>
      </c>
      <c r="BQ668" s="490">
        <v>1364</v>
      </c>
      <c r="BR668" s="491">
        <v>1462</v>
      </c>
      <c r="BS668" s="490">
        <v>1754</v>
      </c>
      <c r="BT668" s="491">
        <v>2026</v>
      </c>
      <c r="BU668" s="491">
        <v>2260</v>
      </c>
      <c r="BV668" s="492">
        <v>2492</v>
      </c>
      <c r="BW668" s="3"/>
      <c r="BX668" s="888">
        <v>716</v>
      </c>
      <c r="BY668" s="888">
        <v>815</v>
      </c>
      <c r="BZ668" s="888">
        <v>1065</v>
      </c>
      <c r="CA668" s="888">
        <v>1486</v>
      </c>
      <c r="CB668" s="888">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25" customHeight="1">
      <c r="A669" s="22"/>
      <c r="B669" t="s">
        <v>20</v>
      </c>
      <c r="N669" s="1351" t="s">
        <v>555</v>
      </c>
      <c r="O669" s="1351"/>
      <c r="T669" s="22"/>
      <c r="U669" t="s">
        <v>20</v>
      </c>
      <c r="AG669" s="1351" t="s">
        <v>555</v>
      </c>
      <c r="AH669" s="1351"/>
      <c r="AZ669" s="3"/>
      <c r="BA669" s="118">
        <f t="shared" si="46"/>
        <v>3496</v>
      </c>
      <c r="BB669" s="3"/>
      <c r="BC669" s="3"/>
      <c r="BD669" s="3"/>
      <c r="BE669" s="3"/>
      <c r="BF669" s="217"/>
      <c r="BG669" s="307">
        <f t="shared" si="47"/>
        <v>2</v>
      </c>
      <c r="BH669" s="310">
        <f t="shared" si="49"/>
        <v>1.4814814814814815E-2</v>
      </c>
      <c r="BI669" s="311">
        <f t="shared" si="48"/>
        <v>5.9259259259259265E-3</v>
      </c>
      <c r="BJ669" s="3"/>
      <c r="BK669" s="3"/>
      <c r="BL669" s="3"/>
      <c r="BM669" s="3"/>
      <c r="BN669" s="3"/>
      <c r="BO669" s="3"/>
      <c r="BP669" s="370" t="s">
        <v>499</v>
      </c>
      <c r="BQ669" s="490">
        <v>1446</v>
      </c>
      <c r="BR669" s="491">
        <v>1550</v>
      </c>
      <c r="BS669" s="490">
        <v>1862</v>
      </c>
      <c r="BT669" s="491">
        <v>2150</v>
      </c>
      <c r="BU669" s="491">
        <v>2400</v>
      </c>
      <c r="BV669" s="492">
        <v>2646</v>
      </c>
      <c r="BW669" s="3"/>
      <c r="BX669" s="888">
        <v>754</v>
      </c>
      <c r="BY669" s="888">
        <v>874</v>
      </c>
      <c r="BZ669" s="888">
        <v>1077</v>
      </c>
      <c r="CA669" s="888">
        <v>1530</v>
      </c>
      <c r="CB669" s="888">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25" customHeight="1">
      <c r="A670" s="22"/>
      <c r="T670" s="22"/>
      <c r="AZ670" s="3"/>
      <c r="BA670" s="118">
        <f t="shared" si="46"/>
        <v>3496</v>
      </c>
      <c r="BB670" s="3"/>
      <c r="BC670" s="3"/>
      <c r="BD670" s="3"/>
      <c r="BE670" s="3"/>
      <c r="BF670" s="217"/>
      <c r="BG670" s="307">
        <f t="shared" si="47"/>
        <v>2</v>
      </c>
      <c r="BH670" s="310">
        <f t="shared" si="49"/>
        <v>1.4814814814814815E-2</v>
      </c>
      <c r="BI670" s="311">
        <f t="shared" si="48"/>
        <v>7.4074074074074077E-3</v>
      </c>
      <c r="BJ670" s="3"/>
      <c r="BK670" s="3"/>
      <c r="BL670" s="3"/>
      <c r="BM670" s="3"/>
      <c r="BN670" s="3"/>
      <c r="BO670" s="3"/>
      <c r="BP670" s="370" t="s">
        <v>500</v>
      </c>
      <c r="BQ670" s="490">
        <v>1364</v>
      </c>
      <c r="BR670" s="491">
        <v>1462</v>
      </c>
      <c r="BS670" s="490">
        <v>1754</v>
      </c>
      <c r="BT670" s="491">
        <v>2026</v>
      </c>
      <c r="BU670" s="491">
        <v>2260</v>
      </c>
      <c r="BV670" s="492">
        <v>2492</v>
      </c>
      <c r="BW670" s="3"/>
      <c r="BX670" s="888">
        <v>763</v>
      </c>
      <c r="BY670" s="888">
        <v>772</v>
      </c>
      <c r="BZ670" s="888">
        <v>1013</v>
      </c>
      <c r="CA670" s="888">
        <v>1439</v>
      </c>
      <c r="CB670" s="888">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25" customHeight="1">
      <c r="A671" s="55" t="s">
        <v>471</v>
      </c>
      <c r="B671" t="s">
        <v>473</v>
      </c>
      <c r="G671" s="1348" t="str">
        <f>C631</f>
        <v>Impact Fee Waiver</v>
      </c>
      <c r="H671" s="1348"/>
      <c r="I671" s="1348"/>
      <c r="J671" s="1348"/>
      <c r="K671" s="1348"/>
      <c r="L671" s="1348"/>
      <c r="M671" s="1348"/>
      <c r="N671" s="1348"/>
      <c r="O671" s="1348"/>
      <c r="P671" s="1348"/>
      <c r="Q671" s="1348"/>
      <c r="R671" s="1348"/>
      <c r="T671" s="55" t="s">
        <v>656</v>
      </c>
      <c r="U671" t="s">
        <v>473</v>
      </c>
      <c r="Z671" s="1348" t="str">
        <f>C632</f>
        <v>Deferred Developer Fee</v>
      </c>
      <c r="AA671" s="1348"/>
      <c r="AB671" s="1348"/>
      <c r="AC671" s="1348"/>
      <c r="AD671" s="1348"/>
      <c r="AE671" s="1348"/>
      <c r="AF671" s="1348"/>
      <c r="AG671" s="1348"/>
      <c r="AH671" s="1348"/>
      <c r="AI671" s="1348"/>
      <c r="AJ671" s="1348"/>
      <c r="AK671" s="1348"/>
      <c r="AZ671" s="3"/>
      <c r="BA671" s="118">
        <f t="shared" si="46"/>
        <v>4194</v>
      </c>
      <c r="BB671" s="3"/>
      <c r="BC671" s="3"/>
      <c r="BD671" s="3"/>
      <c r="BE671" s="3"/>
      <c r="BF671" s="217"/>
      <c r="BG671" s="307">
        <f t="shared" si="47"/>
        <v>1</v>
      </c>
      <c r="BH671" s="310">
        <f t="shared" si="49"/>
        <v>7.4074074074074077E-3</v>
      </c>
      <c r="BI671" s="311">
        <f t="shared" si="48"/>
        <v>3.7037037037037038E-3</v>
      </c>
      <c r="BJ671" s="3"/>
      <c r="BK671" s="3"/>
      <c r="BL671" s="3"/>
      <c r="BM671" s="3"/>
      <c r="BN671" s="3"/>
      <c r="BO671" s="3"/>
      <c r="BP671" s="370" t="s">
        <v>501</v>
      </c>
      <c r="BQ671" s="490">
        <v>1364</v>
      </c>
      <c r="BR671" s="491">
        <v>1462</v>
      </c>
      <c r="BS671" s="490">
        <v>1754</v>
      </c>
      <c r="BT671" s="491">
        <v>2026</v>
      </c>
      <c r="BU671" s="491">
        <v>2260</v>
      </c>
      <c r="BV671" s="492">
        <v>2492</v>
      </c>
      <c r="BW671" s="3"/>
      <c r="BX671" s="888">
        <v>924</v>
      </c>
      <c r="BY671" s="888">
        <v>930</v>
      </c>
      <c r="BZ671" s="888">
        <v>1162</v>
      </c>
      <c r="CA671" s="888">
        <v>1651</v>
      </c>
      <c r="CB671" s="888">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25" customHeight="1">
      <c r="A672" s="22"/>
      <c r="B672" t="s">
        <v>86</v>
      </c>
      <c r="G672" s="1350" t="str">
        <f>Z590</f>
        <v>1960 Tate St</v>
      </c>
      <c r="H672" s="1350"/>
      <c r="I672" s="1350"/>
      <c r="J672" s="1350"/>
      <c r="K672" s="1350"/>
      <c r="L672" s="1350"/>
      <c r="M672" s="1350"/>
      <c r="N672" s="1350"/>
      <c r="O672" s="1350"/>
      <c r="P672" s="1350"/>
      <c r="Q672" s="1350"/>
      <c r="R672" s="1350"/>
      <c r="T672" s="22"/>
      <c r="U672" t="s">
        <v>86</v>
      </c>
      <c r="Z672" s="1350" t="str">
        <f>Z598</f>
        <v>303 Vintage Park Drive, Suite 250</v>
      </c>
      <c r="AA672" s="1350"/>
      <c r="AB672" s="1350"/>
      <c r="AC672" s="1350"/>
      <c r="AD672" s="1350"/>
      <c r="AE672" s="1350"/>
      <c r="AF672" s="1350"/>
      <c r="AG672" s="1350"/>
      <c r="AH672" s="1350"/>
      <c r="AI672" s="1350"/>
      <c r="AJ672" s="1350"/>
      <c r="AK672" s="1350"/>
      <c r="AZ672" s="3"/>
      <c r="BA672" s="118">
        <f t="shared" si="46"/>
        <v>4194</v>
      </c>
      <c r="BB672" s="3"/>
      <c r="BC672" s="3"/>
      <c r="BD672" s="3"/>
      <c r="BE672" s="3"/>
      <c r="BF672" s="217"/>
      <c r="BG672" s="307">
        <f t="shared" si="47"/>
        <v>21</v>
      </c>
      <c r="BH672" s="310">
        <f t="shared" si="49"/>
        <v>0.15555555555555556</v>
      </c>
      <c r="BI672" s="311">
        <f t="shared" si="48"/>
        <v>7.7777777777777779E-2</v>
      </c>
      <c r="BJ672" s="3"/>
      <c r="BK672" s="3"/>
      <c r="BL672" s="3"/>
      <c r="BM672" s="3"/>
      <c r="BN672" s="3"/>
      <c r="BO672" s="3"/>
      <c r="BP672" s="370" t="s">
        <v>502</v>
      </c>
      <c r="BQ672" s="490">
        <v>1364</v>
      </c>
      <c r="BR672" s="491">
        <v>1462</v>
      </c>
      <c r="BS672" s="490">
        <v>1754</v>
      </c>
      <c r="BT672" s="491">
        <v>2026</v>
      </c>
      <c r="BU672" s="491">
        <v>2260</v>
      </c>
      <c r="BV672" s="492">
        <v>2492</v>
      </c>
      <c r="BW672" s="3"/>
      <c r="BX672" s="888">
        <v>678</v>
      </c>
      <c r="BY672" s="888">
        <v>776</v>
      </c>
      <c r="BZ672" s="888">
        <v>1021</v>
      </c>
      <c r="CA672" s="888">
        <v>1450</v>
      </c>
      <c r="CB672" s="888">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25" customHeight="1">
      <c r="A673" s="22"/>
      <c r="B673" t="s">
        <v>590</v>
      </c>
      <c r="G673" s="1350" t="str">
        <f>Z591</f>
        <v>East Palo Alto, CA 94303</v>
      </c>
      <c r="H673" s="1350"/>
      <c r="I673" s="1350"/>
      <c r="J673" s="1350"/>
      <c r="K673" s="1350"/>
      <c r="L673" s="1350"/>
      <c r="M673" s="1350"/>
      <c r="N673" s="1350"/>
      <c r="O673" s="1350"/>
      <c r="P673" s="1350"/>
      <c r="Q673" s="1350"/>
      <c r="R673" s="1350"/>
      <c r="T673" s="22"/>
      <c r="U673" t="s">
        <v>590</v>
      </c>
      <c r="Z673" s="1359" t="str">
        <f>Z599</f>
        <v>Foster City, CA 94404</v>
      </c>
      <c r="AA673" s="1359"/>
      <c r="AB673" s="1359"/>
      <c r="AC673" s="1359"/>
      <c r="AD673" s="1359"/>
      <c r="AE673" s="1359"/>
      <c r="AF673" s="1359"/>
      <c r="AG673" s="1359"/>
      <c r="AH673" s="1359"/>
      <c r="AI673" s="1359"/>
      <c r="AJ673" s="1359"/>
      <c r="AK673" s="1359"/>
      <c r="AZ673" s="3"/>
      <c r="BA673" s="118">
        <f t="shared" si="46"/>
        <v>4846</v>
      </c>
      <c r="BB673" s="3"/>
      <c r="BC673" s="3"/>
      <c r="BD673" s="3"/>
      <c r="BE673" s="3"/>
      <c r="BF673" s="217"/>
      <c r="BG673" s="307">
        <f t="shared" si="47"/>
        <v>1</v>
      </c>
      <c r="BH673" s="310">
        <f t="shared" si="49"/>
        <v>7.4074074074074077E-3</v>
      </c>
      <c r="BI673" s="311">
        <f t="shared" si="48"/>
        <v>3.7037037037037038E-3</v>
      </c>
      <c r="BJ673" s="3"/>
      <c r="BK673" s="3"/>
      <c r="BL673" s="3"/>
      <c r="BM673" s="3"/>
      <c r="BN673" s="3"/>
      <c r="BO673" s="3"/>
      <c r="BP673" s="370" t="s">
        <v>503</v>
      </c>
      <c r="BQ673" s="490">
        <v>1406</v>
      </c>
      <c r="BR673" s="491">
        <v>1506</v>
      </c>
      <c r="BS673" s="490">
        <v>1806</v>
      </c>
      <c r="BT673" s="491">
        <v>2088</v>
      </c>
      <c r="BU673" s="491">
        <v>2330</v>
      </c>
      <c r="BV673" s="492">
        <v>2570</v>
      </c>
      <c r="BW673" s="3"/>
      <c r="BX673" s="888">
        <v>623</v>
      </c>
      <c r="BY673" s="888">
        <v>712</v>
      </c>
      <c r="BZ673" s="888">
        <v>937</v>
      </c>
      <c r="CA673" s="888">
        <v>1331</v>
      </c>
      <c r="CB673" s="888">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25" customHeight="1">
      <c r="A674" s="22"/>
      <c r="B674" t="s">
        <v>17</v>
      </c>
      <c r="G674" s="1350" t="str">
        <f>Z592</f>
        <v xml:space="preserve">Amy Chen </v>
      </c>
      <c r="H674" s="1350"/>
      <c r="I674" s="1350"/>
      <c r="J674" s="1350"/>
      <c r="K674" s="1350"/>
      <c r="L674" s="1350"/>
      <c r="M674" s="1350"/>
      <c r="N674" s="1350"/>
      <c r="O674" s="1350"/>
      <c r="P674" s="1350"/>
      <c r="Q674" s="1350"/>
      <c r="R674" s="1350"/>
      <c r="T674" s="22"/>
      <c r="U674" t="s">
        <v>17</v>
      </c>
      <c r="Z674" s="1359" t="str">
        <f>Z600</f>
        <v>Shwetha Subramanian</v>
      </c>
      <c r="AA674" s="1359"/>
      <c r="AB674" s="1359"/>
      <c r="AC674" s="1359"/>
      <c r="AD674" s="1359"/>
      <c r="AE674" s="1359"/>
      <c r="AF674" s="1359"/>
      <c r="AG674" s="1359"/>
      <c r="AH674" s="1359"/>
      <c r="AI674" s="1359"/>
      <c r="AJ674" s="1359"/>
      <c r="AK674" s="1359"/>
      <c r="AZ674" s="3"/>
      <c r="BA674" s="118">
        <f t="shared" si="46"/>
        <v>4846</v>
      </c>
      <c r="BB674" s="3"/>
      <c r="BC674" s="3"/>
      <c r="BD674" s="3"/>
      <c r="BE674" s="3"/>
      <c r="BF674" s="217"/>
      <c r="BG674" s="307">
        <f t="shared" si="47"/>
        <v>3</v>
      </c>
      <c r="BH674" s="310">
        <f t="shared" si="49"/>
        <v>2.2222222222222223E-2</v>
      </c>
      <c r="BI674" s="311">
        <f t="shared" si="48"/>
        <v>1.1111111111111112E-2</v>
      </c>
      <c r="BJ674" s="3"/>
      <c r="BK674" s="3"/>
      <c r="BL674" s="3"/>
      <c r="BM674" s="3"/>
      <c r="BN674" s="3"/>
      <c r="BO674" s="3"/>
      <c r="BP674" s="370" t="s">
        <v>504</v>
      </c>
      <c r="BQ674" s="490">
        <v>2084</v>
      </c>
      <c r="BR674" s="491">
        <v>2232</v>
      </c>
      <c r="BS674" s="490">
        <v>2680</v>
      </c>
      <c r="BT674" s="491">
        <v>3096</v>
      </c>
      <c r="BU674" s="491">
        <v>3454</v>
      </c>
      <c r="BV674" s="492">
        <v>3812</v>
      </c>
      <c r="BW674" s="3"/>
      <c r="BX674" s="888">
        <v>1384</v>
      </c>
      <c r="BY674" s="888">
        <v>1604</v>
      </c>
      <c r="BZ674" s="888">
        <v>2044</v>
      </c>
      <c r="CA674" s="888">
        <v>2693</v>
      </c>
      <c r="CB674" s="888">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25" customHeight="1">
      <c r="A675" s="22"/>
      <c r="B675" t="s">
        <v>318</v>
      </c>
      <c r="G675" s="1353" t="str">
        <f>Z593</f>
        <v>650.853.3193</v>
      </c>
      <c r="H675" s="1353"/>
      <c r="I675" s="1353"/>
      <c r="J675" s="1353"/>
      <c r="K675" s="1353"/>
      <c r="L675" s="1353"/>
      <c r="O675" s="33" t="s">
        <v>208</v>
      </c>
      <c r="P675" s="1347"/>
      <c r="Q675" s="1347"/>
      <c r="R675" s="1347"/>
      <c r="T675" s="22"/>
      <c r="U675" t="s">
        <v>318</v>
      </c>
      <c r="Z675" s="1353" t="str">
        <f>Z601</f>
        <v>510-426-5677</v>
      </c>
      <c r="AA675" s="1353"/>
      <c r="AB675" s="1353"/>
      <c r="AC675" s="1353"/>
      <c r="AD675" s="1353"/>
      <c r="AE675" s="1353"/>
      <c r="AH675" s="33" t="s">
        <v>208</v>
      </c>
      <c r="AI675" s="1347"/>
      <c r="AJ675" s="1347"/>
      <c r="AK675" s="1347"/>
      <c r="AZ675" s="3"/>
      <c r="BA675" s="118">
        <f t="shared" si="46"/>
        <v>5406</v>
      </c>
      <c r="BB675" s="3"/>
      <c r="BC675" s="3"/>
      <c r="BD675" s="3"/>
      <c r="BE675" s="3"/>
      <c r="BF675" s="217"/>
      <c r="BG675" s="307">
        <f t="shared" si="47"/>
        <v>1</v>
      </c>
      <c r="BH675" s="310">
        <f t="shared" si="49"/>
        <v>7.4074074074074077E-3</v>
      </c>
      <c r="BI675" s="311">
        <f t="shared" si="48"/>
        <v>3.7037037037037038E-3</v>
      </c>
      <c r="BJ675" s="3"/>
      <c r="BK675" s="3"/>
      <c r="BL675" s="3"/>
      <c r="BM675" s="3"/>
      <c r="BN675" s="3"/>
      <c r="BO675" s="3"/>
      <c r="BP675" s="370" t="s">
        <v>505</v>
      </c>
      <c r="BQ675" s="490">
        <v>1364</v>
      </c>
      <c r="BR675" s="491">
        <v>1462</v>
      </c>
      <c r="BS675" s="490">
        <v>1754</v>
      </c>
      <c r="BT675" s="491">
        <v>2026</v>
      </c>
      <c r="BU675" s="491">
        <v>2260</v>
      </c>
      <c r="BV675" s="492">
        <v>2492</v>
      </c>
      <c r="BW675" s="3"/>
      <c r="BX675" s="888">
        <v>913</v>
      </c>
      <c r="BY675" s="888">
        <v>919</v>
      </c>
      <c r="BZ675" s="888">
        <v>1198</v>
      </c>
      <c r="CA675" s="888">
        <v>1702</v>
      </c>
      <c r="CB675" s="888">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25" customHeight="1">
      <c r="A676" s="22"/>
      <c r="B676" t="s">
        <v>18</v>
      </c>
      <c r="H676" s="1350" t="str">
        <f>AA594</f>
        <v>Impact Fee Waiver</v>
      </c>
      <c r="I676" s="1350"/>
      <c r="J676" s="1350"/>
      <c r="K676" s="1350"/>
      <c r="L676" s="1350"/>
      <c r="M676" s="1350"/>
      <c r="N676" s="1350"/>
      <c r="O676" s="1350"/>
      <c r="P676" s="1350"/>
      <c r="Q676" s="1350"/>
      <c r="R676" s="1350"/>
      <c r="T676" s="22"/>
      <c r="U676" t="s">
        <v>18</v>
      </c>
      <c r="AA676" s="1350" t="str">
        <f>AA602</f>
        <v>Deferred Developer Fee</v>
      </c>
      <c r="AB676" s="1350"/>
      <c r="AC676" s="1350"/>
      <c r="AD676" s="1350"/>
      <c r="AE676" s="1350"/>
      <c r="AF676" s="1350"/>
      <c r="AG676" s="1350"/>
      <c r="AH676" s="1350"/>
      <c r="AI676" s="1350"/>
      <c r="AJ676" s="1350"/>
      <c r="AK676" s="1350"/>
      <c r="AZ676" s="3"/>
      <c r="BA676" s="118">
        <f t="shared" si="46"/>
        <v>3496</v>
      </c>
      <c r="BB676" s="3"/>
      <c r="BC676" s="3"/>
      <c r="BD676" s="3"/>
      <c r="BE676" s="3"/>
      <c r="BF676" s="217"/>
      <c r="BG676" s="307">
        <f t="shared" si="47"/>
        <v>2</v>
      </c>
      <c r="BH676" s="310">
        <f t="shared" si="49"/>
        <v>1.4814814814814815E-2</v>
      </c>
      <c r="BI676" s="311">
        <f t="shared" si="48"/>
        <v>7.4074074074074077E-3</v>
      </c>
      <c r="BJ676" s="3"/>
      <c r="BK676" s="3"/>
      <c r="BL676" s="3"/>
      <c r="BM676" s="3"/>
      <c r="BN676" s="3"/>
      <c r="BO676" s="3"/>
      <c r="BP676" s="370" t="s">
        <v>506</v>
      </c>
      <c r="BQ676" s="490">
        <v>3262</v>
      </c>
      <c r="BR676" s="491">
        <v>3496</v>
      </c>
      <c r="BS676" s="490">
        <v>4194</v>
      </c>
      <c r="BT676" s="491">
        <v>4846</v>
      </c>
      <c r="BU676" s="491">
        <v>5406</v>
      </c>
      <c r="BV676" s="492">
        <v>5966</v>
      </c>
      <c r="BW676" s="3"/>
      <c r="BX676" s="888">
        <v>2115</v>
      </c>
      <c r="BY676" s="888">
        <v>2631</v>
      </c>
      <c r="BZ676" s="888">
        <v>3198</v>
      </c>
      <c r="CA676" s="888">
        <v>4111</v>
      </c>
      <c r="CB676" s="888">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25" customHeight="1">
      <c r="A677" s="22"/>
      <c r="B677" t="s">
        <v>20</v>
      </c>
      <c r="N677" s="1351" t="s">
        <v>555</v>
      </c>
      <c r="O677" s="1351"/>
      <c r="T677" s="22"/>
      <c r="U677" t="s">
        <v>20</v>
      </c>
      <c r="AG677" s="1351" t="s">
        <v>555</v>
      </c>
      <c r="AH677" s="1351"/>
      <c r="AZ677" s="3"/>
      <c r="BA677" s="118">
        <f t="shared" si="46"/>
        <v>4194</v>
      </c>
      <c r="BB677" s="3"/>
      <c r="BF677" s="217"/>
      <c r="BG677" s="307">
        <f t="shared" si="47"/>
        <v>4</v>
      </c>
      <c r="BH677" s="310">
        <f t="shared" si="49"/>
        <v>2.9629629629629631E-2</v>
      </c>
      <c r="BI677" s="311">
        <f t="shared" si="48"/>
        <v>1.7777777777777778E-2</v>
      </c>
      <c r="BL677" s="3"/>
      <c r="BM677" s="3"/>
      <c r="BN677" s="3"/>
      <c r="BO677" s="3"/>
      <c r="BP677" s="370" t="s">
        <v>53</v>
      </c>
      <c r="BQ677" s="490">
        <v>1364</v>
      </c>
      <c r="BR677" s="491">
        <v>1462</v>
      </c>
      <c r="BS677" s="490">
        <v>1754</v>
      </c>
      <c r="BT677" s="491">
        <v>2026</v>
      </c>
      <c r="BU677" s="491">
        <v>2260</v>
      </c>
      <c r="BV677" s="492">
        <v>2492</v>
      </c>
      <c r="BW677" s="3"/>
      <c r="BX677" s="888">
        <v>718</v>
      </c>
      <c r="BY677" s="888">
        <v>808</v>
      </c>
      <c r="BZ677" s="888">
        <v>1063</v>
      </c>
      <c r="CA677" s="888">
        <v>1423</v>
      </c>
      <c r="CB677" s="888">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25" customHeight="1">
      <c r="A678" s="22"/>
      <c r="T678" s="22"/>
      <c r="AZ678" s="3"/>
      <c r="BA678" s="118">
        <f t="shared" si="46"/>
        <v>4846</v>
      </c>
      <c r="BB678" s="3"/>
      <c r="BF678" s="217"/>
      <c r="BG678" s="307">
        <f t="shared" si="47"/>
        <v>24</v>
      </c>
      <c r="BH678" s="310">
        <f t="shared" si="49"/>
        <v>0.17777777777777778</v>
      </c>
      <c r="BI678" s="311">
        <f t="shared" si="48"/>
        <v>0.10666666666666667</v>
      </c>
      <c r="BL678" s="3"/>
      <c r="BM678" s="3"/>
      <c r="BN678" s="3"/>
      <c r="BO678" s="3"/>
      <c r="BP678" s="370" t="s">
        <v>54</v>
      </c>
      <c r="BQ678" s="490">
        <v>1406</v>
      </c>
      <c r="BR678" s="491">
        <v>1506</v>
      </c>
      <c r="BS678" s="490">
        <v>1806</v>
      </c>
      <c r="BT678" s="491">
        <v>2088</v>
      </c>
      <c r="BU678" s="491">
        <v>2330</v>
      </c>
      <c r="BV678" s="492">
        <v>2570</v>
      </c>
      <c r="BW678" s="3"/>
      <c r="BX678" s="888">
        <v>945</v>
      </c>
      <c r="BY678" s="888">
        <v>954</v>
      </c>
      <c r="BZ678" s="888">
        <v>1245</v>
      </c>
      <c r="CA678" s="888">
        <v>1729</v>
      </c>
      <c r="CB678" s="888">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25" customHeight="1">
      <c r="A679" s="55" t="s">
        <v>364</v>
      </c>
      <c r="B679" t="s">
        <v>473</v>
      </c>
      <c r="G679" s="1348" t="str">
        <f>C633</f>
        <v>Accrued/Deferred Interest</v>
      </c>
      <c r="H679" s="1348"/>
      <c r="I679" s="1348"/>
      <c r="J679" s="1348"/>
      <c r="K679" s="1348"/>
      <c r="L679" s="1348"/>
      <c r="M679" s="1348"/>
      <c r="N679" s="1348"/>
      <c r="O679" s="1348"/>
      <c r="P679" s="1348"/>
      <c r="Q679" s="1348"/>
      <c r="R679" s="1348"/>
      <c r="T679" s="55" t="s">
        <v>365</v>
      </c>
      <c r="U679" t="s">
        <v>473</v>
      </c>
      <c r="Z679" s="1348">
        <f>C634</f>
        <v>0</v>
      </c>
      <c r="AA679" s="1348"/>
      <c r="AB679" s="1348"/>
      <c r="AC679" s="1348"/>
      <c r="AD679" s="1348"/>
      <c r="AE679" s="1348"/>
      <c r="AF679" s="1348"/>
      <c r="AG679" s="1348"/>
      <c r="AH679" s="1348"/>
      <c r="AI679" s="1348"/>
      <c r="AJ679" s="1348"/>
      <c r="AK679" s="1348"/>
      <c r="AZ679" s="3"/>
      <c r="BA679" s="118">
        <f t="shared" si="46"/>
        <v>5406</v>
      </c>
      <c r="BB679" s="3"/>
      <c r="BF679" s="217"/>
      <c r="BG679" s="307">
        <f t="shared" si="47"/>
        <v>12</v>
      </c>
      <c r="BH679" s="310">
        <f t="shared" si="49"/>
        <v>8.8888888888888892E-2</v>
      </c>
      <c r="BI679" s="311">
        <f t="shared" si="48"/>
        <v>5.3333333333333337E-2</v>
      </c>
      <c r="BL679" s="3"/>
      <c r="BM679" s="3"/>
      <c r="BN679" s="3"/>
      <c r="BO679" s="3"/>
      <c r="BP679" s="370" t="s">
        <v>55</v>
      </c>
      <c r="BQ679" s="490">
        <v>1364</v>
      </c>
      <c r="BR679" s="491">
        <v>1462</v>
      </c>
      <c r="BS679" s="490">
        <v>1754</v>
      </c>
      <c r="BT679" s="491">
        <v>2026</v>
      </c>
      <c r="BU679" s="491">
        <v>2260</v>
      </c>
      <c r="BV679" s="492">
        <v>2492</v>
      </c>
      <c r="BW679" s="3"/>
      <c r="BX679" s="888">
        <v>766</v>
      </c>
      <c r="BY679" s="888">
        <v>914</v>
      </c>
      <c r="BZ679" s="888">
        <v>1120</v>
      </c>
      <c r="CA679" s="888">
        <v>1591</v>
      </c>
      <c r="CB679" s="888">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25" customHeight="1">
      <c r="B680" t="s">
        <v>86</v>
      </c>
      <c r="G680" s="1350" t="str">
        <f>Z606</f>
        <v>Various - see above</v>
      </c>
      <c r="H680" s="1350"/>
      <c r="I680" s="1350"/>
      <c r="J680" s="1350"/>
      <c r="K680" s="1350"/>
      <c r="L680" s="1350"/>
      <c r="M680" s="1350"/>
      <c r="N680" s="1350"/>
      <c r="O680" s="1350"/>
      <c r="P680" s="1350"/>
      <c r="Q680" s="1350"/>
      <c r="R680" s="1350"/>
      <c r="T680" s="22"/>
      <c r="U680" t="s">
        <v>86</v>
      </c>
      <c r="Z680" s="1350"/>
      <c r="AA680" s="1350"/>
      <c r="AB680" s="1350"/>
      <c r="AC680" s="1350"/>
      <c r="AD680" s="1350"/>
      <c r="AE680" s="1350"/>
      <c r="AF680" s="1350"/>
      <c r="AG680" s="1350"/>
      <c r="AH680" s="1350"/>
      <c r="AI680" s="1350"/>
      <c r="AJ680" s="1350"/>
      <c r="AK680" s="1350"/>
      <c r="AZ680" s="3"/>
      <c r="BA680" s="118" t="str">
        <f t="shared" si="46"/>
        <v>N/A</v>
      </c>
      <c r="BB680" s="3"/>
      <c r="BF680" s="217"/>
      <c r="BG680" s="307">
        <f t="shared" si="47"/>
        <v>2</v>
      </c>
      <c r="BH680" s="310">
        <f t="shared" si="49"/>
        <v>1.4814814814814815E-2</v>
      </c>
      <c r="BI680" s="311">
        <f t="shared" si="48"/>
        <v>8.8888888888888889E-3</v>
      </c>
      <c r="BL680" s="3"/>
      <c r="BM680" s="3"/>
      <c r="BN680" s="3"/>
      <c r="BO680" s="3"/>
      <c r="BP680" s="370" t="s">
        <v>56</v>
      </c>
      <c r="BQ680" s="490">
        <v>1364</v>
      </c>
      <c r="BR680" s="491">
        <v>1462</v>
      </c>
      <c r="BS680" s="490">
        <v>1754</v>
      </c>
      <c r="BT680" s="491">
        <v>2026</v>
      </c>
      <c r="BU680" s="491">
        <v>2260</v>
      </c>
      <c r="BV680" s="492">
        <v>2492</v>
      </c>
      <c r="BW680" s="3"/>
      <c r="BX680" s="888">
        <v>605</v>
      </c>
      <c r="BY680" s="888">
        <v>609</v>
      </c>
      <c r="BZ680" s="888">
        <v>801</v>
      </c>
      <c r="CA680" s="888">
        <v>1047</v>
      </c>
      <c r="CB680" s="888">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25" customHeight="1">
      <c r="B681" t="s">
        <v>590</v>
      </c>
      <c r="G681" s="1350"/>
      <c r="H681" s="1350"/>
      <c r="I681" s="1350"/>
      <c r="J681" s="1350"/>
      <c r="K681" s="1350"/>
      <c r="L681" s="1350"/>
      <c r="M681" s="1350"/>
      <c r="N681" s="1350"/>
      <c r="O681" s="1350"/>
      <c r="P681" s="1350"/>
      <c r="Q681" s="1350"/>
      <c r="R681" s="1350"/>
      <c r="U681" t="s">
        <v>590</v>
      </c>
      <c r="Z681" s="1359"/>
      <c r="AA681" s="1359"/>
      <c r="AB681" s="1359"/>
      <c r="AC681" s="1359"/>
      <c r="AD681" s="1359"/>
      <c r="AE681" s="1359"/>
      <c r="AF681" s="1359"/>
      <c r="AG681" s="1359"/>
      <c r="AH681" s="1359"/>
      <c r="AI681" s="1359"/>
      <c r="AJ681" s="1359"/>
      <c r="AK681" s="1359"/>
      <c r="AZ681" s="3"/>
      <c r="BA681" s="3"/>
      <c r="BB681" s="3"/>
      <c r="BC681" s="3"/>
      <c r="BF681" s="217"/>
      <c r="BG681" s="307">
        <f t="shared" si="47"/>
        <v>0</v>
      </c>
      <c r="BH681" s="310">
        <f t="shared" si="49"/>
        <v>0</v>
      </c>
      <c r="BI681" s="311" t="str">
        <f t="shared" si="48"/>
        <v xml:space="preserve"> </v>
      </c>
      <c r="BM681" s="3"/>
      <c r="BN681" s="3"/>
      <c r="BO681" s="3"/>
      <c r="BP681" s="370" t="s">
        <v>60</v>
      </c>
      <c r="BQ681" s="490">
        <v>1406</v>
      </c>
      <c r="BR681" s="491">
        <v>1506</v>
      </c>
      <c r="BS681" s="490">
        <v>1806</v>
      </c>
      <c r="BT681" s="491">
        <v>2088</v>
      </c>
      <c r="BU681" s="491">
        <v>2330</v>
      </c>
      <c r="BV681" s="492">
        <v>2570</v>
      </c>
      <c r="BW681" s="3"/>
      <c r="BX681" s="888">
        <v>1009</v>
      </c>
      <c r="BY681" s="888">
        <v>1045</v>
      </c>
      <c r="BZ681" s="888">
        <v>1319</v>
      </c>
      <c r="CA681" s="888">
        <v>1829</v>
      </c>
      <c r="CB681" s="888">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25" customHeight="1">
      <c r="B682" t="s">
        <v>17</v>
      </c>
      <c r="G682" s="1350"/>
      <c r="H682" s="1350"/>
      <c r="I682" s="1350"/>
      <c r="J682" s="1350"/>
      <c r="K682" s="1350"/>
      <c r="L682" s="1350"/>
      <c r="M682" s="1350"/>
      <c r="N682" s="1350"/>
      <c r="O682" s="1350"/>
      <c r="P682" s="1350"/>
      <c r="Q682" s="1350"/>
      <c r="R682" s="1350"/>
      <c r="U682" t="s">
        <v>17</v>
      </c>
      <c r="Z682" s="1359"/>
      <c r="AA682" s="1359"/>
      <c r="AB682" s="1359"/>
      <c r="AC682" s="1359"/>
      <c r="AD682" s="1359"/>
      <c r="AE682" s="1359"/>
      <c r="AF682" s="1359"/>
      <c r="AG682" s="1359"/>
      <c r="AH682" s="1359"/>
      <c r="AI682" s="1359"/>
      <c r="AJ682" s="1359"/>
      <c r="AK682" s="1359"/>
      <c r="AZ682" s="3"/>
      <c r="BA682" s="3"/>
      <c r="BB682" s="3"/>
      <c r="BC682" s="3"/>
      <c r="BD682" s="3"/>
      <c r="BF682" s="303" t="s">
        <v>933</v>
      </c>
      <c r="BG682" s="312">
        <f>SUM(BG657:BG681)</f>
        <v>135</v>
      </c>
      <c r="BH682" s="313">
        <f>SUM(BH657:BH681)</f>
        <v>1.0000000000000002</v>
      </c>
      <c r="BI682" s="313">
        <f>SUM(BI657:BI681)</f>
        <v>0.45185185185185189</v>
      </c>
      <c r="BN682" s="3"/>
      <c r="BO682" s="3"/>
      <c r="BP682" s="370" t="s">
        <v>61</v>
      </c>
      <c r="BQ682" s="490">
        <v>1990</v>
      </c>
      <c r="BR682" s="491">
        <v>2132</v>
      </c>
      <c r="BS682" s="490">
        <v>2560</v>
      </c>
      <c r="BT682" s="491">
        <v>2956</v>
      </c>
      <c r="BU682" s="491">
        <v>3296</v>
      </c>
      <c r="BV682" s="492">
        <v>3638</v>
      </c>
      <c r="BW682" s="3"/>
      <c r="BX682" s="888">
        <v>1533</v>
      </c>
      <c r="BY682" s="888">
        <v>1616</v>
      </c>
      <c r="BZ682" s="888">
        <v>1967</v>
      </c>
      <c r="CA682" s="888">
        <v>2794</v>
      </c>
      <c r="CB682" s="888">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25" customHeight="1">
      <c r="B683" t="s">
        <v>318</v>
      </c>
      <c r="G683" s="1353"/>
      <c r="H683" s="1353"/>
      <c r="I683" s="1353"/>
      <c r="J683" s="1353"/>
      <c r="K683" s="1353"/>
      <c r="L683" s="1353"/>
      <c r="O683" s="33" t="s">
        <v>208</v>
      </c>
      <c r="P683" s="1347"/>
      <c r="Q683" s="1347"/>
      <c r="R683" s="1347"/>
      <c r="U683" t="s">
        <v>318</v>
      </c>
      <c r="Z683" s="1353"/>
      <c r="AA683" s="1353"/>
      <c r="AB683" s="1353"/>
      <c r="AC683" s="1353"/>
      <c r="AD683" s="1353"/>
      <c r="AE683" s="1353"/>
      <c r="AH683" s="33" t="s">
        <v>208</v>
      </c>
      <c r="AI683" s="1347"/>
      <c r="AJ683" s="1347"/>
      <c r="AK683" s="1347"/>
      <c r="AZ683" s="3"/>
      <c r="BA683" s="3"/>
      <c r="BB683" s="3"/>
      <c r="BC683" s="3"/>
      <c r="BD683" s="3"/>
      <c r="BE683" s="3"/>
      <c r="BF683" s="3"/>
      <c r="BG683" s="3"/>
      <c r="BH683" s="3"/>
      <c r="BI683" s="3"/>
      <c r="BJ683" s="3"/>
      <c r="BK683" s="3"/>
      <c r="BL683" s="3"/>
      <c r="BM683" s="3"/>
      <c r="BN683" s="3"/>
      <c r="BO683" s="3"/>
      <c r="BP683" s="370" t="s">
        <v>62</v>
      </c>
      <c r="BQ683" s="490">
        <v>2206</v>
      </c>
      <c r="BR683" s="491">
        <v>2364</v>
      </c>
      <c r="BS683" s="490">
        <v>2836</v>
      </c>
      <c r="BT683" s="491">
        <v>3278</v>
      </c>
      <c r="BU683" s="491">
        <v>3656</v>
      </c>
      <c r="BV683" s="492">
        <v>4036</v>
      </c>
      <c r="BW683" s="3"/>
      <c r="BX683" s="888">
        <v>1438</v>
      </c>
      <c r="BY683" s="888">
        <v>1645</v>
      </c>
      <c r="BZ683" s="888">
        <v>2164</v>
      </c>
      <c r="CA683" s="888">
        <v>2924</v>
      </c>
      <c r="CB683" s="888">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25" customHeight="1">
      <c r="B684" t="s">
        <v>18</v>
      </c>
      <c r="H684" s="1350"/>
      <c r="I684" s="1350"/>
      <c r="J684" s="1350"/>
      <c r="K684" s="1350"/>
      <c r="L684" s="1350"/>
      <c r="M684" s="1350"/>
      <c r="N684" s="1350"/>
      <c r="O684" s="1350"/>
      <c r="P684" s="1350"/>
      <c r="Q684" s="1350"/>
      <c r="R684" s="1350"/>
      <c r="U684" t="s">
        <v>18</v>
      </c>
      <c r="AA684" s="1350"/>
      <c r="AB684" s="1350"/>
      <c r="AC684" s="1350"/>
      <c r="AD684" s="1350"/>
      <c r="AE684" s="1350"/>
      <c r="AF684" s="1350"/>
      <c r="AG684" s="1350"/>
      <c r="AH684" s="1350"/>
      <c r="AI684" s="1350"/>
      <c r="AJ684" s="1350"/>
      <c r="AK684" s="1350"/>
      <c r="AZ684" s="3"/>
      <c r="BA684" s="3"/>
      <c r="BB684" s="3"/>
      <c r="BC684" s="3"/>
      <c r="BD684" s="3"/>
      <c r="BE684" s="3"/>
      <c r="BF684" s="3"/>
      <c r="BG684" s="3"/>
      <c r="BH684" s="3"/>
      <c r="BI684" s="3"/>
      <c r="BJ684" s="3"/>
      <c r="BK684" s="3"/>
      <c r="BL684" s="3"/>
      <c r="BM684" s="3"/>
      <c r="BN684" s="3"/>
      <c r="BO684" s="3"/>
      <c r="BP684" s="370" t="s">
        <v>63</v>
      </c>
      <c r="BQ684" s="490">
        <v>1722</v>
      </c>
      <c r="BR684" s="491">
        <v>1846</v>
      </c>
      <c r="BS684" s="490">
        <v>2214</v>
      </c>
      <c r="BT684" s="491">
        <v>2558</v>
      </c>
      <c r="BU684" s="491">
        <v>2854</v>
      </c>
      <c r="BV684" s="492">
        <v>3150</v>
      </c>
      <c r="BW684" s="3"/>
      <c r="BX684" s="888">
        <v>921</v>
      </c>
      <c r="BY684" s="888">
        <v>993</v>
      </c>
      <c r="BZ684" s="888">
        <v>1307</v>
      </c>
      <c r="CA684" s="888">
        <v>1857</v>
      </c>
      <c r="CB684" s="888">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25" customHeight="1">
      <c r="B685" t="s">
        <v>20</v>
      </c>
      <c r="N685" s="1351" t="s">
        <v>555</v>
      </c>
      <c r="O685" s="1351"/>
      <c r="U685" t="s">
        <v>20</v>
      </c>
      <c r="AG685" s="1351" t="s">
        <v>679</v>
      </c>
      <c r="AH685" s="1351"/>
      <c r="AZ685" s="34"/>
      <c r="BA685" s="34"/>
      <c r="BB685" s="34"/>
      <c r="BC685" s="34"/>
      <c r="BD685" s="34"/>
      <c r="BE685" s="34"/>
      <c r="BF685" s="34"/>
      <c r="BG685" s="34"/>
      <c r="BH685" s="34"/>
      <c r="BI685" s="34"/>
      <c r="BJ685" s="34"/>
      <c r="BK685" s="34"/>
      <c r="BL685" s="34"/>
      <c r="BM685" s="34"/>
      <c r="BN685" s="34"/>
      <c r="BO685" s="34"/>
      <c r="BP685" s="370" t="s">
        <v>64</v>
      </c>
      <c r="BQ685" s="490">
        <v>2372</v>
      </c>
      <c r="BR685" s="491">
        <v>2540</v>
      </c>
      <c r="BS685" s="490">
        <v>3050</v>
      </c>
      <c r="BT685" s="491">
        <v>3522</v>
      </c>
      <c r="BU685" s="491">
        <v>3930</v>
      </c>
      <c r="BV685" s="492">
        <v>4336</v>
      </c>
      <c r="BW685" s="34"/>
      <c r="BX685" s="1067">
        <v>1716</v>
      </c>
      <c r="BY685" s="1067">
        <v>1905</v>
      </c>
      <c r="BZ685" s="1067">
        <v>2324</v>
      </c>
      <c r="CA685" s="1067">
        <v>3178</v>
      </c>
      <c r="CB685" s="1067">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25" customHeight="1">
      <c r="AZ686" s="34"/>
      <c r="BA686" s="34"/>
      <c r="BB686" s="34"/>
      <c r="BC686" s="34"/>
      <c r="BD686" s="34"/>
      <c r="BE686" s="34"/>
      <c r="BF686" s="34"/>
      <c r="BG686" s="34"/>
      <c r="BH686" s="34"/>
      <c r="BI686" s="34"/>
      <c r="BJ686" s="34"/>
      <c r="BK686" s="34"/>
      <c r="BL686" s="34"/>
      <c r="BM686" s="34"/>
      <c r="BN686" s="34"/>
      <c r="BO686" s="34"/>
      <c r="BP686" s="370" t="s">
        <v>65</v>
      </c>
      <c r="BQ686" s="490">
        <v>1774</v>
      </c>
      <c r="BR686" s="491">
        <v>1900</v>
      </c>
      <c r="BS686" s="490">
        <v>2280</v>
      </c>
      <c r="BT686" s="491">
        <v>2634</v>
      </c>
      <c r="BU686" s="491">
        <v>2940</v>
      </c>
      <c r="BV686" s="492">
        <v>3242</v>
      </c>
      <c r="BW686" s="34"/>
      <c r="BX686" s="1067">
        <v>1108</v>
      </c>
      <c r="BY686" s="1067">
        <v>1228</v>
      </c>
      <c r="BZ686" s="1067">
        <v>1543</v>
      </c>
      <c r="CA686" s="1067">
        <v>2192</v>
      </c>
      <c r="CB686" s="1067">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25" customHeight="1">
      <c r="A687" s="2" t="s">
        <v>586</v>
      </c>
      <c r="C687" s="2" t="s">
        <v>329</v>
      </c>
      <c r="E687" s="130"/>
      <c r="F687" s="130"/>
      <c r="G687" s="130"/>
      <c r="H687" s="130"/>
      <c r="AZ687" s="34"/>
      <c r="BA687" s="34"/>
      <c r="BB687" s="34"/>
      <c r="BC687" s="34"/>
      <c r="BD687" s="34"/>
      <c r="BE687" s="34"/>
      <c r="BF687" s="34"/>
      <c r="BG687" s="218" t="s">
        <v>1806</v>
      </c>
      <c r="BH687" s="217"/>
      <c r="BI687" s="217"/>
      <c r="BJ687" s="3"/>
      <c r="BK687" s="34"/>
      <c r="BL687" s="34"/>
      <c r="BM687" s="34"/>
      <c r="BN687" s="34"/>
      <c r="BO687" s="34"/>
      <c r="BP687" s="370" t="s">
        <v>66</v>
      </c>
      <c r="BQ687" s="490">
        <v>1430</v>
      </c>
      <c r="BR687" s="491">
        <v>1532</v>
      </c>
      <c r="BS687" s="490">
        <v>1840</v>
      </c>
      <c r="BT687" s="491">
        <v>2124</v>
      </c>
      <c r="BU687" s="491">
        <v>2370</v>
      </c>
      <c r="BV687" s="492">
        <v>2616</v>
      </c>
      <c r="BW687" s="34"/>
      <c r="BX687" s="1067">
        <v>608</v>
      </c>
      <c r="BY687" s="1067">
        <v>716</v>
      </c>
      <c r="BZ687" s="1067">
        <v>915</v>
      </c>
      <c r="CA687" s="1067">
        <v>1300</v>
      </c>
      <c r="CB687" s="1067">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25" customHeight="1">
      <c r="B688" s="135"/>
      <c r="C688" s="135"/>
      <c r="D688" s="136" t="s">
        <v>437</v>
      </c>
      <c r="E688" s="135"/>
      <c r="F688" s="135"/>
      <c r="G688" s="135"/>
      <c r="H688" s="135"/>
      <c r="AZ688" s="34"/>
      <c r="BA688" s="34"/>
      <c r="BB688" s="34"/>
      <c r="BC688" s="34"/>
      <c r="BD688" s="34"/>
      <c r="BE688" s="34"/>
      <c r="BF688" s="34"/>
      <c r="BG688" s="304" t="s">
        <v>930</v>
      </c>
      <c r="BH688" s="309" t="s">
        <v>931</v>
      </c>
      <c r="BI688" s="308" t="s">
        <v>932</v>
      </c>
      <c r="BJ688" s="3"/>
      <c r="BK688" s="34"/>
      <c r="BL688" s="34"/>
      <c r="BM688" s="34"/>
      <c r="BN688" s="34"/>
      <c r="BO688" s="34"/>
      <c r="BP688" s="370" t="s">
        <v>67</v>
      </c>
      <c r="BQ688" s="490">
        <v>1540</v>
      </c>
      <c r="BR688" s="491">
        <v>1650</v>
      </c>
      <c r="BS688" s="490">
        <v>1980</v>
      </c>
      <c r="BT688" s="491">
        <v>2288</v>
      </c>
      <c r="BU688" s="491">
        <v>2552</v>
      </c>
      <c r="BV688" s="492">
        <v>2816</v>
      </c>
      <c r="BW688" s="34"/>
      <c r="BX688" s="1067">
        <v>1062</v>
      </c>
      <c r="BY688" s="1067">
        <v>1202</v>
      </c>
      <c r="BZ688" s="1067">
        <v>1509</v>
      </c>
      <c r="CA688" s="1067">
        <v>2065</v>
      </c>
      <c r="CB688" s="1067">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25" customHeight="1">
      <c r="B689" s="135"/>
      <c r="C689" s="135"/>
      <c r="E689" s="136" t="s">
        <v>438</v>
      </c>
      <c r="F689" s="135"/>
      <c r="G689" s="135"/>
      <c r="H689" s="135"/>
      <c r="AE689" s="1351" t="s">
        <v>555</v>
      </c>
      <c r="AF689" s="1351"/>
      <c r="AZ689" s="34"/>
      <c r="BA689" s="34"/>
      <c r="BB689" s="34"/>
      <c r="BC689" s="34"/>
      <c r="BD689" s="34"/>
      <c r="BE689" s="34"/>
      <c r="BF689" s="34"/>
      <c r="BG689" s="306">
        <f t="shared" ref="BG689:BG713" si="50">G714</f>
        <v>4</v>
      </c>
      <c r="BH689" s="310">
        <f>BG689/$BG$714</f>
        <v>2.9629629629629631E-2</v>
      </c>
      <c r="BI689" s="311">
        <f t="shared" ref="BI689:BI713" si="51">IF(BH689=0," ",BH689*AH714)</f>
        <v>8.8834389263573819E-3</v>
      </c>
      <c r="BJ689" s="3"/>
      <c r="BK689" s="34"/>
      <c r="BL689" s="34"/>
      <c r="BM689" s="34"/>
      <c r="BN689" s="34"/>
      <c r="BO689" s="34"/>
      <c r="BP689" s="370" t="s">
        <v>68</v>
      </c>
      <c r="BQ689" s="490">
        <v>1774</v>
      </c>
      <c r="BR689" s="491">
        <v>1900</v>
      </c>
      <c r="BS689" s="490">
        <v>2280</v>
      </c>
      <c r="BT689" s="491">
        <v>2634</v>
      </c>
      <c r="BU689" s="491">
        <v>2940</v>
      </c>
      <c r="BV689" s="492">
        <v>3242</v>
      </c>
      <c r="BW689" s="34"/>
      <c r="BX689" s="1067">
        <v>1108</v>
      </c>
      <c r="BY689" s="1067">
        <v>1228</v>
      </c>
      <c r="BZ689" s="1067">
        <v>1543</v>
      </c>
      <c r="CA689" s="1067">
        <v>2192</v>
      </c>
      <c r="CB689" s="1067">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25" customHeight="1">
      <c r="B690" s="135"/>
      <c r="C690" s="135"/>
      <c r="D690" s="136" t="s">
        <v>441</v>
      </c>
      <c r="E690" s="135"/>
      <c r="F690" s="135"/>
      <c r="G690" s="135"/>
      <c r="H690" s="135"/>
      <c r="AE690" s="1351" t="s">
        <v>679</v>
      </c>
      <c r="AF690" s="1351"/>
      <c r="AZ690" s="34"/>
      <c r="BA690" s="34"/>
      <c r="BB690" s="34"/>
      <c r="BC690" s="34"/>
      <c r="BD690" s="34"/>
      <c r="BE690" s="34"/>
      <c r="BF690" s="34"/>
      <c r="BG690" s="307">
        <f t="shared" si="50"/>
        <v>4</v>
      </c>
      <c r="BH690" s="310">
        <f t="shared" ref="BH690:BH713" si="52">BG690/$BG$714</f>
        <v>2.9629629629629631E-2</v>
      </c>
      <c r="BI690" s="311">
        <f t="shared" si="51"/>
        <v>8.8821086532757006E-3</v>
      </c>
      <c r="BJ690" s="3"/>
      <c r="BK690" s="34"/>
      <c r="BL690" s="34"/>
      <c r="BM690" s="34"/>
      <c r="BN690" s="34"/>
      <c r="BO690" s="34"/>
      <c r="BP690" s="370" t="s">
        <v>740</v>
      </c>
      <c r="BQ690" s="490">
        <v>1840</v>
      </c>
      <c r="BR690" s="491">
        <v>1970</v>
      </c>
      <c r="BS690" s="490">
        <v>2364</v>
      </c>
      <c r="BT690" s="491">
        <v>2732</v>
      </c>
      <c r="BU690" s="491">
        <v>3050</v>
      </c>
      <c r="BV690" s="492">
        <v>3364</v>
      </c>
      <c r="BW690" s="34"/>
      <c r="BX690" s="1067">
        <v>1096</v>
      </c>
      <c r="BY690" s="1067">
        <v>1253</v>
      </c>
      <c r="BZ690" s="1067">
        <v>1649</v>
      </c>
      <c r="CA690" s="1067">
        <v>2342</v>
      </c>
      <c r="CB690" s="1067">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25" customHeight="1">
      <c r="B691" s="135"/>
      <c r="C691" s="135"/>
      <c r="D691" s="136" t="s">
        <v>960</v>
      </c>
      <c r="E691" s="135"/>
      <c r="F691" s="135"/>
      <c r="G691" s="135"/>
      <c r="H691" s="135"/>
      <c r="AE691" s="1633">
        <v>44964</v>
      </c>
      <c r="AF691" s="1633"/>
      <c r="AG691" s="1633"/>
      <c r="AH691" s="1633"/>
      <c r="AI691" s="1633"/>
      <c r="AZ691" s="34"/>
      <c r="BA691" s="34"/>
      <c r="BB691" s="34"/>
      <c r="BC691" s="34"/>
      <c r="BD691" s="34"/>
      <c r="BE691" s="3"/>
      <c r="BF691" s="3"/>
      <c r="BG691" s="307">
        <f t="shared" si="50"/>
        <v>2</v>
      </c>
      <c r="BH691" s="310">
        <f t="shared" si="52"/>
        <v>1.4814814814814815E-2</v>
      </c>
      <c r="BI691" s="311">
        <f t="shared" si="51"/>
        <v>4.4410543266378503E-3</v>
      </c>
      <c r="BJ691" s="3"/>
      <c r="BK691" s="3"/>
      <c r="BL691" s="3"/>
      <c r="BM691" s="3"/>
      <c r="BN691" s="34"/>
      <c r="BO691" s="34"/>
      <c r="BP691" s="370" t="s">
        <v>741</v>
      </c>
      <c r="BQ691" s="490">
        <v>1540</v>
      </c>
      <c r="BR691" s="491">
        <v>1650</v>
      </c>
      <c r="BS691" s="490">
        <v>1980</v>
      </c>
      <c r="BT691" s="491">
        <v>2288</v>
      </c>
      <c r="BU691" s="491">
        <v>2552</v>
      </c>
      <c r="BV691" s="492">
        <v>2816</v>
      </c>
      <c r="BW691" s="34"/>
      <c r="BX691" s="1067">
        <v>1062</v>
      </c>
      <c r="BY691" s="1067">
        <v>1202</v>
      </c>
      <c r="BZ691" s="1067">
        <v>1509</v>
      </c>
      <c r="CA691" s="1067">
        <v>2065</v>
      </c>
      <c r="CB691" s="1067">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25" customHeight="1">
      <c r="B692" s="135"/>
      <c r="C692" s="135"/>
      <c r="D692" s="335" t="s">
        <v>1023</v>
      </c>
      <c r="E692" s="135"/>
      <c r="F692" s="135"/>
      <c r="G692" s="135"/>
      <c r="H692" s="135"/>
      <c r="AE692" s="1635">
        <v>45056</v>
      </c>
      <c r="AF692" s="1635"/>
      <c r="AG692" s="1635"/>
      <c r="AH692" s="1635"/>
      <c r="AI692" s="1635"/>
      <c r="AZ692" s="34"/>
      <c r="BA692" s="34"/>
      <c r="BB692" s="34"/>
      <c r="BC692" s="34"/>
      <c r="BD692" s="34"/>
      <c r="BE692" s="3"/>
      <c r="BF692" s="2"/>
      <c r="BG692" s="307">
        <f t="shared" si="50"/>
        <v>19</v>
      </c>
      <c r="BH692" s="310">
        <f t="shared" si="52"/>
        <v>0.14074074074074075</v>
      </c>
      <c r="BI692" s="311">
        <f t="shared" si="51"/>
        <v>4.2215510694289901E-2</v>
      </c>
      <c r="BJ692" s="3"/>
      <c r="BK692" s="3"/>
      <c r="BL692" s="3"/>
      <c r="BM692" s="3"/>
      <c r="BN692" s="34"/>
      <c r="BO692" s="34"/>
      <c r="BP692" s="370" t="s">
        <v>742</v>
      </c>
      <c r="BQ692" s="490">
        <v>2276</v>
      </c>
      <c r="BR692" s="491">
        <v>2440</v>
      </c>
      <c r="BS692" s="490">
        <v>2926</v>
      </c>
      <c r="BT692" s="491">
        <v>3382</v>
      </c>
      <c r="BU692" s="491">
        <v>3774</v>
      </c>
      <c r="BV692" s="492">
        <v>4164</v>
      </c>
      <c r="BW692" s="34"/>
      <c r="BX692" s="1067">
        <v>1394</v>
      </c>
      <c r="BY692" s="1067">
        <v>1542</v>
      </c>
      <c r="BZ692" s="1067">
        <v>1979</v>
      </c>
      <c r="CA692" s="1067">
        <v>2748</v>
      </c>
      <c r="CB692" s="1067">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25" customHeight="1">
      <c r="B693" s="135"/>
      <c r="C693" s="135"/>
      <c r="AZ693" s="34"/>
      <c r="BA693" s="34"/>
      <c r="BB693" s="34"/>
      <c r="BC693" s="34"/>
      <c r="BD693" s="34"/>
      <c r="BE693" s="3"/>
      <c r="BF693" s="3"/>
      <c r="BG693" s="307">
        <f t="shared" si="50"/>
        <v>4</v>
      </c>
      <c r="BH693" s="310">
        <f t="shared" si="52"/>
        <v>2.9629629629629631E-2</v>
      </c>
      <c r="BI693" s="311">
        <f t="shared" si="51"/>
        <v>8.8874759356399793E-3</v>
      </c>
      <c r="BJ693" s="3"/>
      <c r="BK693" s="3"/>
      <c r="BL693" s="3"/>
      <c r="BM693" s="3"/>
      <c r="BN693" s="34"/>
      <c r="BO693" s="34"/>
      <c r="BP693" s="370" t="s">
        <v>743</v>
      </c>
      <c r="BQ693" s="490">
        <v>3262</v>
      </c>
      <c r="BR693" s="491">
        <v>3496</v>
      </c>
      <c r="BS693" s="490">
        <v>4194</v>
      </c>
      <c r="BT693" s="491">
        <v>4846</v>
      </c>
      <c r="BU693" s="491">
        <v>5406</v>
      </c>
      <c r="BV693" s="492">
        <v>5966</v>
      </c>
      <c r="BW693" s="34"/>
      <c r="BX693" s="1067">
        <v>2115</v>
      </c>
      <c r="BY693" s="1067">
        <v>2631</v>
      </c>
      <c r="BZ693" s="1067">
        <v>3198</v>
      </c>
      <c r="CA693" s="1067">
        <v>4111</v>
      </c>
      <c r="CB693" s="1067">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25" customHeight="1">
      <c r="B694" s="135"/>
      <c r="C694" s="135"/>
      <c r="D694" s="136" t="s">
        <v>843</v>
      </c>
      <c r="E694" s="135"/>
      <c r="F694" s="135"/>
      <c r="G694" s="135"/>
      <c r="H694" s="135"/>
      <c r="AE694" s="1633">
        <v>45216</v>
      </c>
      <c r="AF694" s="1633"/>
      <c r="AG694" s="1633"/>
      <c r="AH694" s="1633"/>
      <c r="AI694" s="1633"/>
      <c r="AZ694" s="3"/>
      <c r="BA694" s="3"/>
      <c r="BB694" s="3"/>
      <c r="BC694" s="3"/>
      <c r="BD694" s="3"/>
      <c r="BE694" s="3"/>
      <c r="BF694" s="3"/>
      <c r="BG694" s="307">
        <f t="shared" si="50"/>
        <v>7</v>
      </c>
      <c r="BH694" s="310">
        <f t="shared" si="52"/>
        <v>5.185185185185185E-2</v>
      </c>
      <c r="BI694" s="311">
        <f t="shared" si="51"/>
        <v>1.5557695541187079E-2</v>
      </c>
      <c r="BJ694" s="3"/>
      <c r="BK694" s="3"/>
      <c r="BL694" s="3"/>
      <c r="BM694" s="3"/>
      <c r="BN694" s="3"/>
      <c r="BO694" s="3"/>
      <c r="BP694" s="370" t="s">
        <v>744</v>
      </c>
      <c r="BQ694" s="490">
        <v>1450</v>
      </c>
      <c r="BR694" s="491">
        <v>1552</v>
      </c>
      <c r="BS694" s="490">
        <v>1864</v>
      </c>
      <c r="BT694" s="491">
        <v>2152</v>
      </c>
      <c r="BU694" s="491">
        <v>2402</v>
      </c>
      <c r="BV694" s="492">
        <v>2650</v>
      </c>
      <c r="BW694" s="3"/>
      <c r="BX694" s="888">
        <v>891</v>
      </c>
      <c r="BY694" s="888">
        <v>992</v>
      </c>
      <c r="BZ694" s="888">
        <v>1305</v>
      </c>
      <c r="CA694" s="888">
        <v>1854</v>
      </c>
      <c r="CB694" s="888">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25" customHeight="1">
      <c r="B695" s="135"/>
      <c r="C695" s="135"/>
      <c r="D695" s="136" t="s">
        <v>439</v>
      </c>
      <c r="E695" s="135"/>
      <c r="F695" s="135"/>
      <c r="G695" s="135"/>
      <c r="H695" s="135"/>
      <c r="AE695" s="1665">
        <v>0.53</v>
      </c>
      <c r="AF695" s="1665"/>
      <c r="AG695" s="1665"/>
      <c r="AH695" s="1665"/>
      <c r="AI695" s="1665"/>
      <c r="AZ695" s="3"/>
      <c r="BA695" s="3"/>
      <c r="BB695" s="3"/>
      <c r="BC695" s="3"/>
      <c r="BD695" s="3"/>
      <c r="BE695" s="3"/>
      <c r="BF695" s="3"/>
      <c r="BG695" s="307">
        <f t="shared" si="50"/>
        <v>2</v>
      </c>
      <c r="BH695" s="310">
        <f t="shared" si="52"/>
        <v>1.4814814814814815E-2</v>
      </c>
      <c r="BI695" s="311">
        <f t="shared" si="51"/>
        <v>4.4450558689105944E-3</v>
      </c>
      <c r="BJ695" s="3"/>
      <c r="BK695" s="3"/>
      <c r="BL695" s="3"/>
      <c r="BM695" s="3"/>
      <c r="BN695" s="3"/>
      <c r="BO695" s="3"/>
      <c r="BP695" s="370" t="s">
        <v>69</v>
      </c>
      <c r="BQ695" s="490">
        <v>1914</v>
      </c>
      <c r="BR695" s="491">
        <v>2052</v>
      </c>
      <c r="BS695" s="490">
        <v>2462</v>
      </c>
      <c r="BT695" s="491">
        <v>2844</v>
      </c>
      <c r="BU695" s="491">
        <v>3174</v>
      </c>
      <c r="BV695" s="492">
        <v>3502</v>
      </c>
      <c r="BW695" s="3"/>
      <c r="BX695" s="888">
        <v>1308</v>
      </c>
      <c r="BY695" s="888">
        <v>1436</v>
      </c>
      <c r="BZ695" s="888">
        <v>1890</v>
      </c>
      <c r="CA695" s="888">
        <v>2685</v>
      </c>
      <c r="CB695" s="888">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25" customHeight="1">
      <c r="B696" s="135"/>
      <c r="C696" s="135"/>
      <c r="D696" s="136" t="s">
        <v>440</v>
      </c>
      <c r="E696" s="135"/>
      <c r="F696" s="135"/>
      <c r="G696" s="135"/>
      <c r="H696" s="135"/>
      <c r="W696" s="1348" t="str">
        <f>H334</f>
        <v>California Municipal Finance Authority</v>
      </c>
      <c r="X696" s="1348"/>
      <c r="Y696" s="1348"/>
      <c r="Z696" s="1348"/>
      <c r="AA696" s="1348"/>
      <c r="AB696" s="1348"/>
      <c r="AC696" s="1348"/>
      <c r="AD696" s="1348"/>
      <c r="AE696" s="1348"/>
      <c r="AF696" s="1348"/>
      <c r="AG696" s="1348"/>
      <c r="AH696" s="1348"/>
      <c r="AI696" s="1348"/>
      <c r="AJ696" s="1348"/>
      <c r="AK696" s="1348"/>
      <c r="AZ696" s="3"/>
      <c r="BA696" s="3"/>
      <c r="BB696" s="3"/>
      <c r="BC696" s="3"/>
      <c r="BD696" s="3"/>
      <c r="BE696" s="3"/>
      <c r="BF696" s="3"/>
      <c r="BG696" s="307">
        <f t="shared" si="50"/>
        <v>1</v>
      </c>
      <c r="BH696" s="310">
        <f t="shared" si="52"/>
        <v>7.4074074074074077E-3</v>
      </c>
      <c r="BI696" s="311">
        <f t="shared" si="51"/>
        <v>2.2224962661514642E-3</v>
      </c>
      <c r="BJ696" s="3"/>
      <c r="BK696" s="3"/>
      <c r="BL696" s="3"/>
      <c r="BM696" s="3"/>
      <c r="BN696" s="3"/>
      <c r="BO696" s="3"/>
      <c r="BP696" s="370" t="s">
        <v>70</v>
      </c>
      <c r="BQ696" s="490">
        <v>3262</v>
      </c>
      <c r="BR696" s="491">
        <v>3496</v>
      </c>
      <c r="BS696" s="490">
        <v>4194</v>
      </c>
      <c r="BT696" s="491">
        <v>4846</v>
      </c>
      <c r="BU696" s="491">
        <v>5406</v>
      </c>
      <c r="BV696" s="492">
        <v>5966</v>
      </c>
      <c r="BW696" s="3"/>
      <c r="BX696" s="888">
        <v>2115</v>
      </c>
      <c r="BY696" s="888">
        <v>2631</v>
      </c>
      <c r="BZ696" s="888">
        <v>3198</v>
      </c>
      <c r="CA696" s="888">
        <v>4111</v>
      </c>
      <c r="CB696" s="888">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25" customHeight="1">
      <c r="B697" s="135"/>
      <c r="C697" s="135"/>
      <c r="D697" s="136"/>
      <c r="E697" s="135"/>
      <c r="F697" s="135"/>
      <c r="G697" s="135"/>
      <c r="H697" s="135"/>
      <c r="AZ697" s="3"/>
      <c r="BA697" s="3"/>
      <c r="BB697" s="3"/>
      <c r="BC697" s="3"/>
      <c r="BD697" s="3"/>
      <c r="BE697" s="3"/>
      <c r="BF697" s="3"/>
      <c r="BG697" s="307">
        <f t="shared" si="50"/>
        <v>2</v>
      </c>
      <c r="BH697" s="310">
        <f t="shared" si="52"/>
        <v>1.4814814814814815E-2</v>
      </c>
      <c r="BI697" s="311">
        <f t="shared" si="51"/>
        <v>4.4449925323029283E-3</v>
      </c>
      <c r="BJ697" s="3"/>
      <c r="BK697" s="3"/>
      <c r="BL697" s="3"/>
      <c r="BM697" s="3"/>
      <c r="BN697" s="3"/>
      <c r="BO697" s="3"/>
      <c r="BP697" s="370" t="s">
        <v>193</v>
      </c>
      <c r="BQ697" s="490">
        <v>2444</v>
      </c>
      <c r="BR697" s="491">
        <v>2620</v>
      </c>
      <c r="BS697" s="490">
        <v>3144</v>
      </c>
      <c r="BT697" s="491">
        <v>3632</v>
      </c>
      <c r="BU697" s="491">
        <v>4052</v>
      </c>
      <c r="BV697" s="492">
        <v>4472</v>
      </c>
      <c r="BW697" s="3"/>
      <c r="BX697" s="888">
        <v>1847</v>
      </c>
      <c r="BY697" s="888">
        <v>2124</v>
      </c>
      <c r="BZ697" s="888">
        <v>2478</v>
      </c>
      <c r="CA697" s="888">
        <v>3266</v>
      </c>
      <c r="CB697" s="888">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25" customHeight="1">
      <c r="B698" s="135"/>
      <c r="C698" s="135"/>
      <c r="D698" s="136" t="s">
        <v>442</v>
      </c>
      <c r="E698" s="135"/>
      <c r="F698" s="135"/>
      <c r="G698" s="135"/>
      <c r="H698" s="135"/>
      <c r="AE698" s="1351" t="s">
        <v>679</v>
      </c>
      <c r="AF698" s="1351"/>
      <c r="AZ698" s="3"/>
      <c r="BA698" s="3"/>
      <c r="BB698" s="3"/>
      <c r="BC698" s="3"/>
      <c r="BD698" s="3"/>
      <c r="BE698" s="3"/>
      <c r="BF698" s="3"/>
      <c r="BG698" s="307">
        <f t="shared" si="50"/>
        <v>4</v>
      </c>
      <c r="BH698" s="310">
        <f t="shared" si="52"/>
        <v>2.9629629629629631E-2</v>
      </c>
      <c r="BI698" s="311">
        <f t="shared" si="51"/>
        <v>1.185366850602902E-2</v>
      </c>
      <c r="BJ698" s="3"/>
      <c r="BK698" s="3"/>
      <c r="BL698" s="3"/>
      <c r="BM698" s="3"/>
      <c r="BN698" s="3"/>
      <c r="BO698" s="3"/>
      <c r="BP698" s="370" t="s">
        <v>194</v>
      </c>
      <c r="BQ698" s="490">
        <v>2950</v>
      </c>
      <c r="BR698" s="491">
        <v>3160</v>
      </c>
      <c r="BS698" s="490">
        <v>3792</v>
      </c>
      <c r="BT698" s="491">
        <v>4380</v>
      </c>
      <c r="BU698" s="491">
        <v>4886</v>
      </c>
      <c r="BV698" s="492">
        <v>5392</v>
      </c>
      <c r="BW698" s="3"/>
      <c r="BX698" s="888">
        <v>2145</v>
      </c>
      <c r="BY698" s="888">
        <v>2418</v>
      </c>
      <c r="BZ698" s="888">
        <v>2868</v>
      </c>
      <c r="CA698" s="888">
        <v>3687</v>
      </c>
      <c r="CB698" s="888">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25" customHeight="1">
      <c r="B699" s="135"/>
      <c r="C699" s="135"/>
      <c r="D699" s="136" t="s">
        <v>446</v>
      </c>
      <c r="E699" s="135"/>
      <c r="F699" s="135"/>
      <c r="G699" s="135"/>
      <c r="H699" s="135"/>
      <c r="W699" s="1350"/>
      <c r="X699" s="1350"/>
      <c r="Y699" s="1350"/>
      <c r="Z699" s="1350"/>
      <c r="AA699" s="1350"/>
      <c r="AB699" s="1350"/>
      <c r="AC699" s="1350"/>
      <c r="AD699" s="1350"/>
      <c r="AE699" s="1350"/>
      <c r="AF699" s="1350"/>
      <c r="AG699" s="1350"/>
      <c r="AH699" s="1350"/>
      <c r="AI699" s="1350"/>
      <c r="AJ699" s="1350"/>
      <c r="AK699" s="1350"/>
      <c r="AZ699" s="3"/>
      <c r="BA699" s="3"/>
      <c r="BB699" s="3"/>
      <c r="BC699" s="3"/>
      <c r="BD699" s="3"/>
      <c r="BE699" s="3"/>
      <c r="BF699" s="3"/>
      <c r="BG699" s="307">
        <f t="shared" si="50"/>
        <v>6</v>
      </c>
      <c r="BH699" s="310">
        <f t="shared" si="52"/>
        <v>4.4444444444444446E-2</v>
      </c>
      <c r="BI699" s="311">
        <f t="shared" si="51"/>
        <v>1.777269260106789E-2</v>
      </c>
      <c r="BJ699" s="3"/>
      <c r="BK699" s="3"/>
      <c r="BL699" s="3"/>
      <c r="BM699" s="3"/>
      <c r="BN699" s="3"/>
      <c r="BO699" s="3"/>
      <c r="BP699" s="370" t="s">
        <v>195</v>
      </c>
      <c r="BQ699" s="490">
        <v>2722</v>
      </c>
      <c r="BR699" s="491">
        <v>2916</v>
      </c>
      <c r="BS699" s="490">
        <v>3500</v>
      </c>
      <c r="BT699" s="491">
        <v>4042</v>
      </c>
      <c r="BU699" s="491">
        <v>4510</v>
      </c>
      <c r="BV699" s="492">
        <v>4976</v>
      </c>
      <c r="BW699" s="3"/>
      <c r="BX699" s="888">
        <v>2085</v>
      </c>
      <c r="BY699" s="888">
        <v>2385</v>
      </c>
      <c r="BZ699" s="888">
        <v>3138</v>
      </c>
      <c r="CA699" s="888">
        <v>4000</v>
      </c>
      <c r="CB699" s="888">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25" customHeight="1">
      <c r="B700" s="135"/>
      <c r="C700" s="135"/>
      <c r="D700" s="136" t="s">
        <v>88</v>
      </c>
      <c r="E700" s="135"/>
      <c r="F700" s="135"/>
      <c r="G700" s="135"/>
      <c r="H700" s="135"/>
      <c r="J700" s="1350"/>
      <c r="K700" s="1350"/>
      <c r="L700" s="1350"/>
      <c r="M700" s="1350"/>
      <c r="N700" s="1350"/>
      <c r="O700" s="1350"/>
      <c r="P700" s="1350"/>
      <c r="Q700" s="1350"/>
      <c r="R700" s="1350"/>
      <c r="S700" s="1350"/>
      <c r="T700" s="1350"/>
      <c r="U700" s="1350"/>
      <c r="V700" s="1350"/>
      <c r="W700" s="1350"/>
      <c r="X700" s="1350"/>
      <c r="AZ700" s="3"/>
      <c r="BA700" s="3"/>
      <c r="BB700" s="3"/>
      <c r="BC700" s="3"/>
      <c r="BD700" s="3"/>
      <c r="BE700" s="3"/>
      <c r="BF700" s="3"/>
      <c r="BG700" s="307">
        <f t="shared" si="50"/>
        <v>5</v>
      </c>
      <c r="BH700" s="310">
        <f t="shared" si="52"/>
        <v>3.7037037037037035E-2</v>
      </c>
      <c r="BI700" s="311">
        <f t="shared" si="51"/>
        <v>1.4818347197937088E-2</v>
      </c>
      <c r="BJ700" s="3"/>
      <c r="BK700" s="3"/>
      <c r="BL700" s="3"/>
      <c r="BM700" s="3"/>
      <c r="BN700" s="3"/>
      <c r="BO700" s="3"/>
      <c r="BP700" s="370" t="s">
        <v>196</v>
      </c>
      <c r="BQ700" s="490">
        <v>1390</v>
      </c>
      <c r="BR700" s="491">
        <v>1490</v>
      </c>
      <c r="BS700" s="490">
        <v>1786</v>
      </c>
      <c r="BT700" s="491">
        <v>2064</v>
      </c>
      <c r="BU700" s="491">
        <v>2304</v>
      </c>
      <c r="BV700" s="492">
        <v>2542</v>
      </c>
      <c r="BW700" s="3"/>
      <c r="BX700" s="888">
        <v>834</v>
      </c>
      <c r="BY700" s="888">
        <v>954</v>
      </c>
      <c r="BZ700" s="888">
        <v>1255</v>
      </c>
      <c r="CA700" s="888">
        <v>1783</v>
      </c>
      <c r="CB700" s="888">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25" customHeight="1">
      <c r="B701" s="135"/>
      <c r="C701" s="135"/>
      <c r="D701" s="136" t="s">
        <v>89</v>
      </c>
      <c r="J701" s="1353"/>
      <c r="K701" s="1353"/>
      <c r="L701" s="1353"/>
      <c r="M701" s="1353"/>
      <c r="N701" s="1353"/>
      <c r="O701" s="1353"/>
      <c r="P701" s="4" t="s">
        <v>208</v>
      </c>
      <c r="Q701" s="4"/>
      <c r="R701" s="1347"/>
      <c r="S701" s="1347"/>
      <c r="T701" s="1347"/>
      <c r="AZ701" s="3"/>
      <c r="BA701" s="3"/>
      <c r="BB701" s="3"/>
      <c r="BC701" s="3"/>
      <c r="BD701" s="3"/>
      <c r="BE701" s="3"/>
      <c r="BF701" s="3"/>
      <c r="BG701" s="307">
        <f t="shared" si="50"/>
        <v>2</v>
      </c>
      <c r="BH701" s="310">
        <f t="shared" si="52"/>
        <v>1.4814814814814815E-2</v>
      </c>
      <c r="BI701" s="311">
        <f t="shared" si="51"/>
        <v>5.9277601993243762E-3</v>
      </c>
      <c r="BJ701" s="3"/>
      <c r="BK701" s="3"/>
      <c r="BL701" s="3"/>
      <c r="BM701" s="3"/>
      <c r="BN701" s="3"/>
      <c r="BO701" s="3"/>
      <c r="BP701" s="370" t="s">
        <v>197</v>
      </c>
      <c r="BQ701" s="490">
        <v>1574</v>
      </c>
      <c r="BR701" s="491">
        <v>1686</v>
      </c>
      <c r="BS701" s="490">
        <v>2024</v>
      </c>
      <c r="BT701" s="491">
        <v>2340</v>
      </c>
      <c r="BU701" s="491">
        <v>2610</v>
      </c>
      <c r="BV701" s="492">
        <v>2880</v>
      </c>
      <c r="BW701" s="3"/>
      <c r="BX701" s="888">
        <v>754</v>
      </c>
      <c r="BY701" s="888">
        <v>855</v>
      </c>
      <c r="BZ701" s="888">
        <v>1114</v>
      </c>
      <c r="CA701" s="888">
        <v>1593</v>
      </c>
      <c r="CB701" s="888">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25" customHeight="1">
      <c r="B702" s="135"/>
      <c r="C702" s="135"/>
      <c r="D702" s="136" t="s">
        <v>447</v>
      </c>
      <c r="W702" s="1350" t="s">
        <v>309</v>
      </c>
      <c r="X702" s="1350"/>
      <c r="Y702" s="1350"/>
      <c r="Z702" s="1350"/>
      <c r="AA702" s="1350"/>
      <c r="AB702" s="1350"/>
      <c r="AC702" s="1350"/>
      <c r="AD702" s="1350"/>
      <c r="AE702" s="1350"/>
      <c r="AF702" s="1350"/>
      <c r="AG702" s="1350"/>
      <c r="AH702" s="1350"/>
      <c r="AI702" s="1350"/>
      <c r="AJ702" s="1350"/>
      <c r="AK702" s="1350"/>
      <c r="AZ702" s="3"/>
      <c r="BA702" s="3"/>
      <c r="BB702" s="3"/>
      <c r="BC702" s="3"/>
      <c r="BD702" s="3"/>
      <c r="BE702" s="3"/>
      <c r="BF702" s="3"/>
      <c r="BG702" s="307">
        <f t="shared" si="50"/>
        <v>2</v>
      </c>
      <c r="BH702" s="310">
        <f t="shared" si="52"/>
        <v>1.4814814814814815E-2</v>
      </c>
      <c r="BI702" s="311">
        <f t="shared" si="51"/>
        <v>7.4074074074074077E-3</v>
      </c>
      <c r="BJ702" s="3"/>
      <c r="BK702" s="3"/>
      <c r="BL702" s="3"/>
      <c r="BM702" s="3"/>
      <c r="BN702" s="3"/>
      <c r="BO702" s="3"/>
      <c r="BP702" s="370" t="s">
        <v>198</v>
      </c>
      <c r="BQ702" s="490">
        <v>1364</v>
      </c>
      <c r="BR702" s="491">
        <v>1462</v>
      </c>
      <c r="BS702" s="490">
        <v>1754</v>
      </c>
      <c r="BT702" s="491">
        <v>2026</v>
      </c>
      <c r="BU702" s="491">
        <v>2260</v>
      </c>
      <c r="BV702" s="492">
        <v>2492</v>
      </c>
      <c r="BW702" s="3"/>
      <c r="BX702" s="888">
        <v>682</v>
      </c>
      <c r="BY702" s="888">
        <v>701</v>
      </c>
      <c r="BZ702" s="888">
        <v>922</v>
      </c>
      <c r="CA702" s="888">
        <v>1310</v>
      </c>
      <c r="CB702" s="888">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25" customHeight="1">
      <c r="B703" s="135"/>
      <c r="C703" s="135"/>
      <c r="D703" s="136"/>
      <c r="E703" s="1350" t="s">
        <v>336</v>
      </c>
      <c r="F703" s="1350"/>
      <c r="G703" s="1350"/>
      <c r="H703" s="1350"/>
      <c r="I703" s="1350"/>
      <c r="J703" s="1350"/>
      <c r="K703" s="1350"/>
      <c r="L703" s="1350"/>
      <c r="M703" s="1350"/>
      <c r="N703" s="1350"/>
      <c r="O703" s="1350"/>
      <c r="P703" s="1350"/>
      <c r="Q703" s="1350"/>
      <c r="R703" s="1350"/>
      <c r="S703" s="1350"/>
      <c r="T703" s="1350"/>
      <c r="U703" s="1350"/>
      <c r="V703" s="1350"/>
      <c r="W703" s="1350"/>
      <c r="X703" s="1350"/>
      <c r="Y703" s="1350"/>
      <c r="Z703" s="1350"/>
      <c r="AA703" s="1350"/>
      <c r="AB703" s="1350"/>
      <c r="AC703" s="1350"/>
      <c r="AD703" s="1350"/>
      <c r="AE703" s="1350"/>
      <c r="AF703" s="1350"/>
      <c r="AG703" s="1350"/>
      <c r="AH703" s="1350"/>
      <c r="AI703" s="1350"/>
      <c r="AJ703" s="1350"/>
      <c r="AK703" s="1350"/>
      <c r="AZ703" s="3"/>
      <c r="BA703" s="3"/>
      <c r="BB703" s="3"/>
      <c r="BC703" s="3"/>
      <c r="BD703" s="3"/>
      <c r="BE703" s="3"/>
      <c r="BF703" s="3"/>
      <c r="BG703" s="307">
        <f t="shared" si="50"/>
        <v>1</v>
      </c>
      <c r="BH703" s="310">
        <f t="shared" si="52"/>
        <v>7.4074074074074077E-3</v>
      </c>
      <c r="BI703" s="311">
        <f t="shared" si="51"/>
        <v>3.7037037037037038E-3</v>
      </c>
      <c r="BJ703" s="3"/>
      <c r="BK703" s="3"/>
      <c r="BL703" s="3"/>
      <c r="BM703" s="3"/>
      <c r="BN703" s="3"/>
      <c r="BO703" s="3"/>
      <c r="BP703" s="370" t="s">
        <v>199</v>
      </c>
      <c r="BQ703" s="490">
        <v>1902</v>
      </c>
      <c r="BR703" s="491">
        <v>2036</v>
      </c>
      <c r="BS703" s="490">
        <v>2444</v>
      </c>
      <c r="BT703" s="491">
        <v>2822</v>
      </c>
      <c r="BU703" s="491">
        <v>3150</v>
      </c>
      <c r="BV703" s="492">
        <v>3476</v>
      </c>
      <c r="BW703" s="3"/>
      <c r="BX703" s="888">
        <v>1232</v>
      </c>
      <c r="BY703" s="888">
        <v>1408</v>
      </c>
      <c r="BZ703" s="888">
        <v>1677</v>
      </c>
      <c r="CA703" s="888">
        <v>2382</v>
      </c>
      <c r="CB703" s="888">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25" customHeight="1">
      <c r="AZ704" s="3"/>
      <c r="BA704" s="3"/>
      <c r="BB704" s="3"/>
      <c r="BC704" s="3"/>
      <c r="BD704" s="3"/>
      <c r="BE704" s="3"/>
      <c r="BF704" s="3"/>
      <c r="BG704" s="307">
        <f t="shared" si="50"/>
        <v>21</v>
      </c>
      <c r="BH704" s="310">
        <f t="shared" si="52"/>
        <v>0.15555555555555556</v>
      </c>
      <c r="BI704" s="311">
        <f t="shared" si="51"/>
        <v>7.7777777777777779E-2</v>
      </c>
      <c r="BJ704" s="3"/>
      <c r="BK704" s="3"/>
      <c r="BL704" s="3"/>
      <c r="BM704" s="3"/>
      <c r="BN704" s="3"/>
      <c r="BO704" s="3"/>
      <c r="BP704" s="370" t="s">
        <v>175</v>
      </c>
      <c r="BQ704" s="490">
        <v>2080</v>
      </c>
      <c r="BR704" s="491">
        <v>2228</v>
      </c>
      <c r="BS704" s="490">
        <v>2674</v>
      </c>
      <c r="BT704" s="491">
        <v>3090</v>
      </c>
      <c r="BU704" s="491">
        <v>3446</v>
      </c>
      <c r="BV704" s="492">
        <v>3802</v>
      </c>
      <c r="BW704" s="3"/>
      <c r="BX704" s="888">
        <v>1373</v>
      </c>
      <c r="BY704" s="888">
        <v>1549</v>
      </c>
      <c r="BZ704" s="888">
        <v>2038</v>
      </c>
      <c r="CA704" s="888">
        <v>2851</v>
      </c>
      <c r="CB704" s="888">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5" customHeight="1">
      <c r="A705" s="1257" t="s">
        <v>96</v>
      </c>
      <c r="B705" s="1257"/>
      <c r="C705" s="1257"/>
      <c r="D705" s="1257"/>
      <c r="E705" s="1257"/>
      <c r="F705" s="1257"/>
      <c r="G705" s="1257"/>
      <c r="H705" s="1257"/>
      <c r="I705" s="1257"/>
      <c r="J705" s="1257"/>
      <c r="K705" s="1257"/>
      <c r="L705" s="1257"/>
      <c r="M705" s="1257"/>
      <c r="N705" s="1257"/>
      <c r="O705" s="1257"/>
      <c r="P705" s="1257"/>
      <c r="Q705" s="1257"/>
      <c r="R705" s="1257"/>
      <c r="S705" s="1257"/>
      <c r="T705" s="1257"/>
      <c r="U705" s="1257"/>
      <c r="V705" s="1257"/>
      <c r="W705" s="1257"/>
      <c r="X705" s="1257"/>
      <c r="Y705" s="1257"/>
      <c r="Z705" s="1257"/>
      <c r="AA705" s="1257"/>
      <c r="AB705" s="1257"/>
      <c r="AC705" s="1257"/>
      <c r="AD705" s="1257"/>
      <c r="AE705" s="1257"/>
      <c r="AF705" s="1257"/>
      <c r="AG705" s="1257"/>
      <c r="AH705" s="1257"/>
      <c r="AI705" s="1257"/>
      <c r="AJ705" s="1257"/>
      <c r="AK705" s="1257"/>
      <c r="AL705" s="1257"/>
      <c r="AM705" s="1257"/>
      <c r="AN705" s="1257"/>
      <c r="AO705" s="1257"/>
      <c r="AP705" s="927"/>
      <c r="AQ705" s="927"/>
      <c r="AR705" s="927"/>
      <c r="AS705" s="927"/>
      <c r="AZ705" s="3"/>
      <c r="BA705" s="3"/>
      <c r="BB705" s="3"/>
      <c r="BC705" s="3"/>
      <c r="BD705" s="3"/>
      <c r="BE705" s="3"/>
      <c r="BF705" s="3"/>
      <c r="BG705" s="307">
        <f t="shared" si="50"/>
        <v>1</v>
      </c>
      <c r="BH705" s="310">
        <f t="shared" si="52"/>
        <v>7.4074074074074077E-3</v>
      </c>
      <c r="BI705" s="311">
        <f t="shared" si="51"/>
        <v>3.7037037037037038E-3</v>
      </c>
      <c r="BJ705" s="3"/>
      <c r="BK705" s="3"/>
      <c r="BL705" s="3"/>
      <c r="BM705" s="3"/>
      <c r="BN705" s="3"/>
      <c r="BO705" s="3"/>
      <c r="BP705" s="370" t="s">
        <v>200</v>
      </c>
      <c r="BQ705" s="490">
        <v>1394</v>
      </c>
      <c r="BR705" s="491">
        <v>1494</v>
      </c>
      <c r="BS705" s="490">
        <v>1794</v>
      </c>
      <c r="BT705" s="491">
        <v>2072</v>
      </c>
      <c r="BU705" s="491">
        <v>2312</v>
      </c>
      <c r="BV705" s="492">
        <v>2552</v>
      </c>
      <c r="BW705" s="3"/>
      <c r="BX705" s="888">
        <v>936</v>
      </c>
      <c r="BY705" s="888">
        <v>1001</v>
      </c>
      <c r="BZ705" s="888">
        <v>1250</v>
      </c>
      <c r="CA705" s="888">
        <v>1761</v>
      </c>
      <c r="CB705" s="888">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5" customHeight="1">
      <c r="A706" s="1257"/>
      <c r="B706" s="1257"/>
      <c r="C706" s="1257"/>
      <c r="D706" s="1257"/>
      <c r="E706" s="1257"/>
      <c r="F706" s="1257"/>
      <c r="G706" s="1257"/>
      <c r="H706" s="1257"/>
      <c r="I706" s="1257"/>
      <c r="J706" s="1257"/>
      <c r="K706" s="1257"/>
      <c r="L706" s="1257"/>
      <c r="M706" s="1257"/>
      <c r="N706" s="1257"/>
      <c r="O706" s="1257"/>
      <c r="P706" s="1257"/>
      <c r="Q706" s="1257"/>
      <c r="R706" s="1257"/>
      <c r="S706" s="1257"/>
      <c r="T706" s="1257"/>
      <c r="U706" s="1257"/>
      <c r="V706" s="1257"/>
      <c r="W706" s="1257"/>
      <c r="X706" s="1257"/>
      <c r="Y706" s="1257"/>
      <c r="Z706" s="1257"/>
      <c r="AA706" s="1257"/>
      <c r="AB706" s="1257"/>
      <c r="AC706" s="1257"/>
      <c r="AD706" s="1257"/>
      <c r="AE706" s="1257"/>
      <c r="AF706" s="1257"/>
      <c r="AG706" s="1257"/>
      <c r="AH706" s="1257"/>
      <c r="AI706" s="1257"/>
      <c r="AJ706" s="1257"/>
      <c r="AK706" s="1257"/>
      <c r="AL706" s="1257"/>
      <c r="AM706" s="1257"/>
      <c r="AN706" s="1257"/>
      <c r="AO706" s="1257"/>
      <c r="AP706" s="927"/>
      <c r="AQ706" s="927"/>
      <c r="AR706" s="927"/>
      <c r="AS706" s="927"/>
      <c r="AZ706" s="3"/>
      <c r="BA706" s="3"/>
      <c r="BB706" s="3"/>
      <c r="BC706" s="3"/>
      <c r="BD706" s="3"/>
      <c r="BE706" s="3"/>
      <c r="BF706" s="3"/>
      <c r="BG706" s="307">
        <f t="shared" si="50"/>
        <v>3</v>
      </c>
      <c r="BH706" s="310">
        <f t="shared" si="52"/>
        <v>2.2222222222222223E-2</v>
      </c>
      <c r="BI706" s="311">
        <f t="shared" si="51"/>
        <v>1.1111111111111112E-2</v>
      </c>
      <c r="BJ706" s="3"/>
      <c r="BK706" s="3"/>
      <c r="BL706" s="3"/>
      <c r="BM706" s="3"/>
      <c r="BN706" s="3"/>
      <c r="BO706" s="3"/>
      <c r="BP706" s="370" t="s">
        <v>201</v>
      </c>
      <c r="BQ706" s="490">
        <v>1364</v>
      </c>
      <c r="BR706" s="491">
        <v>1462</v>
      </c>
      <c r="BS706" s="490">
        <v>1754</v>
      </c>
      <c r="BT706" s="491">
        <v>2026</v>
      </c>
      <c r="BU706" s="491">
        <v>2260</v>
      </c>
      <c r="BV706" s="492">
        <v>2492</v>
      </c>
      <c r="BW706" s="3"/>
      <c r="BX706" s="888">
        <v>920</v>
      </c>
      <c r="BY706" s="888">
        <v>926</v>
      </c>
      <c r="BZ706" s="888">
        <v>1173</v>
      </c>
      <c r="CA706" s="888">
        <v>1666</v>
      </c>
      <c r="CB706" s="888">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5" customHeight="1">
      <c r="A707" s="1257"/>
      <c r="B707" s="1257"/>
      <c r="C707" s="1257"/>
      <c r="D707" s="1257"/>
      <c r="E707" s="1257"/>
      <c r="F707" s="1257"/>
      <c r="G707" s="1257"/>
      <c r="H707" s="1257"/>
      <c r="I707" s="1257"/>
      <c r="J707" s="1257"/>
      <c r="K707" s="1257"/>
      <c r="L707" s="1257"/>
      <c r="M707" s="1257"/>
      <c r="N707" s="1257"/>
      <c r="O707" s="1257"/>
      <c r="P707" s="1257"/>
      <c r="Q707" s="1257"/>
      <c r="R707" s="1257"/>
      <c r="S707" s="1257"/>
      <c r="T707" s="1257"/>
      <c r="U707" s="1257"/>
      <c r="V707" s="1257"/>
      <c r="W707" s="1257"/>
      <c r="X707" s="1257"/>
      <c r="Y707" s="1257"/>
      <c r="Z707" s="1257"/>
      <c r="AA707" s="1257"/>
      <c r="AB707" s="1257"/>
      <c r="AC707" s="1257"/>
      <c r="AD707" s="1257"/>
      <c r="AE707" s="1257"/>
      <c r="AF707" s="1257"/>
      <c r="AG707" s="1257"/>
      <c r="AH707" s="1257"/>
      <c r="AI707" s="1257"/>
      <c r="AJ707" s="1257"/>
      <c r="AK707" s="1257"/>
      <c r="AL707" s="1257"/>
      <c r="AM707" s="1257"/>
      <c r="AN707" s="1257"/>
      <c r="AO707" s="1257"/>
      <c r="AZ707" s="3"/>
      <c r="BA707" s="3"/>
      <c r="BB707" s="3"/>
      <c r="BC707" s="3"/>
      <c r="BD707" s="3"/>
      <c r="BE707" s="3"/>
      <c r="BF707" s="3"/>
      <c r="BG707" s="307">
        <f t="shared" si="50"/>
        <v>1</v>
      </c>
      <c r="BH707" s="310">
        <f t="shared" si="52"/>
        <v>7.4074074074074077E-3</v>
      </c>
      <c r="BI707" s="311">
        <f t="shared" si="51"/>
        <v>3.7037037037037038E-3</v>
      </c>
      <c r="BJ707" s="3"/>
      <c r="BK707" s="3"/>
      <c r="BL707" s="3"/>
      <c r="BM707" s="3"/>
      <c r="BN707" s="3"/>
      <c r="BO707" s="3"/>
      <c r="BP707" s="370" t="s">
        <v>202</v>
      </c>
      <c r="BQ707" s="490">
        <v>1364</v>
      </c>
      <c r="BR707" s="491">
        <v>1462</v>
      </c>
      <c r="BS707" s="490">
        <v>1754</v>
      </c>
      <c r="BT707" s="491">
        <v>2026</v>
      </c>
      <c r="BU707" s="491">
        <v>2260</v>
      </c>
      <c r="BV707" s="492">
        <v>2492</v>
      </c>
      <c r="BW707" s="3"/>
      <c r="BX707" s="888">
        <v>682</v>
      </c>
      <c r="BY707" s="888">
        <v>722</v>
      </c>
      <c r="BZ707" s="888">
        <v>950</v>
      </c>
      <c r="CA707" s="888">
        <v>1270</v>
      </c>
      <c r="CB707" s="888">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5" customHeight="1">
      <c r="A708" s="2" t="s">
        <v>321</v>
      </c>
      <c r="B708" s="2"/>
      <c r="C708" s="2" t="s">
        <v>19</v>
      </c>
      <c r="AZ708" s="3"/>
      <c r="BA708" s="3"/>
      <c r="BB708" s="3"/>
      <c r="BC708" s="3"/>
      <c r="BD708" s="3"/>
      <c r="BE708" s="3"/>
      <c r="BF708" s="3"/>
      <c r="BG708" s="307">
        <f t="shared" si="50"/>
        <v>2</v>
      </c>
      <c r="BH708" s="310">
        <f t="shared" si="52"/>
        <v>1.4814814814814815E-2</v>
      </c>
      <c r="BI708" s="311">
        <f t="shared" si="51"/>
        <v>7.4074074074074077E-3</v>
      </c>
      <c r="BJ708" s="3"/>
      <c r="BK708" s="3"/>
      <c r="BL708" s="3"/>
      <c r="BM708" s="3"/>
      <c r="BN708" s="3"/>
      <c r="BO708" s="3"/>
      <c r="BP708" s="370" t="s">
        <v>203</v>
      </c>
      <c r="BQ708" s="490">
        <v>1364</v>
      </c>
      <c r="BR708" s="491">
        <v>1462</v>
      </c>
      <c r="BS708" s="490">
        <v>1754</v>
      </c>
      <c r="BT708" s="491">
        <v>2026</v>
      </c>
      <c r="BU708" s="491">
        <v>2260</v>
      </c>
      <c r="BV708" s="492">
        <v>2492</v>
      </c>
      <c r="BW708" s="3"/>
      <c r="BX708" s="888">
        <v>592</v>
      </c>
      <c r="BY708" s="888">
        <v>670</v>
      </c>
      <c r="BZ708" s="888">
        <v>877</v>
      </c>
      <c r="CA708" s="888">
        <v>1246</v>
      </c>
      <c r="CB708" s="888">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5" customHeight="1">
      <c r="A709" s="2"/>
      <c r="B709" s="538"/>
      <c r="C709" s="2"/>
      <c r="AZ709" s="3"/>
      <c r="BA709" s="3"/>
      <c r="BB709" s="3"/>
      <c r="BC709" s="3"/>
      <c r="BD709" s="3"/>
      <c r="BE709" s="3"/>
      <c r="BF709" s="3"/>
      <c r="BG709" s="307">
        <f t="shared" si="50"/>
        <v>4</v>
      </c>
      <c r="BH709" s="310">
        <f t="shared" si="52"/>
        <v>2.9629629629629631E-2</v>
      </c>
      <c r="BI709" s="311">
        <f t="shared" si="51"/>
        <v>1.7772692601067886E-2</v>
      </c>
      <c r="BK709" s="3"/>
      <c r="BL709" s="3"/>
      <c r="BM709" s="3"/>
      <c r="BN709" s="3"/>
      <c r="BO709" s="3"/>
      <c r="BP709" s="370" t="s">
        <v>204</v>
      </c>
      <c r="BQ709" s="490">
        <v>1364</v>
      </c>
      <c r="BR709" s="491">
        <v>1462</v>
      </c>
      <c r="BS709" s="490">
        <v>1754</v>
      </c>
      <c r="BT709" s="491">
        <v>2026</v>
      </c>
      <c r="BU709" s="491">
        <v>2260</v>
      </c>
      <c r="BV709" s="492">
        <v>2492</v>
      </c>
      <c r="BW709" s="3"/>
      <c r="BX709" s="888">
        <v>746</v>
      </c>
      <c r="BY709" s="888">
        <v>764</v>
      </c>
      <c r="BZ709" s="888">
        <v>1005</v>
      </c>
      <c r="CA709" s="888">
        <v>1405</v>
      </c>
      <c r="CB709" s="888">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5" customHeight="1">
      <c r="B710" s="1405" t="s">
        <v>391</v>
      </c>
      <c r="C710" s="1394"/>
      <c r="D710" s="1394"/>
      <c r="E710" s="1394"/>
      <c r="F710" s="1395"/>
      <c r="G710" s="1405" t="s">
        <v>287</v>
      </c>
      <c r="H710" s="1394"/>
      <c r="I710" s="1394"/>
      <c r="J710" s="1395"/>
      <c r="K710" s="1627" t="s">
        <v>1939</v>
      </c>
      <c r="L710" s="1628"/>
      <c r="M710" s="1628"/>
      <c r="N710" s="1629"/>
      <c r="O710" s="1405" t="s">
        <v>457</v>
      </c>
      <c r="P710" s="1394"/>
      <c r="Q710" s="1394"/>
      <c r="R710" s="1394"/>
      <c r="S710" s="1395"/>
      <c r="T710" s="1393" t="s">
        <v>2336</v>
      </c>
      <c r="U710" s="1394"/>
      <c r="V710" s="1394"/>
      <c r="W710" s="1395"/>
      <c r="X710" s="1393" t="s">
        <v>2338</v>
      </c>
      <c r="Y710" s="1394"/>
      <c r="Z710" s="1394"/>
      <c r="AA710" s="1394"/>
      <c r="AB710" s="1395"/>
      <c r="AC710" s="1393" t="s">
        <v>2337</v>
      </c>
      <c r="AD710" s="1394"/>
      <c r="AE710" s="1394"/>
      <c r="AF710" s="1394"/>
      <c r="AG710" s="1395"/>
      <c r="AH710" s="1393" t="s">
        <v>2339</v>
      </c>
      <c r="AI710" s="1394"/>
      <c r="AJ710" s="1395"/>
      <c r="AK710" s="1393" t="s">
        <v>2373</v>
      </c>
      <c r="AL710" s="1394"/>
      <c r="AM710" s="1394"/>
      <c r="AN710" s="1394"/>
      <c r="AO710" s="1395"/>
      <c r="AP710" s="3"/>
      <c r="AQ710" s="3"/>
      <c r="AR710" s="3"/>
      <c r="AS710" s="3"/>
      <c r="AY710" s="116"/>
      <c r="AZ710" s="116"/>
      <c r="BA710" s="116"/>
      <c r="BB710" s="116"/>
      <c r="BC710" s="116"/>
      <c r="BD710" s="3"/>
      <c r="BE710" s="3"/>
      <c r="BF710" s="3"/>
      <c r="BG710" s="307">
        <f t="shared" si="50"/>
        <v>24</v>
      </c>
      <c r="BH710" s="310">
        <f t="shared" si="52"/>
        <v>0.17777777777777778</v>
      </c>
      <c r="BI710" s="311">
        <f t="shared" si="51"/>
        <v>9.3763577597626241E-2</v>
      </c>
      <c r="BK710" s="3"/>
      <c r="BL710" s="3"/>
      <c r="BM710" s="3"/>
      <c r="BN710" s="3"/>
      <c r="BO710" s="3"/>
      <c r="BP710" s="370" t="s">
        <v>131</v>
      </c>
      <c r="BQ710" s="490">
        <v>1456</v>
      </c>
      <c r="BR710" s="491">
        <v>1560</v>
      </c>
      <c r="BS710" s="490">
        <v>1872</v>
      </c>
      <c r="BT710" s="491">
        <v>2162</v>
      </c>
      <c r="BU710" s="491">
        <v>2414</v>
      </c>
      <c r="BV710" s="492">
        <v>2662</v>
      </c>
      <c r="BW710" s="3"/>
      <c r="BX710" s="888">
        <v>752</v>
      </c>
      <c r="BY710" s="888">
        <v>860</v>
      </c>
      <c r="BZ710" s="888">
        <v>1132</v>
      </c>
      <c r="CA710" s="888">
        <v>1556</v>
      </c>
      <c r="CB710" s="888">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5" customHeight="1">
      <c r="B711" s="1396"/>
      <c r="C711" s="1397"/>
      <c r="D711" s="1397"/>
      <c r="E711" s="1397"/>
      <c r="F711" s="1398"/>
      <c r="G711" s="1396"/>
      <c r="H711" s="1397"/>
      <c r="I711" s="1397"/>
      <c r="J711" s="1398"/>
      <c r="K711" s="1630"/>
      <c r="L711" s="1631"/>
      <c r="M711" s="1631"/>
      <c r="N711" s="1632"/>
      <c r="O711" s="1396"/>
      <c r="P711" s="1397"/>
      <c r="Q711" s="1397"/>
      <c r="R711" s="1397"/>
      <c r="S711" s="1398"/>
      <c r="T711" s="1396"/>
      <c r="U711" s="1397"/>
      <c r="V711" s="1397"/>
      <c r="W711" s="1398"/>
      <c r="X711" s="1396"/>
      <c r="Y711" s="1397"/>
      <c r="Z711" s="1397"/>
      <c r="AA711" s="1397"/>
      <c r="AB711" s="1398"/>
      <c r="AC711" s="1396"/>
      <c r="AD711" s="1397"/>
      <c r="AE711" s="1397"/>
      <c r="AF711" s="1397"/>
      <c r="AG711" s="1398"/>
      <c r="AH711" s="1396"/>
      <c r="AI711" s="1397"/>
      <c r="AJ711" s="1398"/>
      <c r="AK711" s="1396"/>
      <c r="AL711" s="1397"/>
      <c r="AM711" s="1397"/>
      <c r="AN711" s="1397"/>
      <c r="AO711" s="1398"/>
      <c r="AP711" s="3"/>
      <c r="AQ711" s="3"/>
      <c r="AR711" s="3"/>
      <c r="AS711" s="3"/>
      <c r="AY711" s="116"/>
      <c r="AZ711" s="116"/>
      <c r="BA711" s="116"/>
      <c r="BB711" s="116"/>
      <c r="BC711" s="116"/>
      <c r="BD711" s="3"/>
      <c r="BE711" s="3"/>
      <c r="BF711" s="3"/>
      <c r="BG711" s="307">
        <f t="shared" si="50"/>
        <v>12</v>
      </c>
      <c r="BH711" s="310">
        <f t="shared" si="52"/>
        <v>8.8888888888888892E-2</v>
      </c>
      <c r="BI711" s="311">
        <f t="shared" si="51"/>
        <v>5.1341312422616595E-2</v>
      </c>
      <c r="BK711" s="3"/>
      <c r="BL711" s="3"/>
      <c r="BM711" s="3"/>
      <c r="BN711" s="3"/>
      <c r="BO711" s="3"/>
      <c r="BP711" s="370" t="s">
        <v>205</v>
      </c>
      <c r="BQ711" s="493">
        <v>2194</v>
      </c>
      <c r="BR711" s="494">
        <v>2352</v>
      </c>
      <c r="BS711" s="493">
        <v>2822</v>
      </c>
      <c r="BT711" s="494">
        <v>3260</v>
      </c>
      <c r="BU711" s="494">
        <v>3636</v>
      </c>
      <c r="BV711" s="495">
        <v>4012</v>
      </c>
      <c r="BW711" s="3"/>
      <c r="BX711" s="888">
        <v>1507</v>
      </c>
      <c r="BY711" s="888">
        <v>1792</v>
      </c>
      <c r="BZ711" s="888">
        <v>2218</v>
      </c>
      <c r="CA711" s="888">
        <v>3101</v>
      </c>
      <c r="CB711" s="888">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5" customHeight="1">
      <c r="A712" s="4"/>
      <c r="B712" s="1396"/>
      <c r="C712" s="1397"/>
      <c r="D712" s="1397"/>
      <c r="E712" s="1397"/>
      <c r="F712" s="1398"/>
      <c r="G712" s="1396"/>
      <c r="H712" s="1397"/>
      <c r="I712" s="1397"/>
      <c r="J712" s="1398"/>
      <c r="K712" s="1630"/>
      <c r="L712" s="1631"/>
      <c r="M712" s="1631"/>
      <c r="N712" s="1632"/>
      <c r="O712" s="1396"/>
      <c r="P712" s="1397"/>
      <c r="Q712" s="1397"/>
      <c r="R712" s="1397"/>
      <c r="S712" s="1398"/>
      <c r="T712" s="1396"/>
      <c r="U712" s="1397"/>
      <c r="V712" s="1397"/>
      <c r="W712" s="1398"/>
      <c r="X712" s="1396"/>
      <c r="Y712" s="1397"/>
      <c r="Z712" s="1397"/>
      <c r="AA712" s="1397"/>
      <c r="AB712" s="1398"/>
      <c r="AC712" s="1396"/>
      <c r="AD712" s="1397"/>
      <c r="AE712" s="1397"/>
      <c r="AF712" s="1397"/>
      <c r="AG712" s="1398"/>
      <c r="AH712" s="1396"/>
      <c r="AI712" s="1397"/>
      <c r="AJ712" s="1398"/>
      <c r="AK712" s="1396"/>
      <c r="AL712" s="1397"/>
      <c r="AM712" s="1397"/>
      <c r="AN712" s="1397"/>
      <c r="AO712" s="1398"/>
      <c r="AP712" s="3"/>
      <c r="AQ712" s="3"/>
      <c r="AR712" s="3"/>
      <c r="AS712" s="3"/>
      <c r="AY712" s="116"/>
      <c r="AZ712" s="116"/>
      <c r="BA712" s="116"/>
      <c r="BB712" s="116"/>
      <c r="BC712" s="116"/>
      <c r="BD712" s="3"/>
      <c r="BE712" s="3"/>
      <c r="BF712" s="3"/>
      <c r="BG712" s="307">
        <f t="shared" si="50"/>
        <v>2</v>
      </c>
      <c r="BH712" s="310">
        <f t="shared" si="52"/>
        <v>1.4814814814814815E-2</v>
      </c>
      <c r="BI712" s="311">
        <f t="shared" si="51"/>
        <v>8.8899850646058567E-3</v>
      </c>
      <c r="BK712" s="3"/>
      <c r="BL712" s="3"/>
      <c r="BM712" s="3"/>
      <c r="BN712" s="3"/>
      <c r="BO712" s="3"/>
      <c r="BP712" s="370" t="s">
        <v>206</v>
      </c>
      <c r="BQ712" s="496">
        <v>1734</v>
      </c>
      <c r="BR712" s="497">
        <v>1858</v>
      </c>
      <c r="BS712" s="496">
        <v>2230</v>
      </c>
      <c r="BT712" s="497">
        <v>2576</v>
      </c>
      <c r="BU712" s="497">
        <v>2874</v>
      </c>
      <c r="BV712" s="498">
        <v>3172</v>
      </c>
      <c r="BW712" s="3"/>
      <c r="BX712" s="888">
        <v>1212</v>
      </c>
      <c r="BY712" s="888">
        <v>1280</v>
      </c>
      <c r="BZ712" s="888">
        <v>1684</v>
      </c>
      <c r="CA712" s="888">
        <v>2353</v>
      </c>
      <c r="CB712" s="888">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5" customHeight="1" thickBot="1">
      <c r="A713" s="4"/>
      <c r="B713" s="1399"/>
      <c r="C713" s="1400"/>
      <c r="D713" s="1400"/>
      <c r="E713" s="1400"/>
      <c r="F713" s="1401"/>
      <c r="G713" s="1399"/>
      <c r="H713" s="1400"/>
      <c r="I713" s="1400"/>
      <c r="J713" s="1401"/>
      <c r="K713" s="1630"/>
      <c r="L713" s="1631"/>
      <c r="M713" s="1631"/>
      <c r="N713" s="1632"/>
      <c r="O713" s="1399"/>
      <c r="P713" s="1400"/>
      <c r="Q713" s="1400"/>
      <c r="R713" s="1400"/>
      <c r="S713" s="1401"/>
      <c r="T713" s="1399"/>
      <c r="U713" s="1400"/>
      <c r="V713" s="1400"/>
      <c r="W713" s="1401"/>
      <c r="X713" s="1399"/>
      <c r="Y713" s="1400"/>
      <c r="Z713" s="1400"/>
      <c r="AA713" s="1400"/>
      <c r="AB713" s="1401"/>
      <c r="AC713" s="1399"/>
      <c r="AD713" s="1400"/>
      <c r="AE713" s="1400"/>
      <c r="AF713" s="1400"/>
      <c r="AG713" s="1401"/>
      <c r="AH713" s="1399"/>
      <c r="AI713" s="1400"/>
      <c r="AJ713" s="1401"/>
      <c r="AK713" s="1399"/>
      <c r="AL713" s="1400"/>
      <c r="AM713" s="1400"/>
      <c r="AN713" s="1400"/>
      <c r="AO713" s="1401"/>
      <c r="AP713" s="3"/>
      <c r="AQ713" s="3"/>
      <c r="AR713" s="3"/>
      <c r="AS713" s="3"/>
      <c r="AY713" s="116"/>
      <c r="AZ713" s="116"/>
      <c r="BA713" s="116"/>
      <c r="BB713" s="116"/>
      <c r="BC713" s="116"/>
      <c r="BD713" s="3"/>
      <c r="BE713" s="3"/>
      <c r="BF713" s="3"/>
      <c r="BG713" s="887">
        <f t="shared" si="50"/>
        <v>0</v>
      </c>
      <c r="BH713" s="310">
        <f t="shared" si="52"/>
        <v>0</v>
      </c>
      <c r="BI713" s="311" t="str">
        <f t="shared" si="51"/>
        <v xml:space="preserve"> </v>
      </c>
      <c r="BK713" s="3"/>
      <c r="BL713" s="3"/>
      <c r="BM713" s="3"/>
      <c r="BN713" s="3"/>
      <c r="BO713" s="3"/>
      <c r="BP713" s="370" t="s">
        <v>207</v>
      </c>
      <c r="BQ713" s="499">
        <v>1364</v>
      </c>
      <c r="BR713" s="500">
        <v>1462</v>
      </c>
      <c r="BS713" s="499">
        <v>1754</v>
      </c>
      <c r="BT713" s="500">
        <v>2026</v>
      </c>
      <c r="BU713" s="500">
        <v>2260</v>
      </c>
      <c r="BV713" s="501">
        <v>2492</v>
      </c>
      <c r="BW713" s="3"/>
      <c r="BX713" s="888">
        <v>920</v>
      </c>
      <c r="BY713" s="888">
        <v>926</v>
      </c>
      <c r="BZ713" s="888">
        <v>1173</v>
      </c>
      <c r="CA713" s="888">
        <v>1666</v>
      </c>
      <c r="CB713" s="888">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5" customHeight="1">
      <c r="A714" s="4"/>
      <c r="B714" s="1383" t="s">
        <v>326</v>
      </c>
      <c r="C714" s="1384"/>
      <c r="D714" s="1384"/>
      <c r="E714" s="1384"/>
      <c r="F714" s="1385"/>
      <c r="G714" s="1569">
        <v>4</v>
      </c>
      <c r="H714" s="1570"/>
      <c r="I714" s="1570"/>
      <c r="J714" s="1571"/>
      <c r="K714" s="1566">
        <v>343</v>
      </c>
      <c r="L714" s="1567"/>
      <c r="M714" s="1567"/>
      <c r="N714" s="1568"/>
      <c r="O714" s="1563">
        <v>850</v>
      </c>
      <c r="P714" s="1564"/>
      <c r="Q714" s="1564"/>
      <c r="R714" s="1564"/>
      <c r="S714" s="1565"/>
      <c r="T714" s="1563">
        <v>128</v>
      </c>
      <c r="U714" s="1564"/>
      <c r="V714" s="1564"/>
      <c r="W714" s="1565"/>
      <c r="X714" s="1390">
        <f t="shared" ref="X714:X738" si="53">O714+T714</f>
        <v>978</v>
      </c>
      <c r="Y714" s="1391"/>
      <c r="Z714" s="1391"/>
      <c r="AA714" s="1391"/>
      <c r="AB714" s="1392"/>
      <c r="AC714" s="1402">
        <v>0.3</v>
      </c>
      <c r="AD714" s="1403"/>
      <c r="AE714" s="1403"/>
      <c r="AF714" s="1403"/>
      <c r="AG714" s="1404"/>
      <c r="AH714" s="1386">
        <f t="shared" ref="AH714:AH738" si="54">IF($AC714&gt;0,($X714/$BA656), " ")</f>
        <v>0.2998160637645616</v>
      </c>
      <c r="AI714" s="1387"/>
      <c r="AJ714" s="1388"/>
      <c r="AK714" s="1383" t="s">
        <v>1104</v>
      </c>
      <c r="AL714" s="1384"/>
      <c r="AM714" s="1384"/>
      <c r="AN714" s="1384"/>
      <c r="AO714" s="1385"/>
      <c r="AP714" s="3"/>
      <c r="AQ714" s="3"/>
      <c r="AR714" s="3"/>
      <c r="AS714" s="3"/>
      <c r="AY714" s="1116"/>
      <c r="AZ714" s="1116"/>
      <c r="BA714" s="1116"/>
      <c r="BB714" s="1116"/>
      <c r="BC714" s="1116"/>
      <c r="BD714" s="3"/>
      <c r="BE714" s="3"/>
      <c r="BF714" s="3"/>
      <c r="BG714" s="886">
        <f>SUM(BG689:BG713)</f>
        <v>135</v>
      </c>
      <c r="BH714" s="313">
        <f>SUM(BH689:BH713)</f>
        <v>1.0000000000000002</v>
      </c>
      <c r="BI714" s="313">
        <f>SUM(BI689:BI713)</f>
        <v>0.43693467974984268</v>
      </c>
      <c r="BK714" s="3"/>
      <c r="BL714" s="3"/>
      <c r="BM714" s="3"/>
      <c r="BN714" s="3"/>
      <c r="BO714" s="3"/>
      <c r="BP714" s="296"/>
      <c r="BQ714" s="208"/>
      <c r="BR714" s="305"/>
      <c r="BS714" s="305"/>
      <c r="BT714" s="305"/>
      <c r="BU714" s="305"/>
      <c r="BV714" s="30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5" customHeight="1">
      <c r="A715" s="4"/>
      <c r="B715" s="1383" t="s">
        <v>327</v>
      </c>
      <c r="C715" s="1384"/>
      <c r="D715" s="1384"/>
      <c r="E715" s="1384"/>
      <c r="F715" s="1385"/>
      <c r="G715" s="1569">
        <v>4</v>
      </c>
      <c r="H715" s="1570"/>
      <c r="I715" s="1570"/>
      <c r="J715" s="1571"/>
      <c r="K715" s="1566">
        <v>522</v>
      </c>
      <c r="L715" s="1567"/>
      <c r="M715" s="1567"/>
      <c r="N715" s="1568"/>
      <c r="O715" s="1563">
        <v>907</v>
      </c>
      <c r="P715" s="1564"/>
      <c r="Q715" s="1564"/>
      <c r="R715" s="1564"/>
      <c r="S715" s="1565"/>
      <c r="T715" s="1563">
        <v>141</v>
      </c>
      <c r="U715" s="1564"/>
      <c r="V715" s="1564"/>
      <c r="W715" s="1565"/>
      <c r="X715" s="1390">
        <f t="shared" si="53"/>
        <v>1048</v>
      </c>
      <c r="Y715" s="1391"/>
      <c r="Z715" s="1391"/>
      <c r="AA715" s="1391"/>
      <c r="AB715" s="1392"/>
      <c r="AC715" s="1402">
        <v>0.3</v>
      </c>
      <c r="AD715" s="1403"/>
      <c r="AE715" s="1403"/>
      <c r="AF715" s="1403"/>
      <c r="AG715" s="1404"/>
      <c r="AH715" s="1386">
        <f t="shared" si="54"/>
        <v>0.2997711670480549</v>
      </c>
      <c r="AI715" s="1387"/>
      <c r="AJ715" s="1388"/>
      <c r="AK715" s="1383" t="s">
        <v>1104</v>
      </c>
      <c r="AL715" s="1384"/>
      <c r="AM715" s="1384"/>
      <c r="AN715" s="1384"/>
      <c r="AO715" s="1385"/>
      <c r="AP715" s="3"/>
      <c r="AQ715" s="3"/>
      <c r="AR715" s="3"/>
      <c r="AS715" s="3"/>
      <c r="AY715" s="1116"/>
      <c r="AZ715" s="1116"/>
      <c r="BA715" s="1116"/>
      <c r="BB715" s="1116"/>
      <c r="BC715" s="1116"/>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5" customHeight="1">
      <c r="A716" s="4"/>
      <c r="B716" s="1383" t="s">
        <v>327</v>
      </c>
      <c r="C716" s="1384"/>
      <c r="D716" s="1384"/>
      <c r="E716" s="1384"/>
      <c r="F716" s="1385"/>
      <c r="G716" s="1569">
        <v>2</v>
      </c>
      <c r="H716" s="1570"/>
      <c r="I716" s="1570"/>
      <c r="J716" s="1571"/>
      <c r="K716" s="1566">
        <f>+K715</f>
        <v>522</v>
      </c>
      <c r="L716" s="1567"/>
      <c r="M716" s="1567"/>
      <c r="N716" s="1568"/>
      <c r="O716" s="1563">
        <v>907</v>
      </c>
      <c r="P716" s="1564"/>
      <c r="Q716" s="1564"/>
      <c r="R716" s="1564"/>
      <c r="S716" s="1565"/>
      <c r="T716" s="1563">
        <f>+T715</f>
        <v>141</v>
      </c>
      <c r="U716" s="1564"/>
      <c r="V716" s="1564"/>
      <c r="W716" s="1565"/>
      <c r="X716" s="1390">
        <f t="shared" si="53"/>
        <v>1048</v>
      </c>
      <c r="Y716" s="1391"/>
      <c r="Z716" s="1391"/>
      <c r="AA716" s="1391"/>
      <c r="AB716" s="1392"/>
      <c r="AC716" s="1402">
        <v>0.3</v>
      </c>
      <c r="AD716" s="1403"/>
      <c r="AE716" s="1403"/>
      <c r="AF716" s="1403"/>
      <c r="AG716" s="1404"/>
      <c r="AH716" s="1386">
        <f t="shared" si="54"/>
        <v>0.2997711670480549</v>
      </c>
      <c r="AI716" s="1387"/>
      <c r="AJ716" s="1388"/>
      <c r="AK716" s="1383" t="s">
        <v>601</v>
      </c>
      <c r="AL716" s="1384"/>
      <c r="AM716" s="1384"/>
      <c r="AN716" s="1384"/>
      <c r="AO716" s="1385"/>
      <c r="AP716" s="3"/>
      <c r="AQ716" s="3"/>
      <c r="AR716" s="3"/>
      <c r="AS716" s="3"/>
      <c r="AY716" s="1116"/>
      <c r="AZ716" s="1116"/>
      <c r="BA716" s="1116"/>
      <c r="BB716" s="1116"/>
      <c r="BC716" s="1116"/>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5" customHeight="1">
      <c r="B717" s="1383" t="s">
        <v>164</v>
      </c>
      <c r="C717" s="1384"/>
      <c r="D717" s="1384"/>
      <c r="E717" s="1384"/>
      <c r="F717" s="1385"/>
      <c r="G717" s="1569">
        <v>19</v>
      </c>
      <c r="H717" s="1570"/>
      <c r="I717" s="1570"/>
      <c r="J717" s="1571"/>
      <c r="K717" s="1566">
        <v>774</v>
      </c>
      <c r="L717" s="1567"/>
      <c r="M717" s="1567"/>
      <c r="N717" s="1568"/>
      <c r="O717" s="1563">
        <v>1074</v>
      </c>
      <c r="P717" s="1564"/>
      <c r="Q717" s="1564"/>
      <c r="R717" s="1564"/>
      <c r="S717" s="1565"/>
      <c r="T717" s="1563">
        <v>184</v>
      </c>
      <c r="U717" s="1564"/>
      <c r="V717" s="1564"/>
      <c r="W717" s="1565"/>
      <c r="X717" s="1390">
        <f t="shared" si="53"/>
        <v>1258</v>
      </c>
      <c r="Y717" s="1391"/>
      <c r="Z717" s="1391"/>
      <c r="AA717" s="1391"/>
      <c r="AB717" s="1392"/>
      <c r="AC717" s="1402">
        <v>0.3</v>
      </c>
      <c r="AD717" s="1403"/>
      <c r="AE717" s="1403"/>
      <c r="AF717" s="1403"/>
      <c r="AG717" s="1404"/>
      <c r="AH717" s="1386">
        <f t="shared" si="54"/>
        <v>0.29995231282784929</v>
      </c>
      <c r="AI717" s="1387"/>
      <c r="AJ717" s="1388"/>
      <c r="AK717" s="1383" t="s">
        <v>601</v>
      </c>
      <c r="AL717" s="1384"/>
      <c r="AM717" s="1384"/>
      <c r="AN717" s="1384"/>
      <c r="AO717" s="1385"/>
      <c r="AP717" s="3"/>
      <c r="AQ717" s="3"/>
      <c r="AR717" s="3"/>
      <c r="AS717" s="3"/>
      <c r="AY717" s="1116"/>
      <c r="AZ717" s="1116"/>
      <c r="BA717" s="1116"/>
      <c r="BB717" s="1116"/>
      <c r="BC717" s="1116"/>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5" customHeight="1">
      <c r="B718" s="1383" t="s">
        <v>164</v>
      </c>
      <c r="C718" s="1384"/>
      <c r="D718" s="1384"/>
      <c r="E718" s="1384"/>
      <c r="F718" s="1385"/>
      <c r="G718" s="1569">
        <v>4</v>
      </c>
      <c r="H718" s="1570"/>
      <c r="I718" s="1570"/>
      <c r="J718" s="1571"/>
      <c r="K718" s="1566">
        <f>+K717</f>
        <v>774</v>
      </c>
      <c r="L718" s="1567"/>
      <c r="M718" s="1567"/>
      <c r="N718" s="1568"/>
      <c r="O718" s="1563">
        <f>+O717</f>
        <v>1074</v>
      </c>
      <c r="P718" s="1564"/>
      <c r="Q718" s="1564"/>
      <c r="R718" s="1564"/>
      <c r="S718" s="1565"/>
      <c r="T718" s="1563">
        <f>+T717</f>
        <v>184</v>
      </c>
      <c r="U718" s="1564"/>
      <c r="V718" s="1564"/>
      <c r="W718" s="1565"/>
      <c r="X718" s="1390">
        <f t="shared" si="53"/>
        <v>1258</v>
      </c>
      <c r="Y718" s="1391"/>
      <c r="Z718" s="1391"/>
      <c r="AA718" s="1391"/>
      <c r="AB718" s="1392"/>
      <c r="AC718" s="1402">
        <v>0.3</v>
      </c>
      <c r="AD718" s="1403"/>
      <c r="AE718" s="1403"/>
      <c r="AF718" s="1403"/>
      <c r="AG718" s="1404"/>
      <c r="AH718" s="1386">
        <f t="shared" si="54"/>
        <v>0.29995231282784929</v>
      </c>
      <c r="AI718" s="1387"/>
      <c r="AJ718" s="1388"/>
      <c r="AK718" s="1383" t="s">
        <v>601</v>
      </c>
      <c r="AL718" s="1384"/>
      <c r="AM718" s="1384"/>
      <c r="AN718" s="1384"/>
      <c r="AO718" s="1385"/>
      <c r="AP718" s="3"/>
      <c r="AQ718" s="3"/>
      <c r="AR718" s="3"/>
      <c r="AS718" s="3"/>
      <c r="AY718" s="1116"/>
      <c r="AZ718" s="1116"/>
      <c r="BA718" s="1116"/>
      <c r="BB718" s="1116"/>
      <c r="BC718" s="1116"/>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5" customHeight="1">
      <c r="B719" s="1383" t="s">
        <v>165</v>
      </c>
      <c r="C719" s="1384"/>
      <c r="D719" s="1384"/>
      <c r="E719" s="1384"/>
      <c r="F719" s="1385"/>
      <c r="G719" s="1569">
        <v>7</v>
      </c>
      <c r="H719" s="1570"/>
      <c r="I719" s="1570"/>
      <c r="J719" s="1571"/>
      <c r="K719" s="1566">
        <v>1021</v>
      </c>
      <c r="L719" s="1567"/>
      <c r="M719" s="1567"/>
      <c r="N719" s="1568"/>
      <c r="O719" s="1563">
        <v>1220</v>
      </c>
      <c r="P719" s="1564"/>
      <c r="Q719" s="1564"/>
      <c r="R719" s="1564"/>
      <c r="S719" s="1565"/>
      <c r="T719" s="1563">
        <v>234</v>
      </c>
      <c r="U719" s="1564"/>
      <c r="V719" s="1564"/>
      <c r="W719" s="1565"/>
      <c r="X719" s="1390">
        <f t="shared" si="53"/>
        <v>1454</v>
      </c>
      <c r="Y719" s="1391"/>
      <c r="Z719" s="1391"/>
      <c r="AA719" s="1391"/>
      <c r="AB719" s="1392"/>
      <c r="AC719" s="1402">
        <v>0.3</v>
      </c>
      <c r="AD719" s="1403"/>
      <c r="AE719" s="1403"/>
      <c r="AF719" s="1403"/>
      <c r="AG719" s="1404"/>
      <c r="AH719" s="1386">
        <f t="shared" si="54"/>
        <v>0.30004127115146512</v>
      </c>
      <c r="AI719" s="1387"/>
      <c r="AJ719" s="1388"/>
      <c r="AK719" s="1383" t="s">
        <v>601</v>
      </c>
      <c r="AL719" s="1384"/>
      <c r="AM719" s="1384"/>
      <c r="AN719" s="1384"/>
      <c r="AO719" s="1385"/>
      <c r="AP719" s="3"/>
      <c r="AQ719" s="3"/>
      <c r="AR719" s="3"/>
      <c r="AS719" s="3"/>
      <c r="AY719" s="1116"/>
      <c r="AZ719" s="1116"/>
      <c r="BA719" s="1116"/>
      <c r="BB719" s="1116"/>
      <c r="BC719" s="1116"/>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5" customHeight="1">
      <c r="B720" s="1383" t="s">
        <v>165</v>
      </c>
      <c r="C720" s="1384"/>
      <c r="D720" s="1384"/>
      <c r="E720" s="1384"/>
      <c r="F720" s="1385"/>
      <c r="G720" s="1569">
        <v>2</v>
      </c>
      <c r="H720" s="1570"/>
      <c r="I720" s="1570"/>
      <c r="J720" s="1571"/>
      <c r="K720" s="1566">
        <f>+K719</f>
        <v>1021</v>
      </c>
      <c r="L720" s="1567"/>
      <c r="M720" s="1567"/>
      <c r="N720" s="1568"/>
      <c r="O720" s="1563">
        <f>+O719</f>
        <v>1220</v>
      </c>
      <c r="P720" s="1564"/>
      <c r="Q720" s="1564"/>
      <c r="R720" s="1564"/>
      <c r="S720" s="1565"/>
      <c r="T720" s="1563">
        <f>+T719</f>
        <v>234</v>
      </c>
      <c r="U720" s="1564"/>
      <c r="V720" s="1564"/>
      <c r="W720" s="1565"/>
      <c r="X720" s="1390">
        <f t="shared" si="53"/>
        <v>1454</v>
      </c>
      <c r="Y720" s="1391"/>
      <c r="Z720" s="1391"/>
      <c r="AA720" s="1391"/>
      <c r="AB720" s="1392"/>
      <c r="AC720" s="1402">
        <v>0.3</v>
      </c>
      <c r="AD720" s="1403"/>
      <c r="AE720" s="1403"/>
      <c r="AF720" s="1403"/>
      <c r="AG720" s="1404"/>
      <c r="AH720" s="1386">
        <f t="shared" si="54"/>
        <v>0.30004127115146512</v>
      </c>
      <c r="AI720" s="1387"/>
      <c r="AJ720" s="1388"/>
      <c r="AK720" s="1383" t="s">
        <v>601</v>
      </c>
      <c r="AL720" s="1384"/>
      <c r="AM720" s="1384"/>
      <c r="AN720" s="1384"/>
      <c r="AO720" s="1385"/>
      <c r="AP720" s="3"/>
      <c r="AQ720" s="3"/>
      <c r="AR720" s="3"/>
      <c r="AS720" s="3"/>
      <c r="AY720" s="1116"/>
      <c r="AZ720" s="1116"/>
      <c r="BA720" s="1116"/>
      <c r="BB720" s="1116"/>
      <c r="BC720" s="1116"/>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5" customHeight="1">
      <c r="B721" s="1383" t="s">
        <v>166</v>
      </c>
      <c r="C721" s="1384"/>
      <c r="D721" s="1384"/>
      <c r="E721" s="1384"/>
      <c r="F721" s="1385"/>
      <c r="G721" s="1569">
        <v>1</v>
      </c>
      <c r="H721" s="1570"/>
      <c r="I721" s="1570"/>
      <c r="J721" s="1571"/>
      <c r="K721" s="1566">
        <v>1244</v>
      </c>
      <c r="L721" s="1567"/>
      <c r="M721" s="1567"/>
      <c r="N721" s="1568"/>
      <c r="O721" s="1563">
        <v>1337</v>
      </c>
      <c r="P721" s="1564"/>
      <c r="Q721" s="1564"/>
      <c r="R721" s="1564"/>
      <c r="S721" s="1565"/>
      <c r="T721" s="1563">
        <v>285</v>
      </c>
      <c r="U721" s="1564"/>
      <c r="V721" s="1564"/>
      <c r="W721" s="1565"/>
      <c r="X721" s="1390">
        <f t="shared" si="53"/>
        <v>1622</v>
      </c>
      <c r="Y721" s="1391"/>
      <c r="Z721" s="1391"/>
      <c r="AA721" s="1391"/>
      <c r="AB721" s="1392"/>
      <c r="AC721" s="1402">
        <v>0.3</v>
      </c>
      <c r="AD721" s="1403"/>
      <c r="AE721" s="1403"/>
      <c r="AF721" s="1403"/>
      <c r="AG721" s="1404"/>
      <c r="AH721" s="1386">
        <f t="shared" si="54"/>
        <v>0.30003699593044764</v>
      </c>
      <c r="AI721" s="1387"/>
      <c r="AJ721" s="1388"/>
      <c r="AK721" s="1383" t="s">
        <v>601</v>
      </c>
      <c r="AL721" s="1384"/>
      <c r="AM721" s="1384"/>
      <c r="AN721" s="1384"/>
      <c r="AO721" s="1385"/>
      <c r="AP721" s="3"/>
      <c r="AQ721" s="3"/>
      <c r="AR721" s="3"/>
      <c r="AS721" s="3"/>
      <c r="AY721" s="1116"/>
      <c r="AZ721" s="1116"/>
      <c r="BA721" s="1116"/>
      <c r="BB721" s="1116"/>
      <c r="BC721" s="1116"/>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5" customHeight="1">
      <c r="B722" s="1383" t="s">
        <v>166</v>
      </c>
      <c r="C722" s="1384"/>
      <c r="D722" s="1384"/>
      <c r="E722" s="1384"/>
      <c r="F722" s="1385"/>
      <c r="G722" s="1569">
        <v>2</v>
      </c>
      <c r="H722" s="1570"/>
      <c r="I722" s="1570"/>
      <c r="J722" s="1571"/>
      <c r="K722" s="1566">
        <f>+K721</f>
        <v>1244</v>
      </c>
      <c r="L722" s="1567"/>
      <c r="M722" s="1567"/>
      <c r="N722" s="1568"/>
      <c r="O722" s="1563">
        <f>+O721</f>
        <v>1337</v>
      </c>
      <c r="P722" s="1564"/>
      <c r="Q722" s="1564"/>
      <c r="R722" s="1564"/>
      <c r="S722" s="1565"/>
      <c r="T722" s="1563">
        <f>+T721</f>
        <v>285</v>
      </c>
      <c r="U722" s="1564"/>
      <c r="V722" s="1564"/>
      <c r="W722" s="1565"/>
      <c r="X722" s="1390">
        <f t="shared" si="53"/>
        <v>1622</v>
      </c>
      <c r="Y722" s="1391"/>
      <c r="Z722" s="1391"/>
      <c r="AA722" s="1391"/>
      <c r="AB722" s="1392"/>
      <c r="AC722" s="1402">
        <v>0.3</v>
      </c>
      <c r="AD722" s="1403"/>
      <c r="AE722" s="1403"/>
      <c r="AF722" s="1403"/>
      <c r="AG722" s="1404"/>
      <c r="AH722" s="1386">
        <f t="shared" si="54"/>
        <v>0.30003699593044764</v>
      </c>
      <c r="AI722" s="1387"/>
      <c r="AJ722" s="1388"/>
      <c r="AK722" s="1383" t="s">
        <v>601</v>
      </c>
      <c r="AL722" s="1384"/>
      <c r="AM722" s="1384"/>
      <c r="AN722" s="1384"/>
      <c r="AO722" s="1385"/>
      <c r="AP722" s="3"/>
      <c r="AQ722" s="3"/>
      <c r="AR722" s="3"/>
      <c r="AS722" s="3"/>
      <c r="AY722" s="1116"/>
      <c r="AZ722" s="1116"/>
      <c r="BA722" s="1116"/>
      <c r="BB722" s="1116"/>
      <c r="BC722" s="1116"/>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5" customHeight="1">
      <c r="A723" s="4"/>
      <c r="B723" s="1383" t="s">
        <v>326</v>
      </c>
      <c r="C723" s="1384"/>
      <c r="D723" s="1384"/>
      <c r="E723" s="1384"/>
      <c r="F723" s="1385"/>
      <c r="G723" s="1569">
        <v>4</v>
      </c>
      <c r="H723" s="1570"/>
      <c r="I723" s="1570"/>
      <c r="J723" s="1571"/>
      <c r="K723" s="1566">
        <f>+K714</f>
        <v>343</v>
      </c>
      <c r="L723" s="1567"/>
      <c r="M723" s="1567"/>
      <c r="N723" s="1568"/>
      <c r="O723" s="1563">
        <v>1177</v>
      </c>
      <c r="P723" s="1564"/>
      <c r="Q723" s="1564"/>
      <c r="R723" s="1564"/>
      <c r="S723" s="1565"/>
      <c r="T723" s="1563">
        <f>+T714</f>
        <v>128</v>
      </c>
      <c r="U723" s="1564"/>
      <c r="V723" s="1564"/>
      <c r="W723" s="1565"/>
      <c r="X723" s="1390">
        <f t="shared" si="53"/>
        <v>1305</v>
      </c>
      <c r="Y723" s="1391"/>
      <c r="Z723" s="1391"/>
      <c r="AA723" s="1391"/>
      <c r="AB723" s="1392"/>
      <c r="AC723" s="1402">
        <v>0.4</v>
      </c>
      <c r="AD723" s="1403"/>
      <c r="AE723" s="1403"/>
      <c r="AF723" s="1403"/>
      <c r="AG723" s="1404"/>
      <c r="AH723" s="1386">
        <f t="shared" si="54"/>
        <v>0.40006131207847945</v>
      </c>
      <c r="AI723" s="1387"/>
      <c r="AJ723" s="1388"/>
      <c r="AK723" s="1383" t="s">
        <v>601</v>
      </c>
      <c r="AL723" s="1384"/>
      <c r="AM723" s="1384"/>
      <c r="AN723" s="1384"/>
      <c r="AO723" s="1385"/>
      <c r="AP723" s="3"/>
      <c r="AQ723" s="3"/>
      <c r="AR723" s="3"/>
      <c r="AS723" s="3"/>
      <c r="AY723" s="1116"/>
      <c r="AZ723" s="1116"/>
      <c r="BA723" s="1116"/>
      <c r="BB723" s="1116"/>
      <c r="BC723" s="1116"/>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5" customHeight="1">
      <c r="A724" s="4"/>
      <c r="B724" s="1383" t="s">
        <v>327</v>
      </c>
      <c r="C724" s="1384"/>
      <c r="D724" s="1384"/>
      <c r="E724" s="1384"/>
      <c r="F724" s="1385"/>
      <c r="G724" s="1569">
        <v>6</v>
      </c>
      <c r="H724" s="1570"/>
      <c r="I724" s="1570"/>
      <c r="J724" s="1571"/>
      <c r="K724" s="1566">
        <f>+K715</f>
        <v>522</v>
      </c>
      <c r="L724" s="1567"/>
      <c r="M724" s="1567"/>
      <c r="N724" s="1568"/>
      <c r="O724" s="1563">
        <v>1257</v>
      </c>
      <c r="P724" s="1564"/>
      <c r="Q724" s="1564"/>
      <c r="R724" s="1564"/>
      <c r="S724" s="1565"/>
      <c r="T724" s="1563">
        <f>+T715</f>
        <v>141</v>
      </c>
      <c r="U724" s="1564"/>
      <c r="V724" s="1564"/>
      <c r="W724" s="1565"/>
      <c r="X724" s="1390">
        <f t="shared" si="53"/>
        <v>1398</v>
      </c>
      <c r="Y724" s="1391"/>
      <c r="Z724" s="1391"/>
      <c r="AA724" s="1391"/>
      <c r="AB724" s="1392"/>
      <c r="AC724" s="1402">
        <v>0.4</v>
      </c>
      <c r="AD724" s="1403"/>
      <c r="AE724" s="1403"/>
      <c r="AF724" s="1403"/>
      <c r="AG724" s="1404"/>
      <c r="AH724" s="1386">
        <f t="shared" si="54"/>
        <v>0.39988558352402748</v>
      </c>
      <c r="AI724" s="1387"/>
      <c r="AJ724" s="1388"/>
      <c r="AK724" s="1383" t="s">
        <v>601</v>
      </c>
      <c r="AL724" s="1384"/>
      <c r="AM724" s="1384"/>
      <c r="AN724" s="1384"/>
      <c r="AO724" s="1385"/>
      <c r="AP724" s="3"/>
      <c r="AQ724" s="3"/>
      <c r="AR724" s="3"/>
      <c r="AS724" s="3"/>
      <c r="AY724" s="1116"/>
      <c r="AZ724" s="1116"/>
      <c r="BA724" s="1116"/>
      <c r="BB724" s="1116"/>
      <c r="BC724" s="1116"/>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5" customHeight="1">
      <c r="A725" s="4"/>
      <c r="B725" s="1383" t="s">
        <v>164</v>
      </c>
      <c r="C725" s="1384"/>
      <c r="D725" s="1384"/>
      <c r="E725" s="1384"/>
      <c r="F725" s="1385"/>
      <c r="G725" s="1569">
        <v>5</v>
      </c>
      <c r="H725" s="1570"/>
      <c r="I725" s="1570"/>
      <c r="J725" s="1571"/>
      <c r="K725" s="1566">
        <f>+K717</f>
        <v>774</v>
      </c>
      <c r="L725" s="1567"/>
      <c r="M725" s="1567"/>
      <c r="N725" s="1568"/>
      <c r="O725" s="1563">
        <v>1494</v>
      </c>
      <c r="P725" s="1564"/>
      <c r="Q725" s="1564"/>
      <c r="R725" s="1564"/>
      <c r="S725" s="1565"/>
      <c r="T725" s="1563">
        <f>+T717</f>
        <v>184</v>
      </c>
      <c r="U725" s="1564"/>
      <c r="V725" s="1564"/>
      <c r="W725" s="1565"/>
      <c r="X725" s="1390">
        <f t="shared" si="53"/>
        <v>1678</v>
      </c>
      <c r="Y725" s="1391"/>
      <c r="Z725" s="1391"/>
      <c r="AA725" s="1391"/>
      <c r="AB725" s="1392"/>
      <c r="AC725" s="1402">
        <v>0.4</v>
      </c>
      <c r="AD725" s="1403"/>
      <c r="AE725" s="1403"/>
      <c r="AF725" s="1403"/>
      <c r="AG725" s="1404"/>
      <c r="AH725" s="1386">
        <f t="shared" si="54"/>
        <v>0.40009537434430137</v>
      </c>
      <c r="AI725" s="1387"/>
      <c r="AJ725" s="1388"/>
      <c r="AK725" s="1383" t="s">
        <v>601</v>
      </c>
      <c r="AL725" s="1384"/>
      <c r="AM725" s="1384"/>
      <c r="AN725" s="1384"/>
      <c r="AO725" s="1385"/>
      <c r="AP725" s="3"/>
      <c r="AQ725" s="3"/>
      <c r="AR725" s="3"/>
      <c r="AS725" s="3"/>
      <c r="AY725" s="1116"/>
      <c r="AZ725" s="1116"/>
      <c r="BA725" s="1116"/>
      <c r="BB725" s="1116"/>
      <c r="BC725" s="1116"/>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5" customHeight="1">
      <c r="B726" s="1383" t="s">
        <v>165</v>
      </c>
      <c r="C726" s="1384"/>
      <c r="D726" s="1384"/>
      <c r="E726" s="1384"/>
      <c r="F726" s="1385"/>
      <c r="G726" s="1569">
        <v>2</v>
      </c>
      <c r="H726" s="1570"/>
      <c r="I726" s="1570"/>
      <c r="J726" s="1571"/>
      <c r="K726" s="1566">
        <f>+K719</f>
        <v>1021</v>
      </c>
      <c r="L726" s="1567"/>
      <c r="M726" s="1567"/>
      <c r="N726" s="1568"/>
      <c r="O726" s="1563">
        <v>1705</v>
      </c>
      <c r="P726" s="1564"/>
      <c r="Q726" s="1564"/>
      <c r="R726" s="1564"/>
      <c r="S726" s="1565"/>
      <c r="T726" s="1563">
        <f>+T719</f>
        <v>234</v>
      </c>
      <c r="U726" s="1564"/>
      <c r="V726" s="1564"/>
      <c r="W726" s="1565"/>
      <c r="X726" s="1390">
        <f t="shared" si="53"/>
        <v>1939</v>
      </c>
      <c r="Y726" s="1391"/>
      <c r="Z726" s="1391"/>
      <c r="AA726" s="1391"/>
      <c r="AB726" s="1392"/>
      <c r="AC726" s="1402">
        <v>0.4</v>
      </c>
      <c r="AD726" s="1403"/>
      <c r="AE726" s="1403"/>
      <c r="AF726" s="1403"/>
      <c r="AG726" s="1404"/>
      <c r="AH726" s="1386">
        <f t="shared" si="54"/>
        <v>0.40012381345439541</v>
      </c>
      <c r="AI726" s="1387"/>
      <c r="AJ726" s="1388"/>
      <c r="AK726" s="1383" t="s">
        <v>601</v>
      </c>
      <c r="AL726" s="1384"/>
      <c r="AM726" s="1384"/>
      <c r="AN726" s="1384"/>
      <c r="AO726" s="1385"/>
      <c r="AP726" s="3"/>
      <c r="AQ726" s="3"/>
      <c r="AR726" s="3"/>
      <c r="AS726" s="3"/>
      <c r="AY726" s="1116"/>
      <c r="AZ726" s="1116"/>
      <c r="BA726" s="1116"/>
      <c r="BB726" s="1116"/>
      <c r="BC726" s="1116"/>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5" customHeight="1">
      <c r="B727" s="1383" t="s">
        <v>327</v>
      </c>
      <c r="C727" s="1384"/>
      <c r="D727" s="1384"/>
      <c r="E727" s="1384"/>
      <c r="F727" s="1385"/>
      <c r="G727" s="1569">
        <v>2</v>
      </c>
      <c r="H727" s="1570"/>
      <c r="I727" s="1570"/>
      <c r="J727" s="1571"/>
      <c r="K727" s="1566">
        <f>+K715</f>
        <v>522</v>
      </c>
      <c r="L727" s="1567"/>
      <c r="M727" s="1567"/>
      <c r="N727" s="1568"/>
      <c r="O727" s="1563">
        <v>1607</v>
      </c>
      <c r="P727" s="1564"/>
      <c r="Q727" s="1564"/>
      <c r="R727" s="1564"/>
      <c r="S727" s="1565"/>
      <c r="T727" s="1563">
        <f>+T715</f>
        <v>141</v>
      </c>
      <c r="U727" s="1564"/>
      <c r="V727" s="1564"/>
      <c r="W727" s="1565"/>
      <c r="X727" s="1390">
        <f t="shared" si="53"/>
        <v>1748</v>
      </c>
      <c r="Y727" s="1391"/>
      <c r="Z727" s="1391"/>
      <c r="AA727" s="1391"/>
      <c r="AB727" s="1392"/>
      <c r="AC727" s="1402">
        <v>0.5</v>
      </c>
      <c r="AD727" s="1403"/>
      <c r="AE727" s="1403"/>
      <c r="AF727" s="1403"/>
      <c r="AG727" s="1404"/>
      <c r="AH727" s="1386">
        <f t="shared" si="54"/>
        <v>0.5</v>
      </c>
      <c r="AI727" s="1387"/>
      <c r="AJ727" s="1388"/>
      <c r="AK727" s="1383" t="s">
        <v>601</v>
      </c>
      <c r="AL727" s="1384"/>
      <c r="AM727" s="1384"/>
      <c r="AN727" s="1384"/>
      <c r="AO727" s="1385"/>
      <c r="AP727" s="3"/>
      <c r="AQ727" s="3"/>
      <c r="AR727" s="3"/>
      <c r="AS727" s="3"/>
      <c r="AY727" s="1116"/>
      <c r="AZ727" s="1116"/>
      <c r="BA727" s="1116"/>
      <c r="BB727" s="1116"/>
      <c r="BC727" s="1116"/>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5" customHeight="1">
      <c r="B728" s="1383" t="s">
        <v>327</v>
      </c>
      <c r="C728" s="1384"/>
      <c r="D728" s="1384"/>
      <c r="E728" s="1384"/>
      <c r="F728" s="1385"/>
      <c r="G728" s="1569">
        <v>1</v>
      </c>
      <c r="H728" s="1570"/>
      <c r="I728" s="1570"/>
      <c r="J728" s="1571"/>
      <c r="K728" s="1566">
        <f>+K727</f>
        <v>522</v>
      </c>
      <c r="L728" s="1567"/>
      <c r="M728" s="1567"/>
      <c r="N728" s="1568"/>
      <c r="O728" s="1563">
        <f>+O727</f>
        <v>1607</v>
      </c>
      <c r="P728" s="1564"/>
      <c r="Q728" s="1564"/>
      <c r="R728" s="1564"/>
      <c r="S728" s="1565"/>
      <c r="T728" s="1563">
        <f>+T727</f>
        <v>141</v>
      </c>
      <c r="U728" s="1564"/>
      <c r="V728" s="1564"/>
      <c r="W728" s="1565"/>
      <c r="X728" s="1390">
        <f t="shared" si="53"/>
        <v>1748</v>
      </c>
      <c r="Y728" s="1391"/>
      <c r="Z728" s="1391"/>
      <c r="AA728" s="1391"/>
      <c r="AB728" s="1392"/>
      <c r="AC728" s="1402">
        <v>0.5</v>
      </c>
      <c r="AD728" s="1403"/>
      <c r="AE728" s="1403"/>
      <c r="AF728" s="1403"/>
      <c r="AG728" s="1404"/>
      <c r="AH728" s="1386">
        <f t="shared" si="54"/>
        <v>0.5</v>
      </c>
      <c r="AI728" s="1387"/>
      <c r="AJ728" s="1388"/>
      <c r="AK728" s="1383" t="s">
        <v>601</v>
      </c>
      <c r="AL728" s="1384"/>
      <c r="AM728" s="1384"/>
      <c r="AN728" s="1384"/>
      <c r="AO728" s="1385"/>
      <c r="AP728" s="3"/>
      <c r="AQ728" s="3"/>
      <c r="AR728" s="3"/>
      <c r="AS728" s="3"/>
      <c r="AY728" s="1116"/>
      <c r="AZ728" s="1116"/>
      <c r="BA728" s="1116"/>
      <c r="BB728" s="1116"/>
      <c r="BC728" s="1116"/>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5" customHeight="1">
      <c r="B729" s="1383" t="s">
        <v>164</v>
      </c>
      <c r="C729" s="1384"/>
      <c r="D729" s="1384"/>
      <c r="E729" s="1384"/>
      <c r="F729" s="1385"/>
      <c r="G729" s="1569">
        <v>21</v>
      </c>
      <c r="H729" s="1570"/>
      <c r="I729" s="1570"/>
      <c r="J729" s="1571"/>
      <c r="K729" s="1566">
        <f>+K717</f>
        <v>774</v>
      </c>
      <c r="L729" s="1567"/>
      <c r="M729" s="1567"/>
      <c r="N729" s="1568"/>
      <c r="O729" s="1563">
        <v>1913</v>
      </c>
      <c r="P729" s="1564"/>
      <c r="Q729" s="1564"/>
      <c r="R729" s="1564"/>
      <c r="S729" s="1565"/>
      <c r="T729" s="1563">
        <f>+T717</f>
        <v>184</v>
      </c>
      <c r="U729" s="1564"/>
      <c r="V729" s="1564"/>
      <c r="W729" s="1565"/>
      <c r="X729" s="1390">
        <f t="shared" si="53"/>
        <v>2097</v>
      </c>
      <c r="Y729" s="1391"/>
      <c r="Z729" s="1391"/>
      <c r="AA729" s="1391"/>
      <c r="AB729" s="1392"/>
      <c r="AC729" s="1402">
        <v>0.5</v>
      </c>
      <c r="AD729" s="1403"/>
      <c r="AE729" s="1403"/>
      <c r="AF729" s="1403"/>
      <c r="AG729" s="1404"/>
      <c r="AH729" s="1386">
        <f t="shared" si="54"/>
        <v>0.5</v>
      </c>
      <c r="AI729" s="1387"/>
      <c r="AJ729" s="1388"/>
      <c r="AK729" s="1383" t="s">
        <v>601</v>
      </c>
      <c r="AL729" s="1384"/>
      <c r="AM729" s="1384"/>
      <c r="AN729" s="1384"/>
      <c r="AO729" s="1385"/>
      <c r="AP729" s="3"/>
      <c r="AQ729" s="3"/>
      <c r="AR729" s="3"/>
      <c r="AS729" s="3"/>
      <c r="AY729" s="1116"/>
      <c r="AZ729" s="1116"/>
      <c r="BA729" s="1116"/>
      <c r="BB729" s="1116"/>
      <c r="BC729" s="1116"/>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5" customHeight="1">
      <c r="B730" s="1383" t="s">
        <v>164</v>
      </c>
      <c r="C730" s="1384"/>
      <c r="D730" s="1384"/>
      <c r="E730" s="1384"/>
      <c r="F730" s="1385"/>
      <c r="G730" s="1569">
        <v>1</v>
      </c>
      <c r="H730" s="1570"/>
      <c r="I730" s="1570"/>
      <c r="J730" s="1571"/>
      <c r="K730" s="1566">
        <f>+K729</f>
        <v>774</v>
      </c>
      <c r="L730" s="1567"/>
      <c r="M730" s="1567"/>
      <c r="N730" s="1568"/>
      <c r="O730" s="1563">
        <f>+O729</f>
        <v>1913</v>
      </c>
      <c r="P730" s="1564"/>
      <c r="Q730" s="1564"/>
      <c r="R730" s="1564"/>
      <c r="S730" s="1565"/>
      <c r="T730" s="1563">
        <f>+T729</f>
        <v>184</v>
      </c>
      <c r="U730" s="1564"/>
      <c r="V730" s="1564"/>
      <c r="W730" s="1565"/>
      <c r="X730" s="1390">
        <f t="shared" si="53"/>
        <v>2097</v>
      </c>
      <c r="Y730" s="1391"/>
      <c r="Z730" s="1391"/>
      <c r="AA730" s="1391"/>
      <c r="AB730" s="1392"/>
      <c r="AC730" s="1402">
        <v>0.5</v>
      </c>
      <c r="AD730" s="1403"/>
      <c r="AE730" s="1403"/>
      <c r="AF730" s="1403"/>
      <c r="AG730" s="1404"/>
      <c r="AH730" s="1386">
        <f t="shared" si="54"/>
        <v>0.5</v>
      </c>
      <c r="AI730" s="1387"/>
      <c r="AJ730" s="1388"/>
      <c r="AK730" s="1383" t="s">
        <v>601</v>
      </c>
      <c r="AL730" s="1384"/>
      <c r="AM730" s="1384"/>
      <c r="AN730" s="1384"/>
      <c r="AO730" s="1385"/>
      <c r="AP730" s="3"/>
      <c r="AQ730" s="3"/>
      <c r="AR730" s="3"/>
      <c r="AS730" s="3"/>
      <c r="AY730" s="1116"/>
      <c r="AZ730" s="1116"/>
      <c r="BA730" s="1116"/>
      <c r="BB730" s="1116"/>
      <c r="BC730" s="1116"/>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5" customHeight="1">
      <c r="B731" s="1383" t="s">
        <v>165</v>
      </c>
      <c r="C731" s="1384"/>
      <c r="D731" s="1384"/>
      <c r="E731" s="1384"/>
      <c r="F731" s="1385"/>
      <c r="G731" s="1569">
        <v>3</v>
      </c>
      <c r="H731" s="1570"/>
      <c r="I731" s="1570"/>
      <c r="J731" s="1571"/>
      <c r="K731" s="1566">
        <f>+K719</f>
        <v>1021</v>
      </c>
      <c r="L731" s="1567"/>
      <c r="M731" s="1567"/>
      <c r="N731" s="1568"/>
      <c r="O731" s="1563">
        <v>2189</v>
      </c>
      <c r="P731" s="1564"/>
      <c r="Q731" s="1564"/>
      <c r="R731" s="1564"/>
      <c r="S731" s="1565"/>
      <c r="T731" s="1563">
        <f>+T719</f>
        <v>234</v>
      </c>
      <c r="U731" s="1564"/>
      <c r="V731" s="1564"/>
      <c r="W731" s="1565"/>
      <c r="X731" s="1390">
        <f t="shared" si="53"/>
        <v>2423</v>
      </c>
      <c r="Y731" s="1391"/>
      <c r="Z731" s="1391"/>
      <c r="AA731" s="1391"/>
      <c r="AB731" s="1392"/>
      <c r="AC731" s="1402">
        <v>0.5</v>
      </c>
      <c r="AD731" s="1403"/>
      <c r="AE731" s="1403"/>
      <c r="AF731" s="1403"/>
      <c r="AG731" s="1404"/>
      <c r="AH731" s="1386">
        <f t="shared" si="54"/>
        <v>0.5</v>
      </c>
      <c r="AI731" s="1387"/>
      <c r="AJ731" s="1388"/>
      <c r="AK731" s="1383" t="s">
        <v>601</v>
      </c>
      <c r="AL731" s="1384"/>
      <c r="AM731" s="1384"/>
      <c r="AN731" s="1384"/>
      <c r="AO731" s="1385"/>
      <c r="AP731" s="3"/>
      <c r="AQ731" s="3"/>
      <c r="AR731" s="3"/>
      <c r="AS731" s="3"/>
      <c r="AY731" s="1116"/>
      <c r="AZ731" s="1116"/>
      <c r="BA731" s="1116"/>
      <c r="BB731" s="1116"/>
      <c r="BC731" s="1116"/>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5" customHeight="1">
      <c r="B732" s="1573" t="s">
        <v>165</v>
      </c>
      <c r="C732" s="1384"/>
      <c r="D732" s="1384"/>
      <c r="E732" s="1384"/>
      <c r="F732" s="1385"/>
      <c r="G732" s="1569">
        <v>1</v>
      </c>
      <c r="H732" s="1570"/>
      <c r="I732" s="1570"/>
      <c r="J732" s="1571"/>
      <c r="K732" s="1566">
        <f>+K731</f>
        <v>1021</v>
      </c>
      <c r="L732" s="1567"/>
      <c r="M732" s="1567"/>
      <c r="N732" s="1568"/>
      <c r="O732" s="1563">
        <f>+O731</f>
        <v>2189</v>
      </c>
      <c r="P732" s="1564"/>
      <c r="Q732" s="1564"/>
      <c r="R732" s="1564"/>
      <c r="S732" s="1565"/>
      <c r="T732" s="1563">
        <f>+T731</f>
        <v>234</v>
      </c>
      <c r="U732" s="1564"/>
      <c r="V732" s="1564"/>
      <c r="W732" s="1565"/>
      <c r="X732" s="1390">
        <f t="shared" si="53"/>
        <v>2423</v>
      </c>
      <c r="Y732" s="1391"/>
      <c r="Z732" s="1391"/>
      <c r="AA732" s="1391"/>
      <c r="AB732" s="1392"/>
      <c r="AC732" s="1402">
        <v>0.5</v>
      </c>
      <c r="AD732" s="1403"/>
      <c r="AE732" s="1403"/>
      <c r="AF732" s="1403"/>
      <c r="AG732" s="1404"/>
      <c r="AH732" s="1386">
        <f t="shared" si="54"/>
        <v>0.5</v>
      </c>
      <c r="AI732" s="1387"/>
      <c r="AJ732" s="1388"/>
      <c r="AK732" s="1383" t="s">
        <v>601</v>
      </c>
      <c r="AL732" s="1384"/>
      <c r="AM732" s="1384"/>
      <c r="AN732" s="1384"/>
      <c r="AO732" s="1385"/>
      <c r="AP732" s="3"/>
      <c r="AQ732" s="3"/>
      <c r="AR732" s="3"/>
      <c r="AS732" s="3"/>
      <c r="AY732" s="1116"/>
      <c r="AZ732" s="1116"/>
      <c r="BA732" s="1116"/>
      <c r="BB732" s="1116"/>
      <c r="BC732" s="1116"/>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5" customHeight="1">
      <c r="B733" s="1383" t="s">
        <v>166</v>
      </c>
      <c r="C733" s="1384"/>
      <c r="D733" s="1384"/>
      <c r="E733" s="1384"/>
      <c r="F733" s="1385"/>
      <c r="G733" s="1569">
        <v>2</v>
      </c>
      <c r="H733" s="1570"/>
      <c r="I733" s="1570"/>
      <c r="J733" s="1571"/>
      <c r="K733" s="1566">
        <f>+K721</f>
        <v>1244</v>
      </c>
      <c r="L733" s="1567"/>
      <c r="M733" s="1567"/>
      <c r="N733" s="1568"/>
      <c r="O733" s="1563">
        <v>2418</v>
      </c>
      <c r="P733" s="1564"/>
      <c r="Q733" s="1564"/>
      <c r="R733" s="1564"/>
      <c r="S733" s="1565"/>
      <c r="T733" s="1563">
        <f>+T721</f>
        <v>285</v>
      </c>
      <c r="U733" s="1564"/>
      <c r="V733" s="1564"/>
      <c r="W733" s="1565"/>
      <c r="X733" s="1390">
        <f t="shared" si="53"/>
        <v>2703</v>
      </c>
      <c r="Y733" s="1391"/>
      <c r="Z733" s="1391"/>
      <c r="AA733" s="1391"/>
      <c r="AB733" s="1392"/>
      <c r="AC733" s="1402">
        <v>0.5</v>
      </c>
      <c r="AD733" s="1403"/>
      <c r="AE733" s="1403"/>
      <c r="AF733" s="1403"/>
      <c r="AG733" s="1404"/>
      <c r="AH733" s="1386">
        <f t="shared" si="54"/>
        <v>0.5</v>
      </c>
      <c r="AI733" s="1387"/>
      <c r="AJ733" s="1388"/>
      <c r="AK733" s="1383" t="s">
        <v>601</v>
      </c>
      <c r="AL733" s="1384"/>
      <c r="AM733" s="1384"/>
      <c r="AN733" s="1384"/>
      <c r="AO733" s="1385"/>
      <c r="AP733" s="3"/>
      <c r="AQ733" s="3"/>
      <c r="AR733" s="3"/>
      <c r="AS733" s="3"/>
      <c r="AY733" s="1116"/>
      <c r="AZ733" s="1116"/>
      <c r="BA733" s="1116"/>
      <c r="BB733" s="1116"/>
      <c r="BC733" s="1116"/>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5" customHeight="1">
      <c r="B734" s="1383" t="s">
        <v>327</v>
      </c>
      <c r="C734" s="1384"/>
      <c r="D734" s="1384"/>
      <c r="E734" s="1384"/>
      <c r="F734" s="1385"/>
      <c r="G734" s="1569">
        <v>4</v>
      </c>
      <c r="H734" s="1570"/>
      <c r="I734" s="1570"/>
      <c r="J734" s="1571"/>
      <c r="K734" s="1566">
        <f>+K715</f>
        <v>522</v>
      </c>
      <c r="L734" s="1567"/>
      <c r="M734" s="1567"/>
      <c r="N734" s="1568"/>
      <c r="O734" s="1563">
        <v>1956</v>
      </c>
      <c r="P734" s="1564"/>
      <c r="Q734" s="1564"/>
      <c r="R734" s="1564"/>
      <c r="S734" s="1565"/>
      <c r="T734" s="1563">
        <f>+T715</f>
        <v>141</v>
      </c>
      <c r="U734" s="1564"/>
      <c r="V734" s="1564"/>
      <c r="W734" s="1565"/>
      <c r="X734" s="1390">
        <f t="shared" si="53"/>
        <v>2097</v>
      </c>
      <c r="Y734" s="1391"/>
      <c r="Z734" s="1391"/>
      <c r="AA734" s="1391"/>
      <c r="AB734" s="1392"/>
      <c r="AC734" s="1402">
        <v>0.6</v>
      </c>
      <c r="AD734" s="1403"/>
      <c r="AE734" s="1403"/>
      <c r="AF734" s="1403"/>
      <c r="AG734" s="1404"/>
      <c r="AH734" s="1386">
        <f t="shared" si="54"/>
        <v>0.59982837528604116</v>
      </c>
      <c r="AI734" s="1387"/>
      <c r="AJ734" s="1388"/>
      <c r="AK734" s="1383" t="s">
        <v>601</v>
      </c>
      <c r="AL734" s="1384"/>
      <c r="AM734" s="1384"/>
      <c r="AN734" s="1384"/>
      <c r="AO734" s="1385"/>
      <c r="AP734" s="3"/>
      <c r="AQ734" s="3"/>
      <c r="AR734" s="3"/>
      <c r="AS734" s="3"/>
      <c r="AY734" s="1116"/>
      <c r="AZ734" s="1116"/>
      <c r="BA734" s="1116"/>
      <c r="BB734" s="1116"/>
      <c r="BC734" s="1116"/>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5" customHeight="1">
      <c r="B735" s="1383" t="s">
        <v>164</v>
      </c>
      <c r="C735" s="1384"/>
      <c r="D735" s="1384"/>
      <c r="E735" s="1384"/>
      <c r="F735" s="1385"/>
      <c r="G735" s="1569">
        <v>24</v>
      </c>
      <c r="H735" s="1570"/>
      <c r="I735" s="1570"/>
      <c r="J735" s="1571"/>
      <c r="K735" s="1566">
        <f>+K717</f>
        <v>774</v>
      </c>
      <c r="L735" s="1567"/>
      <c r="M735" s="1567"/>
      <c r="N735" s="1568"/>
      <c r="O735" s="1563">
        <v>2028</v>
      </c>
      <c r="P735" s="1564"/>
      <c r="Q735" s="1564"/>
      <c r="R735" s="1564"/>
      <c r="S735" s="1565"/>
      <c r="T735" s="1563">
        <f>+T717</f>
        <v>184</v>
      </c>
      <c r="U735" s="1564"/>
      <c r="V735" s="1564"/>
      <c r="W735" s="1565"/>
      <c r="X735" s="1390">
        <f t="shared" si="53"/>
        <v>2212</v>
      </c>
      <c r="Y735" s="1391"/>
      <c r="Z735" s="1391"/>
      <c r="AA735" s="1391"/>
      <c r="AB735" s="1392"/>
      <c r="AC735" s="1402">
        <v>0.6</v>
      </c>
      <c r="AD735" s="1403"/>
      <c r="AE735" s="1403"/>
      <c r="AF735" s="1403"/>
      <c r="AG735" s="1404"/>
      <c r="AH735" s="1386">
        <f t="shared" si="54"/>
        <v>0.52742012398664762</v>
      </c>
      <c r="AI735" s="1387"/>
      <c r="AJ735" s="1388"/>
      <c r="AK735" s="1383" t="s">
        <v>601</v>
      </c>
      <c r="AL735" s="1384"/>
      <c r="AM735" s="1384"/>
      <c r="AN735" s="1384"/>
      <c r="AO735" s="1385"/>
      <c r="AP735" s="3"/>
      <c r="AQ735" s="3"/>
      <c r="AR735" s="3"/>
      <c r="AS735" s="3"/>
      <c r="AY735" s="1116"/>
      <c r="AZ735" s="1116"/>
      <c r="BA735" s="1116"/>
      <c r="BB735" s="1116"/>
      <c r="BC735" s="1116"/>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5" customHeight="1">
      <c r="B736" s="1383" t="s">
        <v>165</v>
      </c>
      <c r="C736" s="1384"/>
      <c r="D736" s="1384"/>
      <c r="E736" s="1384"/>
      <c r="F736" s="1385"/>
      <c r="G736" s="1569">
        <v>12</v>
      </c>
      <c r="H736" s="1570"/>
      <c r="I736" s="1570"/>
      <c r="J736" s="1571"/>
      <c r="K736" s="1566">
        <f>+K719</f>
        <v>1021</v>
      </c>
      <c r="L736" s="1567"/>
      <c r="M736" s="1567"/>
      <c r="N736" s="1568"/>
      <c r="O736" s="1563">
        <v>2565</v>
      </c>
      <c r="P736" s="1564"/>
      <c r="Q736" s="1564"/>
      <c r="R736" s="1564"/>
      <c r="S736" s="1565"/>
      <c r="T736" s="1563">
        <f>+T719</f>
        <v>234</v>
      </c>
      <c r="U736" s="1564"/>
      <c r="V736" s="1564"/>
      <c r="W736" s="1565"/>
      <c r="X736" s="1390">
        <f t="shared" si="53"/>
        <v>2799</v>
      </c>
      <c r="Y736" s="1391"/>
      <c r="Z736" s="1391"/>
      <c r="AA736" s="1391"/>
      <c r="AB736" s="1392"/>
      <c r="AC736" s="1402">
        <v>0.6</v>
      </c>
      <c r="AD736" s="1403"/>
      <c r="AE736" s="1403"/>
      <c r="AF736" s="1403"/>
      <c r="AG736" s="1404"/>
      <c r="AH736" s="1386">
        <f t="shared" si="54"/>
        <v>0.57758976475443669</v>
      </c>
      <c r="AI736" s="1387"/>
      <c r="AJ736" s="1388"/>
      <c r="AK736" s="1383" t="s">
        <v>601</v>
      </c>
      <c r="AL736" s="1384"/>
      <c r="AM736" s="1384"/>
      <c r="AN736" s="1384"/>
      <c r="AO736" s="1385"/>
      <c r="AP736" s="3"/>
      <c r="AQ736" s="3"/>
      <c r="AR736" s="3"/>
      <c r="AS736" s="3"/>
      <c r="AY736" s="1116"/>
      <c r="AZ736" s="1116"/>
      <c r="BA736" s="1116"/>
      <c r="BB736" s="1116"/>
      <c r="BC736" s="1116"/>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5" customHeight="1">
      <c r="B737" s="1383" t="s">
        <v>166</v>
      </c>
      <c r="C737" s="1384"/>
      <c r="D737" s="1384"/>
      <c r="E737" s="1384"/>
      <c r="F737" s="1385"/>
      <c r="G737" s="1569">
        <v>2</v>
      </c>
      <c r="H737" s="1570"/>
      <c r="I737" s="1570"/>
      <c r="J737" s="1571"/>
      <c r="K737" s="1566">
        <f>+K721</f>
        <v>1244</v>
      </c>
      <c r="L737" s="1567"/>
      <c r="M737" s="1567"/>
      <c r="N737" s="1568"/>
      <c r="O737" s="1563">
        <v>2959</v>
      </c>
      <c r="P737" s="1564"/>
      <c r="Q737" s="1564"/>
      <c r="R737" s="1564"/>
      <c r="S737" s="1565"/>
      <c r="T737" s="1563">
        <f>+T721</f>
        <v>285</v>
      </c>
      <c r="U737" s="1564"/>
      <c r="V737" s="1564"/>
      <c r="W737" s="1565"/>
      <c r="X737" s="1390">
        <f t="shared" si="53"/>
        <v>3244</v>
      </c>
      <c r="Y737" s="1391"/>
      <c r="Z737" s="1391"/>
      <c r="AA737" s="1391"/>
      <c r="AB737" s="1392"/>
      <c r="AC737" s="1402">
        <v>0.6</v>
      </c>
      <c r="AD737" s="1403"/>
      <c r="AE737" s="1403"/>
      <c r="AF737" s="1403"/>
      <c r="AG737" s="1404"/>
      <c r="AH737" s="1386">
        <f t="shared" si="54"/>
        <v>0.60007399186089527</v>
      </c>
      <c r="AI737" s="1387"/>
      <c r="AJ737" s="1388"/>
      <c r="AK737" s="1383" t="s">
        <v>601</v>
      </c>
      <c r="AL737" s="1384"/>
      <c r="AM737" s="1384"/>
      <c r="AN737" s="1384"/>
      <c r="AO737" s="1385"/>
      <c r="AP737" s="3"/>
      <c r="AQ737" s="3"/>
      <c r="AR737" s="3"/>
      <c r="AS737" s="3"/>
      <c r="AY737" s="1116"/>
      <c r="AZ737" s="1116"/>
      <c r="BA737" s="1116"/>
      <c r="BB737" s="1116"/>
      <c r="BC737" s="1116"/>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5" customHeight="1">
      <c r="B738" s="1383"/>
      <c r="C738" s="1384"/>
      <c r="D738" s="1384"/>
      <c r="E738" s="1384"/>
      <c r="F738" s="1385"/>
      <c r="G738" s="1569"/>
      <c r="H738" s="1570"/>
      <c r="I738" s="1570"/>
      <c r="J738" s="1571"/>
      <c r="K738" s="1566"/>
      <c r="L738" s="1567"/>
      <c r="M738" s="1567"/>
      <c r="N738" s="1568"/>
      <c r="O738" s="1563"/>
      <c r="P738" s="1564"/>
      <c r="Q738" s="1564"/>
      <c r="R738" s="1564"/>
      <c r="S738" s="1565"/>
      <c r="T738" s="1563"/>
      <c r="U738" s="1564"/>
      <c r="V738" s="1564"/>
      <c r="W738" s="1565"/>
      <c r="X738" s="1390">
        <f t="shared" si="53"/>
        <v>0</v>
      </c>
      <c r="Y738" s="1391"/>
      <c r="Z738" s="1391"/>
      <c r="AA738" s="1391"/>
      <c r="AB738" s="1392"/>
      <c r="AC738" s="1402">
        <v>0</v>
      </c>
      <c r="AD738" s="1403"/>
      <c r="AE738" s="1403"/>
      <c r="AF738" s="1403"/>
      <c r="AG738" s="1404"/>
      <c r="AH738" s="1386" t="str">
        <f t="shared" si="54"/>
        <v xml:space="preserve"> </v>
      </c>
      <c r="AI738" s="1387"/>
      <c r="AJ738" s="1388"/>
      <c r="AK738" s="1383" t="s">
        <v>601</v>
      </c>
      <c r="AL738" s="1384"/>
      <c r="AM738" s="1384"/>
      <c r="AN738" s="1384"/>
      <c r="AO738" s="1385"/>
      <c r="AP738" s="3"/>
      <c r="AQ738" s="3"/>
      <c r="AR738" s="3"/>
      <c r="AS738" s="3"/>
      <c r="AY738" s="1116"/>
      <c r="AZ738" s="1116"/>
      <c r="BA738" s="1116"/>
      <c r="BB738" s="1116"/>
      <c r="BC738" s="1116"/>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5" customHeight="1">
      <c r="B739" s="1577" t="s">
        <v>126</v>
      </c>
      <c r="C739" s="1578"/>
      <c r="D739" s="1578"/>
      <c r="E739" s="1578"/>
      <c r="F739" s="1579"/>
      <c r="G739" s="1574">
        <f>SUM(G714:J738)</f>
        <v>135</v>
      </c>
      <c r="H739" s="1575"/>
      <c r="I739" s="1575"/>
      <c r="J739" s="1576"/>
      <c r="K739" s="930" t="s">
        <v>125</v>
      </c>
      <c r="L739" s="5"/>
      <c r="M739" s="5"/>
      <c r="N739" s="46"/>
      <c r="O739" s="1390">
        <f>SUMPRODUCT(G714:G738,O714:O738)</f>
        <v>225358</v>
      </c>
      <c r="P739" s="1391"/>
      <c r="Q739" s="1391"/>
      <c r="R739" s="1391"/>
      <c r="S739" s="1392"/>
      <c r="X739" s="932" t="s">
        <v>934</v>
      </c>
      <c r="Y739" s="931"/>
      <c r="Z739" s="931"/>
      <c r="AA739" s="931"/>
      <c r="AB739" s="933"/>
      <c r="AC739" s="1580">
        <f>BI682</f>
        <v>0.45185185185185189</v>
      </c>
      <c r="AD739" s="1581"/>
      <c r="AE739" s="1581"/>
      <c r="AF739" s="1581"/>
      <c r="AG739" s="1582"/>
      <c r="AH739" s="1580">
        <f>BI714</f>
        <v>0.43693467974984268</v>
      </c>
      <c r="AI739" s="1581"/>
      <c r="AJ739" s="1582"/>
      <c r="AP739" s="218"/>
      <c r="AQ739" s="218"/>
      <c r="AR739" s="218"/>
      <c r="AS739" s="21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5" customHeight="1">
      <c r="B740" s="1813" t="s">
        <v>2258</v>
      </c>
      <c r="C740" s="1813"/>
      <c r="D740" s="1813"/>
      <c r="E740" s="1813"/>
      <c r="F740" s="1813"/>
      <c r="G740" s="1813"/>
      <c r="H740" s="1813"/>
      <c r="I740" s="1813"/>
      <c r="J740" s="1813"/>
      <c r="K740" s="1813"/>
      <c r="L740" s="1813"/>
      <c r="M740" s="1813"/>
      <c r="N740" s="1813"/>
      <c r="O740" s="1813"/>
      <c r="P740" s="1813"/>
      <c r="Q740" s="1813"/>
      <c r="R740" s="1813"/>
      <c r="S740" s="1813"/>
      <c r="T740" s="1813"/>
      <c r="U740" s="1813"/>
      <c r="V740" s="1813"/>
      <c r="W740" s="1813"/>
      <c r="X740" s="1813"/>
      <c r="Y740" s="1813"/>
      <c r="Z740" s="1813"/>
      <c r="AA740" s="1813"/>
      <c r="AB740" s="1813"/>
      <c r="AC740" s="1813"/>
      <c r="AD740" s="1813"/>
      <c r="AE740" s="1813"/>
      <c r="AF740" s="1813"/>
      <c r="AG740" s="1813"/>
      <c r="AH740" s="181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5" customHeight="1">
      <c r="B741" s="1813"/>
      <c r="C741" s="1813"/>
      <c r="D741" s="1813"/>
      <c r="E741" s="1813"/>
      <c r="F741" s="1813"/>
      <c r="G741" s="1813"/>
      <c r="H741" s="1813"/>
      <c r="I741" s="1813"/>
      <c r="J741" s="1813"/>
      <c r="K741" s="1813"/>
      <c r="L741" s="1813"/>
      <c r="M741" s="1813"/>
      <c r="N741" s="1813"/>
      <c r="O741" s="1813"/>
      <c r="P741" s="1813"/>
      <c r="Q741" s="1813"/>
      <c r="R741" s="1813"/>
      <c r="S741" s="1813"/>
      <c r="T741" s="1813"/>
      <c r="U741" s="1813"/>
      <c r="V741" s="1813"/>
      <c r="W741" s="1813"/>
      <c r="X741" s="1813"/>
      <c r="Y741" s="1813"/>
      <c r="Z741" s="1813"/>
      <c r="AA741" s="1813"/>
      <c r="AB741" s="1813"/>
      <c r="AC741" s="1813"/>
      <c r="AD741" s="1813"/>
      <c r="AE741" s="1813"/>
      <c r="AF741" s="1813"/>
      <c r="AG741" s="1813"/>
      <c r="AH741" s="181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25" customHeight="1">
      <c r="C742" s="118" t="s">
        <v>2256</v>
      </c>
      <c r="D742" s="1058"/>
      <c r="E742" s="1058"/>
      <c r="F742" s="1058"/>
      <c r="G742" s="1059"/>
      <c r="H742" s="1059"/>
      <c r="I742" s="1059"/>
      <c r="J742" s="1059"/>
      <c r="K742" s="1058"/>
      <c r="L742" s="1058"/>
      <c r="M742" s="1058"/>
      <c r="N742" s="1058"/>
      <c r="O742" s="1419">
        <f>CS623</f>
        <v>284</v>
      </c>
      <c r="P742" s="1419"/>
      <c r="Q742" s="1419"/>
      <c r="R742" s="1419"/>
      <c r="S742" s="988"/>
      <c r="T742" s="988"/>
      <c r="U742" s="118" t="s">
        <v>2257</v>
      </c>
      <c r="V742" s="1058"/>
      <c r="W742" s="1058"/>
      <c r="X742" s="1058"/>
      <c r="Y742" s="1059"/>
      <c r="Z742" s="1059"/>
      <c r="AA742" s="1059"/>
      <c r="AB742" s="1059"/>
      <c r="AC742" s="1058"/>
      <c r="AD742" s="1058"/>
      <c r="AE742" s="1058"/>
      <c r="AF742" s="1058"/>
      <c r="AG742" s="1684"/>
      <c r="AH742" s="1684"/>
      <c r="AI742" s="1684"/>
      <c r="AJ742" s="1684"/>
      <c r="AT742"/>
      <c r="AU742"/>
      <c r="AV742"/>
      <c r="AW742"/>
      <c r="AX742"/>
      <c r="AY742"/>
    </row>
    <row r="743" spans="1:16383" ht="13.25" customHeight="1">
      <c r="B743" s="57"/>
      <c r="E743" s="56"/>
      <c r="F743" s="56"/>
      <c r="G743" s="332"/>
      <c r="H743" s="332"/>
      <c r="I743" s="332"/>
      <c r="J743" s="332"/>
      <c r="K743" s="56"/>
      <c r="L743" s="56"/>
      <c r="M743" s="56"/>
      <c r="N743" s="56"/>
      <c r="O743" s="56"/>
      <c r="P743" s="185"/>
      <c r="Q743" s="185"/>
      <c r="R743" s="185"/>
      <c r="S743" s="185"/>
      <c r="T743" s="185"/>
      <c r="Y743" s="303"/>
      <c r="Z743" s="303"/>
      <c r="AA743" s="303"/>
      <c r="AB743" s="303"/>
      <c r="AH743" s="303"/>
      <c r="AI743" s="303"/>
      <c r="AJ743" s="303"/>
      <c r="AK743" s="303"/>
      <c r="AL743" s="303"/>
      <c r="AP743" s="303"/>
      <c r="AQ743" s="303"/>
      <c r="AR743" s="303"/>
      <c r="AS743" s="30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25" customHeight="1">
      <c r="B744" s="3"/>
      <c r="C744" s="118" t="s">
        <v>2255</v>
      </c>
      <c r="D744" s="1060"/>
      <c r="E744" s="1060"/>
      <c r="F744" s="1060"/>
      <c r="G744" s="1060"/>
      <c r="H744" s="1060"/>
      <c r="I744" s="1060"/>
      <c r="J744" s="1060"/>
      <c r="K744" s="1060"/>
      <c r="L744" s="1060"/>
      <c r="M744" s="1060"/>
      <c r="N744" s="1060"/>
      <c r="O744" s="1060"/>
      <c r="P744" s="1060"/>
      <c r="Q744" s="1060"/>
      <c r="R744" s="1060"/>
      <c r="S744" s="1060"/>
      <c r="T744" s="1060"/>
      <c r="U744" s="1060"/>
      <c r="V744" s="1060"/>
      <c r="W744" s="1060"/>
      <c r="X744" s="1060"/>
      <c r="Y744" s="1060"/>
      <c r="Z744" s="1060"/>
      <c r="AA744" s="1060"/>
      <c r="AB744" s="1060"/>
      <c r="AC744" s="1060"/>
      <c r="AD744" s="1743" t="s">
        <v>601</v>
      </c>
      <c r="AE744" s="1743"/>
      <c r="AF744" s="1743"/>
      <c r="AG744" s="1060"/>
      <c r="AH744" s="1060"/>
      <c r="AI744" s="1060"/>
      <c r="AJ744" s="1060"/>
      <c r="AK744" s="1060"/>
      <c r="AL744" s="1060"/>
      <c r="AM744" s="1060"/>
      <c r="AN744" s="1060"/>
      <c r="AO744" s="1060"/>
      <c r="AP744" s="1060"/>
      <c r="AQ744" s="1060"/>
      <c r="AR744" s="1060"/>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5" customHeight="1">
      <c r="C745" s="1061" t="s">
        <v>2512</v>
      </c>
      <c r="D745" s="1060"/>
      <c r="E745" s="1060"/>
      <c r="F745" s="1060"/>
      <c r="G745" s="1060"/>
      <c r="H745" s="1060"/>
      <c r="I745" s="1060"/>
      <c r="J745" s="1060"/>
      <c r="K745" s="1060"/>
      <c r="L745" s="1060"/>
      <c r="M745" s="1060"/>
      <c r="N745" s="1060"/>
      <c r="O745" s="1060"/>
      <c r="P745" s="1060"/>
      <c r="Q745" s="1060"/>
      <c r="R745" s="1060"/>
      <c r="S745" s="1060"/>
      <c r="T745" s="1060"/>
      <c r="U745" s="1060"/>
      <c r="V745" s="1060"/>
      <c r="W745" s="1060"/>
      <c r="X745" s="1060"/>
      <c r="Y745" s="1060"/>
      <c r="Z745" s="1060"/>
      <c r="AA745" s="1060"/>
      <c r="AB745" s="1060"/>
      <c r="AC745" s="1060"/>
      <c r="AD745" s="1060"/>
      <c r="AE745" s="1060"/>
      <c r="AF745" s="1060"/>
      <c r="AG745" s="1060"/>
      <c r="AH745" s="1060"/>
      <c r="AI745" s="1060"/>
      <c r="AJ745" s="1060"/>
      <c r="AK745" s="1060"/>
      <c r="AL745" s="1060"/>
      <c r="AM745" s="1060"/>
      <c r="AN745" s="1060"/>
      <c r="AO745" s="1060"/>
      <c r="AP745" s="1060"/>
      <c r="AQ745" s="1060"/>
      <c r="AR745" s="1060"/>
      <c r="AZ745" s="3"/>
      <c r="BA745" s="3"/>
      <c r="BB745" s="303"/>
      <c r="BC745" s="303"/>
      <c r="BD745" s="303"/>
      <c r="BE745" s="303"/>
      <c r="BF745" s="303"/>
      <c r="BG745" s="303"/>
      <c r="BH745" s="303"/>
      <c r="BI745" s="303"/>
      <c r="BJ745" s="303"/>
      <c r="BK745" s="303"/>
      <c r="BL745" s="303"/>
      <c r="BM745" s="303"/>
      <c r="BN745" s="303"/>
      <c r="BO745" s="303"/>
      <c r="BP745" s="303"/>
      <c r="BQ745" s="303"/>
      <c r="BR745" s="303"/>
      <c r="BS745" s="303"/>
      <c r="BT745" s="303"/>
      <c r="BU745" s="303"/>
      <c r="BV745" s="303"/>
      <c r="BW745" s="303"/>
      <c r="BX745" s="303"/>
      <c r="BY745" s="303"/>
      <c r="BZ745" s="303"/>
      <c r="CA745" s="303"/>
      <c r="CB745" s="303"/>
      <c r="CC745" s="303"/>
      <c r="CE745" s="3"/>
      <c r="CF745" s="303"/>
      <c r="CG745" s="303"/>
      <c r="CH745" s="303"/>
      <c r="CI745" s="303"/>
      <c r="CJ745" s="303"/>
      <c r="CK745" s="303"/>
      <c r="CL745" s="303"/>
      <c r="CM745" s="303"/>
      <c r="CN745" s="303"/>
      <c r="CO745" s="303"/>
      <c r="CP745" s="303"/>
      <c r="CQ745" s="303"/>
      <c r="CR745" s="303"/>
      <c r="CS745" s="303"/>
      <c r="CT745" s="303"/>
      <c r="CU745" s="303"/>
      <c r="CV745" s="303"/>
      <c r="CW745" s="303"/>
      <c r="CX745" s="303"/>
      <c r="CY745" s="303"/>
      <c r="CZ745" s="303"/>
      <c r="DA745" s="303"/>
      <c r="DB745" s="303"/>
      <c r="DC745" s="303"/>
      <c r="DD745" s="303"/>
      <c r="DE745" s="303"/>
      <c r="DF745" s="303"/>
      <c r="DG745" s="303"/>
      <c r="DH745" s="303"/>
      <c r="DI745" s="303"/>
      <c r="DJ745" s="303"/>
      <c r="DK745" s="303"/>
      <c r="DL745" s="303"/>
      <c r="DM745" s="303"/>
      <c r="DN745" s="303"/>
      <c r="DO745" s="303"/>
      <c r="DP745" s="303"/>
      <c r="DQ745" s="303"/>
      <c r="DR745" s="303"/>
      <c r="DS745" s="303"/>
      <c r="DT745" s="303"/>
      <c r="DU745" s="303"/>
      <c r="DV745" s="303"/>
      <c r="DW745" s="303"/>
      <c r="DX745" s="303"/>
      <c r="DY745" s="303"/>
      <c r="DZ745" s="303"/>
      <c r="EA745" s="303"/>
      <c r="EB745" s="303"/>
      <c r="EC745" s="303"/>
      <c r="ED745" s="303"/>
      <c r="EE745" s="303"/>
      <c r="EF745" s="303"/>
      <c r="EG745" s="303"/>
      <c r="EH745" s="303"/>
      <c r="EI745" s="303"/>
      <c r="EJ745" s="303"/>
      <c r="EK745" s="303"/>
      <c r="EL745" s="303"/>
      <c r="EM745" s="303"/>
      <c r="EN745" s="303"/>
      <c r="EO745" s="303"/>
      <c r="EP745" s="303"/>
      <c r="EQ745" s="303"/>
      <c r="ER745" s="303"/>
      <c r="ES745" s="303"/>
      <c r="ET745" s="303"/>
      <c r="EU745" s="303"/>
      <c r="EV745" s="303"/>
      <c r="EW745" s="303"/>
      <c r="EX745" s="303"/>
      <c r="EY745" s="303"/>
      <c r="EZ745" s="303"/>
      <c r="FA745" s="303"/>
      <c r="FB745" s="303"/>
      <c r="FC745" s="303"/>
      <c r="FD745" s="303"/>
      <c r="FE745" s="303"/>
      <c r="FF745" s="303"/>
      <c r="FG745" s="303"/>
      <c r="FH745" s="303"/>
      <c r="FI745" s="303"/>
      <c r="FJ745" s="303"/>
      <c r="FK745" s="303"/>
      <c r="FL745" s="303"/>
      <c r="FM745" s="303"/>
      <c r="FN745" s="303"/>
      <c r="FO745" s="303"/>
      <c r="FP745" s="303"/>
      <c r="FQ745" s="303"/>
      <c r="FR745" s="303"/>
      <c r="FS745" s="303"/>
      <c r="FT745" s="303"/>
      <c r="FU745" s="303"/>
      <c r="FV745" s="303"/>
      <c r="FW745" s="303"/>
      <c r="FX745" s="303"/>
      <c r="FY745" s="303"/>
      <c r="FZ745" s="303"/>
      <c r="GA745" s="303"/>
      <c r="GB745" s="303"/>
      <c r="GC745" s="303"/>
      <c r="GD745" s="303"/>
      <c r="GE745" s="303"/>
      <c r="GF745" s="303"/>
      <c r="GG745" s="303"/>
      <c r="GH745" s="303"/>
      <c r="GI745" s="303"/>
      <c r="GJ745" s="303"/>
      <c r="GK745" s="303"/>
      <c r="GL745" s="303"/>
      <c r="GM745" s="303"/>
      <c r="GN745" s="303"/>
      <c r="GO745" s="303"/>
      <c r="GP745" s="303"/>
      <c r="GQ745" s="303"/>
      <c r="GR745" s="303"/>
      <c r="GS745" s="303"/>
      <c r="GT745" s="303"/>
      <c r="GU745" s="303"/>
      <c r="GV745" s="303"/>
      <c r="GW745" s="303"/>
      <c r="GX745" s="303"/>
      <c r="GY745" s="303"/>
      <c r="GZ745" s="303"/>
      <c r="HA745" s="303"/>
      <c r="HB745" s="303"/>
      <c r="HC745" s="303"/>
      <c r="HD745" s="303"/>
      <c r="HE745" s="303"/>
      <c r="HF745" s="303"/>
      <c r="HG745" s="303"/>
      <c r="HH745" s="303"/>
      <c r="HI745" s="303"/>
      <c r="HJ745" s="303"/>
      <c r="HK745" s="303"/>
      <c r="HL745" s="303"/>
      <c r="HM745" s="303"/>
      <c r="HN745" s="303"/>
      <c r="HO745" s="303"/>
      <c r="HP745" s="303"/>
      <c r="HQ745" s="303"/>
      <c r="HR745" s="303"/>
      <c r="HS745" s="303"/>
      <c r="HT745" s="303"/>
      <c r="HU745" s="303"/>
      <c r="HV745" s="303"/>
      <c r="HW745" s="303"/>
      <c r="HX745" s="303"/>
      <c r="HY745" s="303"/>
      <c r="HZ745" s="303"/>
      <c r="IA745" s="303"/>
      <c r="IB745" s="303"/>
      <c r="IC745" s="303"/>
      <c r="ID745" s="303"/>
      <c r="IE745" s="303"/>
      <c r="IF745" s="303"/>
      <c r="IG745" s="303"/>
      <c r="IH745" s="303"/>
      <c r="II745" s="303"/>
      <c r="IJ745" s="303"/>
      <c r="IK745" s="303"/>
      <c r="IL745" s="303"/>
      <c r="IM745" s="303"/>
      <c r="IN745" s="303"/>
      <c r="IO745" s="303"/>
      <c r="IP745" s="303"/>
      <c r="IQ745" s="303"/>
      <c r="IR745" s="303"/>
      <c r="IS745" s="303"/>
      <c r="IT745" s="303"/>
      <c r="IU745" s="303"/>
      <c r="IV745" s="303"/>
      <c r="IW745" s="303"/>
      <c r="IX745" s="303"/>
      <c r="IY745" s="303"/>
      <c r="IZ745" s="303"/>
      <c r="JA745" s="303"/>
      <c r="JB745" s="303"/>
      <c r="JC745" s="303"/>
      <c r="JD745" s="303"/>
      <c r="JE745" s="303"/>
      <c r="JF745" s="303"/>
      <c r="JG745" s="303"/>
      <c r="JH745" s="303"/>
      <c r="JI745" s="303"/>
      <c r="JJ745" s="303"/>
      <c r="JK745" s="303"/>
      <c r="JL745" s="303"/>
      <c r="JM745" s="303"/>
      <c r="JN745" s="303"/>
      <c r="JO745" s="303"/>
      <c r="JP745" s="303"/>
      <c r="JQ745" s="303"/>
      <c r="JR745" s="303"/>
      <c r="JS745" s="303"/>
      <c r="JT745" s="303"/>
      <c r="JU745" s="303"/>
      <c r="JV745" s="303"/>
      <c r="JW745" s="303"/>
      <c r="JX745" s="303"/>
      <c r="JY745" s="303"/>
      <c r="JZ745" s="303"/>
      <c r="KA745" s="303"/>
      <c r="KB745" s="303"/>
      <c r="KC745" s="303"/>
      <c r="KD745" s="303"/>
      <c r="KE745" s="303"/>
      <c r="KF745" s="303"/>
      <c r="KG745" s="303"/>
      <c r="KH745" s="303"/>
      <c r="KI745" s="303"/>
      <c r="KJ745" s="303"/>
      <c r="KK745" s="303"/>
      <c r="KL745" s="303"/>
      <c r="KM745" s="303"/>
      <c r="KN745" s="303"/>
      <c r="KO745" s="303"/>
      <c r="KP745" s="303"/>
      <c r="KQ745" s="303"/>
      <c r="KR745" s="303"/>
      <c r="KS745" s="303"/>
      <c r="KT745" s="303"/>
      <c r="KU745" s="303"/>
      <c r="KV745" s="303"/>
      <c r="KW745" s="303"/>
      <c r="KX745" s="303"/>
      <c r="KY745" s="303"/>
      <c r="KZ745" s="303"/>
      <c r="LA745" s="303"/>
      <c r="LB745" s="303"/>
      <c r="LC745" s="303"/>
      <c r="LD745" s="303"/>
      <c r="LE745" s="303"/>
      <c r="LF745" s="303"/>
      <c r="LG745" s="303"/>
      <c r="LH745" s="303"/>
      <c r="LI745" s="303"/>
      <c r="LJ745" s="303"/>
      <c r="LK745" s="303"/>
      <c r="LL745" s="303"/>
      <c r="LM745" s="303"/>
      <c r="LN745" s="303"/>
      <c r="LO745" s="303"/>
      <c r="LP745" s="303"/>
      <c r="LQ745" s="303"/>
      <c r="LR745" s="303"/>
      <c r="LS745" s="303"/>
      <c r="LT745" s="303"/>
      <c r="LU745" s="303"/>
      <c r="LV745" s="303"/>
      <c r="LW745" s="303"/>
      <c r="LX745" s="303"/>
      <c r="LY745" s="303"/>
      <c r="LZ745" s="303"/>
      <c r="MA745" s="303"/>
      <c r="MB745" s="303"/>
      <c r="MC745" s="303"/>
      <c r="MD745" s="303"/>
      <c r="ME745" s="303"/>
      <c r="MF745" s="303"/>
      <c r="MG745" s="303"/>
      <c r="MH745" s="303"/>
      <c r="MI745" s="303"/>
      <c r="MJ745" s="303"/>
      <c r="MK745" s="303"/>
      <c r="ML745" s="303"/>
      <c r="MM745" s="303"/>
      <c r="MN745" s="303"/>
      <c r="MO745" s="303"/>
      <c r="MP745" s="303"/>
      <c r="MQ745" s="303"/>
      <c r="MR745" s="303"/>
      <c r="MS745" s="303"/>
      <c r="MT745" s="303"/>
      <c r="MU745" s="303"/>
      <c r="MV745" s="303"/>
      <c r="MW745" s="303"/>
      <c r="MX745" s="303"/>
      <c r="MY745" s="303"/>
      <c r="MZ745" s="303"/>
      <c r="NA745" s="303"/>
      <c r="NB745" s="303"/>
      <c r="NC745" s="303"/>
      <c r="ND745" s="303"/>
      <c r="NE745" s="303"/>
      <c r="NF745" s="303"/>
      <c r="NG745" s="303"/>
      <c r="NH745" s="303"/>
      <c r="NI745" s="303"/>
      <c r="NJ745" s="303"/>
      <c r="NK745" s="303"/>
      <c r="NL745" s="303"/>
      <c r="NM745" s="303"/>
      <c r="NN745" s="303"/>
      <c r="NO745" s="303"/>
      <c r="NP745" s="303"/>
      <c r="NQ745" s="303"/>
      <c r="NR745" s="303"/>
      <c r="NS745" s="303"/>
      <c r="NT745" s="303"/>
      <c r="NU745" s="303"/>
      <c r="NV745" s="303"/>
      <c r="NW745" s="303"/>
      <c r="NX745" s="303"/>
      <c r="NY745" s="303"/>
      <c r="NZ745" s="303"/>
      <c r="OA745" s="303"/>
      <c r="OB745" s="303"/>
      <c r="OC745" s="303"/>
      <c r="OD745" s="303"/>
      <c r="OE745" s="303"/>
      <c r="OF745" s="303"/>
      <c r="OG745" s="303"/>
      <c r="OH745" s="303"/>
      <c r="OI745" s="303"/>
      <c r="OJ745" s="303"/>
      <c r="OK745" s="303"/>
      <c r="OL745" s="303"/>
      <c r="OM745" s="303"/>
      <c r="ON745" s="303"/>
      <c r="OO745" s="303"/>
      <c r="OP745" s="303"/>
      <c r="OQ745" s="303"/>
      <c r="OR745" s="303"/>
      <c r="OS745" s="303"/>
      <c r="OT745" s="303"/>
      <c r="OU745" s="303"/>
      <c r="OV745" s="303"/>
      <c r="OW745" s="303"/>
      <c r="OX745" s="303"/>
      <c r="OY745" s="303"/>
      <c r="OZ745" s="303"/>
      <c r="PA745" s="303"/>
      <c r="PB745" s="303"/>
      <c r="PC745" s="303"/>
      <c r="PD745" s="303"/>
      <c r="PE745" s="303"/>
      <c r="PF745" s="303"/>
      <c r="PG745" s="303"/>
      <c r="PH745" s="303"/>
      <c r="PI745" s="303"/>
      <c r="PJ745" s="303"/>
      <c r="PK745" s="303"/>
      <c r="PL745" s="303"/>
      <c r="PM745" s="303"/>
      <c r="PN745" s="303"/>
      <c r="PO745" s="303"/>
      <c r="PP745" s="303"/>
      <c r="PQ745" s="303"/>
      <c r="PR745" s="303"/>
      <c r="PS745" s="303"/>
      <c r="PT745" s="303"/>
      <c r="PU745" s="303"/>
      <c r="PV745" s="303"/>
      <c r="PW745" s="303"/>
      <c r="PX745" s="303"/>
      <c r="PY745" s="303"/>
      <c r="PZ745" s="303"/>
      <c r="QA745" s="303"/>
      <c r="QB745" s="303"/>
      <c r="QC745" s="303"/>
      <c r="QD745" s="303"/>
      <c r="QE745" s="303"/>
      <c r="QF745" s="303"/>
      <c r="QG745" s="303"/>
      <c r="QH745" s="303"/>
      <c r="QI745" s="303"/>
      <c r="QJ745" s="303"/>
      <c r="QK745" s="303"/>
      <c r="QL745" s="303"/>
      <c r="QM745" s="303"/>
      <c r="QN745" s="303"/>
      <c r="QO745" s="303"/>
      <c r="QP745" s="303"/>
      <c r="QQ745" s="303"/>
      <c r="QR745" s="303"/>
      <c r="QS745" s="303"/>
      <c r="QT745" s="303"/>
      <c r="QU745" s="303"/>
      <c r="QV745" s="303"/>
      <c r="QW745" s="303"/>
      <c r="QX745" s="303"/>
      <c r="QY745" s="303"/>
      <c r="QZ745" s="303"/>
      <c r="RA745" s="303"/>
      <c r="RB745" s="303"/>
      <c r="RC745" s="303"/>
      <c r="RD745" s="303"/>
      <c r="RE745" s="303"/>
      <c r="RF745" s="303"/>
      <c r="RG745" s="303"/>
      <c r="RH745" s="303"/>
      <c r="RI745" s="303"/>
      <c r="RJ745" s="303"/>
      <c r="RK745" s="303"/>
      <c r="RL745" s="303"/>
      <c r="RM745" s="303"/>
      <c r="RN745" s="303"/>
      <c r="RO745" s="303"/>
      <c r="RP745" s="303"/>
      <c r="RQ745" s="303"/>
      <c r="RR745" s="303"/>
      <c r="RS745" s="303"/>
      <c r="RT745" s="303"/>
      <c r="RU745" s="303"/>
      <c r="RV745" s="303"/>
      <c r="RW745" s="303"/>
      <c r="RX745" s="303"/>
      <c r="RY745" s="303"/>
      <c r="RZ745" s="303"/>
      <c r="SA745" s="303"/>
      <c r="SB745" s="303"/>
      <c r="SC745" s="303"/>
      <c r="SD745" s="303"/>
      <c r="SE745" s="303"/>
      <c r="SF745" s="303"/>
      <c r="SG745" s="303"/>
      <c r="SH745" s="303"/>
      <c r="SI745" s="303"/>
      <c r="SJ745" s="303"/>
      <c r="SK745" s="303"/>
      <c r="SL745" s="303"/>
      <c r="SM745" s="303"/>
      <c r="SN745" s="303"/>
      <c r="SO745" s="303"/>
      <c r="SP745" s="303"/>
      <c r="SQ745" s="303"/>
      <c r="SR745" s="303"/>
      <c r="SS745" s="303"/>
      <c r="ST745" s="303"/>
      <c r="SU745" s="303"/>
      <c r="SV745" s="303"/>
      <c r="SW745" s="303"/>
      <c r="SX745" s="303"/>
      <c r="SY745" s="303"/>
      <c r="SZ745" s="303"/>
      <c r="TA745" s="303"/>
      <c r="TB745" s="303"/>
      <c r="TC745" s="303"/>
      <c r="TD745" s="303"/>
      <c r="TE745" s="303"/>
      <c r="TF745" s="303"/>
      <c r="TG745" s="303"/>
      <c r="TH745" s="303"/>
      <c r="TI745" s="303"/>
      <c r="TJ745" s="303"/>
      <c r="TK745" s="303"/>
      <c r="TL745" s="303"/>
      <c r="TM745" s="303"/>
      <c r="TN745" s="303"/>
      <c r="TO745" s="303"/>
      <c r="TP745" s="303"/>
      <c r="TQ745" s="303"/>
      <c r="TR745" s="303"/>
      <c r="TS745" s="303"/>
      <c r="TT745" s="303"/>
      <c r="TU745" s="303"/>
      <c r="TV745" s="303"/>
      <c r="TW745" s="303"/>
      <c r="TX745" s="303"/>
      <c r="TY745" s="303"/>
      <c r="TZ745" s="303"/>
      <c r="UA745" s="303"/>
      <c r="UB745" s="303"/>
      <c r="UC745" s="303"/>
      <c r="UD745" s="303"/>
      <c r="UE745" s="303"/>
      <c r="UF745" s="303"/>
      <c r="UG745" s="303"/>
      <c r="UH745" s="303"/>
      <c r="UI745" s="303"/>
      <c r="UJ745" s="303"/>
      <c r="UK745" s="303"/>
      <c r="UL745" s="303"/>
      <c r="UM745" s="303"/>
      <c r="UN745" s="303"/>
      <c r="UO745" s="303"/>
      <c r="UP745" s="303"/>
      <c r="UQ745" s="303"/>
      <c r="UR745" s="303"/>
      <c r="US745" s="303"/>
      <c r="UT745" s="303"/>
      <c r="UU745" s="303"/>
      <c r="UV745" s="303"/>
      <c r="UW745" s="303"/>
      <c r="UX745" s="303"/>
      <c r="UY745" s="303"/>
      <c r="UZ745" s="303"/>
      <c r="VA745" s="303"/>
      <c r="VB745" s="303"/>
      <c r="VC745" s="303"/>
      <c r="VD745" s="303"/>
      <c r="VE745" s="303"/>
      <c r="VF745" s="303"/>
      <c r="VG745" s="303"/>
      <c r="VH745" s="303"/>
      <c r="VI745" s="303"/>
      <c r="VJ745" s="303"/>
      <c r="VK745" s="303"/>
      <c r="VL745" s="303"/>
      <c r="VM745" s="303"/>
      <c r="VN745" s="303"/>
      <c r="VO745" s="303"/>
      <c r="VP745" s="303"/>
      <c r="VQ745" s="303"/>
      <c r="VR745" s="303"/>
      <c r="VS745" s="303"/>
      <c r="VT745" s="303"/>
      <c r="VU745" s="303"/>
      <c r="VV745" s="303"/>
      <c r="VW745" s="303"/>
      <c r="VX745" s="303"/>
      <c r="VY745" s="303"/>
      <c r="VZ745" s="303"/>
      <c r="WA745" s="303"/>
      <c r="WB745" s="303"/>
      <c r="WC745" s="303"/>
      <c r="WD745" s="303"/>
      <c r="WE745" s="303"/>
      <c r="WF745" s="303"/>
      <c r="WG745" s="303"/>
      <c r="WH745" s="303"/>
      <c r="WI745" s="303"/>
      <c r="WJ745" s="303"/>
      <c r="WK745" s="303"/>
      <c r="WL745" s="303"/>
      <c r="WM745" s="303"/>
      <c r="WN745" s="303"/>
      <c r="WO745" s="303"/>
      <c r="WP745" s="303"/>
      <c r="WQ745" s="303"/>
      <c r="WR745" s="303"/>
      <c r="WS745" s="303"/>
      <c r="WT745" s="303"/>
      <c r="WU745" s="303"/>
      <c r="WV745" s="303"/>
      <c r="WW745" s="303"/>
      <c r="WX745" s="303"/>
      <c r="WY745" s="303"/>
      <c r="WZ745" s="303"/>
      <c r="XA745" s="303"/>
      <c r="XB745" s="303"/>
      <c r="XC745" s="303"/>
      <c r="XD745" s="303"/>
      <c r="XE745" s="303"/>
      <c r="XF745" s="303"/>
      <c r="XG745" s="303"/>
      <c r="XH745" s="303"/>
      <c r="XI745" s="303"/>
      <c r="XJ745" s="303"/>
      <c r="XK745" s="303"/>
      <c r="XL745" s="303"/>
      <c r="XM745" s="303"/>
      <c r="XN745" s="303"/>
      <c r="XO745" s="303"/>
      <c r="XP745" s="303"/>
      <c r="XQ745" s="303"/>
      <c r="XR745" s="303"/>
      <c r="XS745" s="303"/>
      <c r="XT745" s="303"/>
      <c r="XU745" s="303"/>
      <c r="XV745" s="303"/>
      <c r="XW745" s="303"/>
      <c r="XX745" s="303"/>
      <c r="XY745" s="303"/>
      <c r="XZ745" s="303"/>
      <c r="YA745" s="303"/>
      <c r="YB745" s="303"/>
      <c r="YC745" s="303"/>
      <c r="YD745" s="303"/>
      <c r="YE745" s="303"/>
      <c r="YF745" s="303"/>
      <c r="YG745" s="303"/>
      <c r="YH745" s="303"/>
      <c r="YI745" s="303"/>
      <c r="YJ745" s="303"/>
      <c r="YK745" s="303"/>
      <c r="YL745" s="303"/>
      <c r="YM745" s="303"/>
      <c r="YN745" s="303"/>
      <c r="YO745" s="303"/>
      <c r="YP745" s="303"/>
      <c r="YQ745" s="303"/>
      <c r="YR745" s="303"/>
      <c r="YS745" s="303"/>
      <c r="YT745" s="303"/>
      <c r="YU745" s="303"/>
      <c r="YV745" s="303"/>
      <c r="YW745" s="303"/>
      <c r="YX745" s="303"/>
      <c r="YY745" s="303"/>
      <c r="YZ745" s="303"/>
      <c r="ZA745" s="303"/>
      <c r="ZB745" s="303"/>
      <c r="ZC745" s="303"/>
      <c r="ZD745" s="303"/>
      <c r="ZE745" s="303"/>
      <c r="ZF745" s="303"/>
      <c r="ZG745" s="303"/>
      <c r="ZH745" s="303"/>
      <c r="ZI745" s="303"/>
      <c r="ZJ745" s="303"/>
      <c r="ZK745" s="303"/>
      <c r="ZL745" s="303"/>
      <c r="ZM745" s="303"/>
      <c r="ZN745" s="303"/>
      <c r="ZO745" s="303"/>
      <c r="ZP745" s="303"/>
      <c r="ZQ745" s="303"/>
      <c r="ZR745" s="303"/>
      <c r="ZS745" s="303"/>
      <c r="ZT745" s="303"/>
      <c r="ZU745" s="303"/>
      <c r="ZV745" s="303"/>
      <c r="ZW745" s="303"/>
      <c r="ZX745" s="303"/>
      <c r="ZY745" s="303"/>
      <c r="ZZ745" s="303"/>
      <c r="AAA745" s="303"/>
      <c r="AAB745" s="303"/>
      <c r="AAC745" s="303"/>
      <c r="AAD745" s="303"/>
      <c r="AAE745" s="303"/>
      <c r="AAF745" s="303"/>
      <c r="AAG745" s="303"/>
      <c r="AAH745" s="303"/>
      <c r="AAI745" s="303"/>
      <c r="AAJ745" s="303"/>
      <c r="AAK745" s="303"/>
      <c r="AAL745" s="303"/>
      <c r="AAM745" s="303"/>
      <c r="AAN745" s="303"/>
      <c r="AAO745" s="303"/>
      <c r="AAP745" s="303"/>
      <c r="AAQ745" s="303"/>
      <c r="AAR745" s="303"/>
      <c r="AAS745" s="303"/>
      <c r="AAT745" s="303"/>
      <c r="AAU745" s="303"/>
      <c r="AAV745" s="303"/>
      <c r="AAW745" s="303"/>
      <c r="AAX745" s="303"/>
      <c r="AAY745" s="303"/>
      <c r="AAZ745" s="303"/>
      <c r="ABA745" s="303"/>
      <c r="ABB745" s="303"/>
      <c r="ABC745" s="303"/>
      <c r="ABD745" s="303"/>
      <c r="ABE745" s="303"/>
      <c r="ABF745" s="303"/>
      <c r="ABG745" s="303"/>
      <c r="ABH745" s="303"/>
      <c r="ABI745" s="303"/>
      <c r="ABJ745" s="303"/>
      <c r="ABK745" s="303"/>
      <c r="ABL745" s="303"/>
      <c r="ABM745" s="303"/>
      <c r="ABN745" s="303"/>
      <c r="ABO745" s="303"/>
      <c r="ABP745" s="303"/>
      <c r="ABQ745" s="303"/>
      <c r="ABR745" s="303"/>
      <c r="ABS745" s="303"/>
      <c r="ABT745" s="303"/>
      <c r="ABU745" s="303"/>
      <c r="ABV745" s="303"/>
      <c r="ABW745" s="303"/>
      <c r="ABX745" s="303"/>
      <c r="ABY745" s="303"/>
      <c r="ABZ745" s="303"/>
      <c r="ACA745" s="303"/>
      <c r="ACB745" s="303"/>
      <c r="ACC745" s="303"/>
      <c r="ACD745" s="303"/>
      <c r="ACE745" s="303"/>
      <c r="ACF745" s="303"/>
      <c r="ACG745" s="303"/>
      <c r="ACH745" s="303"/>
      <c r="ACI745" s="303"/>
      <c r="ACJ745" s="303"/>
      <c r="ACK745" s="303"/>
      <c r="ACL745" s="303"/>
      <c r="ACM745" s="303"/>
      <c r="ACN745" s="303"/>
      <c r="ACO745" s="303"/>
      <c r="ACP745" s="303"/>
      <c r="ACQ745" s="303"/>
      <c r="ACR745" s="303"/>
      <c r="ACS745" s="303"/>
      <c r="ACT745" s="303"/>
      <c r="ACU745" s="303"/>
      <c r="ACV745" s="303"/>
      <c r="ACW745" s="303"/>
      <c r="ACX745" s="303"/>
      <c r="ACY745" s="303"/>
      <c r="ACZ745" s="303"/>
      <c r="ADA745" s="303"/>
      <c r="ADB745" s="303"/>
      <c r="ADC745" s="303"/>
      <c r="ADD745" s="303"/>
      <c r="ADE745" s="303"/>
      <c r="ADF745" s="303"/>
      <c r="ADG745" s="303"/>
      <c r="ADH745" s="303"/>
      <c r="ADI745" s="303"/>
      <c r="ADJ745" s="303"/>
      <c r="ADK745" s="303"/>
      <c r="ADL745" s="303"/>
      <c r="ADM745" s="303"/>
      <c r="ADN745" s="303"/>
      <c r="ADO745" s="303"/>
      <c r="ADP745" s="303"/>
      <c r="ADQ745" s="303"/>
      <c r="ADR745" s="303"/>
      <c r="ADS745" s="303"/>
      <c r="ADT745" s="303"/>
      <c r="ADU745" s="303"/>
      <c r="ADV745" s="303"/>
      <c r="ADW745" s="303"/>
      <c r="ADX745" s="303"/>
      <c r="ADY745" s="303"/>
      <c r="ADZ745" s="303"/>
      <c r="AEA745" s="303"/>
      <c r="AEB745" s="303"/>
      <c r="AEC745" s="303"/>
      <c r="AED745" s="303"/>
      <c r="AEE745" s="303"/>
      <c r="AEF745" s="303"/>
      <c r="AEG745" s="303"/>
      <c r="AEH745" s="303"/>
      <c r="AEI745" s="303"/>
      <c r="AEJ745" s="303"/>
      <c r="AEK745" s="303"/>
      <c r="AEL745" s="303"/>
      <c r="AEM745" s="303"/>
      <c r="AEN745" s="303"/>
      <c r="AEO745" s="303"/>
      <c r="AEP745" s="303"/>
      <c r="AEQ745" s="303"/>
      <c r="AER745" s="303"/>
      <c r="AES745" s="303"/>
      <c r="AET745" s="303"/>
      <c r="AEU745" s="303"/>
      <c r="AEV745" s="303"/>
      <c r="AEW745" s="303"/>
      <c r="AEX745" s="303"/>
      <c r="AEY745" s="303"/>
      <c r="AEZ745" s="303"/>
      <c r="AFA745" s="303"/>
      <c r="AFB745" s="303"/>
      <c r="AFC745" s="303"/>
      <c r="AFD745" s="303"/>
      <c r="AFE745" s="303"/>
      <c r="AFF745" s="303"/>
      <c r="AFG745" s="303"/>
      <c r="AFH745" s="303"/>
      <c r="AFI745" s="303"/>
      <c r="AFJ745" s="303"/>
      <c r="AFK745" s="303"/>
      <c r="AFL745" s="303"/>
      <c r="AFM745" s="303"/>
      <c r="AFN745" s="303"/>
      <c r="AFO745" s="303"/>
      <c r="AFP745" s="303"/>
      <c r="AFQ745" s="303"/>
      <c r="AFR745" s="303"/>
      <c r="AFS745" s="303"/>
      <c r="AFT745" s="303"/>
      <c r="AFU745" s="303"/>
      <c r="AFV745" s="303"/>
      <c r="AFW745" s="303"/>
      <c r="AFX745" s="303"/>
      <c r="AFY745" s="303"/>
      <c r="AFZ745" s="303"/>
      <c r="AGA745" s="303"/>
      <c r="AGB745" s="303"/>
      <c r="AGC745" s="303"/>
      <c r="AGD745" s="303"/>
      <c r="AGE745" s="303"/>
      <c r="AGF745" s="303"/>
      <c r="AGG745" s="303"/>
      <c r="AGH745" s="303"/>
      <c r="AGI745" s="303"/>
      <c r="AGJ745" s="303"/>
      <c r="AGK745" s="303"/>
      <c r="AGL745" s="303"/>
      <c r="AGM745" s="303"/>
      <c r="AGN745" s="303"/>
      <c r="AGO745" s="303"/>
      <c r="AGP745" s="303"/>
      <c r="AGQ745" s="303"/>
      <c r="AGR745" s="303"/>
      <c r="AGS745" s="303"/>
      <c r="AGT745" s="303"/>
      <c r="AGU745" s="303"/>
      <c r="AGV745" s="303"/>
      <c r="AGW745" s="303"/>
      <c r="AGX745" s="303"/>
      <c r="AGY745" s="303"/>
      <c r="AGZ745" s="303"/>
      <c r="AHA745" s="303"/>
      <c r="AHB745" s="303"/>
      <c r="AHC745" s="303"/>
      <c r="AHD745" s="303"/>
      <c r="AHE745" s="303"/>
      <c r="AHF745" s="303"/>
      <c r="AHG745" s="303"/>
      <c r="AHH745" s="303"/>
      <c r="AHI745" s="303"/>
      <c r="AHJ745" s="303"/>
      <c r="AHK745" s="303"/>
      <c r="AHL745" s="303"/>
      <c r="AHM745" s="303"/>
      <c r="AHN745" s="303"/>
      <c r="AHO745" s="303"/>
      <c r="AHP745" s="303"/>
      <c r="AHQ745" s="303"/>
      <c r="AHR745" s="303"/>
      <c r="AHS745" s="303"/>
      <c r="AHT745" s="303"/>
      <c r="AHU745" s="303"/>
      <c r="AHV745" s="303"/>
      <c r="AHW745" s="303"/>
      <c r="AHX745" s="303"/>
      <c r="AHY745" s="303"/>
      <c r="AHZ745" s="303"/>
      <c r="AIA745" s="303"/>
      <c r="AIB745" s="303"/>
      <c r="AIC745" s="303"/>
      <c r="AID745" s="303"/>
      <c r="AIE745" s="303"/>
      <c r="AIF745" s="303"/>
      <c r="AIG745" s="303"/>
      <c r="AIH745" s="303"/>
      <c r="AII745" s="303"/>
      <c r="AIJ745" s="303"/>
      <c r="AIK745" s="303"/>
      <c r="AIL745" s="303"/>
      <c r="AIM745" s="303"/>
      <c r="AIN745" s="303"/>
      <c r="AIO745" s="303"/>
      <c r="AIP745" s="303"/>
      <c r="AIQ745" s="303"/>
      <c r="AIR745" s="303"/>
      <c r="AIS745" s="303"/>
      <c r="AIT745" s="303"/>
      <c r="AIU745" s="303"/>
      <c r="AIV745" s="303"/>
      <c r="AIW745" s="303"/>
      <c r="AIX745" s="303"/>
      <c r="AIY745" s="303"/>
      <c r="AIZ745" s="303"/>
      <c r="AJA745" s="303"/>
      <c r="AJB745" s="303"/>
      <c r="AJC745" s="303"/>
      <c r="AJD745" s="303"/>
      <c r="AJE745" s="303"/>
      <c r="AJF745" s="303"/>
      <c r="AJG745" s="303"/>
      <c r="AJH745" s="303"/>
      <c r="AJI745" s="303"/>
      <c r="AJJ745" s="303"/>
      <c r="AJK745" s="303"/>
      <c r="AJL745" s="303"/>
      <c r="AJM745" s="303"/>
      <c r="AJN745" s="303"/>
      <c r="AJO745" s="303"/>
      <c r="AJP745" s="303"/>
      <c r="AJQ745" s="303"/>
      <c r="AJR745" s="303"/>
      <c r="AJS745" s="303"/>
      <c r="AJT745" s="303"/>
      <c r="AJU745" s="303"/>
      <c r="AJV745" s="303"/>
      <c r="AJW745" s="303"/>
      <c r="AJX745" s="303"/>
      <c r="AJY745" s="303"/>
      <c r="AJZ745" s="303"/>
      <c r="AKA745" s="303"/>
      <c r="AKB745" s="303"/>
      <c r="AKC745" s="303"/>
      <c r="AKD745" s="303"/>
      <c r="AKE745" s="303"/>
      <c r="AKF745" s="303"/>
      <c r="AKG745" s="303"/>
      <c r="AKH745" s="303"/>
      <c r="AKI745" s="303"/>
      <c r="AKJ745" s="303"/>
      <c r="AKK745" s="303"/>
      <c r="AKL745" s="303"/>
      <c r="AKM745" s="303"/>
      <c r="AKN745" s="303"/>
      <c r="AKO745" s="303"/>
      <c r="AKP745" s="303"/>
      <c r="AKQ745" s="303"/>
      <c r="AKR745" s="303"/>
      <c r="AKS745" s="303"/>
      <c r="AKT745" s="303"/>
      <c r="AKU745" s="303"/>
      <c r="AKV745" s="303"/>
      <c r="AKW745" s="303"/>
      <c r="AKX745" s="303"/>
      <c r="AKY745" s="303"/>
      <c r="AKZ745" s="303"/>
      <c r="ALA745" s="303"/>
      <c r="ALB745" s="303"/>
      <c r="ALC745" s="303"/>
      <c r="ALD745" s="303"/>
      <c r="ALE745" s="303"/>
      <c r="ALF745" s="303"/>
      <c r="ALG745" s="303"/>
      <c r="ALH745" s="303"/>
      <c r="ALI745" s="303"/>
      <c r="ALJ745" s="303"/>
      <c r="ALK745" s="303"/>
      <c r="ALL745" s="303"/>
      <c r="ALM745" s="303"/>
      <c r="ALN745" s="303"/>
      <c r="ALO745" s="303"/>
      <c r="ALP745" s="303"/>
      <c r="ALQ745" s="303"/>
      <c r="ALR745" s="303"/>
      <c r="ALS745" s="303"/>
      <c r="ALT745" s="303"/>
      <c r="ALU745" s="303"/>
      <c r="ALV745" s="303"/>
      <c r="ALW745" s="303"/>
      <c r="ALX745" s="303"/>
      <c r="ALY745" s="303"/>
      <c r="ALZ745" s="303"/>
      <c r="AMA745" s="303"/>
      <c r="AMB745" s="303"/>
      <c r="AMC745" s="303"/>
      <c r="AMD745" s="303"/>
      <c r="AME745" s="303"/>
      <c r="AMF745" s="303"/>
      <c r="AMG745" s="303"/>
      <c r="AMH745" s="303"/>
      <c r="AMI745" s="303"/>
      <c r="AMJ745" s="303"/>
      <c r="AMK745" s="303"/>
      <c r="AML745" s="303"/>
      <c r="AMM745" s="303"/>
      <c r="AMN745" s="303"/>
      <c r="AMO745" s="303"/>
      <c r="AMP745" s="303"/>
      <c r="AMQ745" s="303"/>
      <c r="AMR745" s="303"/>
      <c r="AMS745" s="303"/>
      <c r="AMT745" s="303"/>
      <c r="AMU745" s="303"/>
      <c r="AMV745" s="303"/>
      <c r="AMW745" s="303"/>
      <c r="AMX745" s="303"/>
      <c r="AMY745" s="303"/>
      <c r="AMZ745" s="303"/>
      <c r="ANA745" s="303"/>
      <c r="ANB745" s="303"/>
      <c r="ANC745" s="303"/>
      <c r="AND745" s="303"/>
      <c r="ANE745" s="303"/>
      <c r="ANF745" s="303"/>
      <c r="ANG745" s="303"/>
      <c r="ANH745" s="303"/>
      <c r="ANI745" s="303"/>
      <c r="ANJ745" s="303"/>
      <c r="ANK745" s="303"/>
      <c r="ANL745" s="303"/>
      <c r="ANM745" s="303"/>
      <c r="ANN745" s="303"/>
      <c r="ANO745" s="303"/>
      <c r="ANP745" s="303"/>
      <c r="ANQ745" s="303"/>
      <c r="ANR745" s="303"/>
      <c r="ANS745" s="303"/>
      <c r="ANT745" s="303"/>
      <c r="ANU745" s="303"/>
      <c r="ANV745" s="303"/>
      <c r="ANW745" s="303"/>
      <c r="ANX745" s="303"/>
      <c r="ANY745" s="303"/>
      <c r="ANZ745" s="303"/>
      <c r="AOA745" s="303"/>
      <c r="AOB745" s="303"/>
      <c r="AOC745" s="303"/>
      <c r="AOD745" s="303"/>
      <c r="AOE745" s="303"/>
      <c r="AOF745" s="303"/>
      <c r="AOG745" s="303"/>
      <c r="AOH745" s="303"/>
      <c r="AOI745" s="303"/>
      <c r="AOJ745" s="303"/>
      <c r="AOK745" s="303"/>
      <c r="AOL745" s="303"/>
      <c r="AOM745" s="303"/>
      <c r="AON745" s="303"/>
      <c r="AOO745" s="303"/>
      <c r="AOP745" s="303"/>
      <c r="AOQ745" s="303"/>
      <c r="AOR745" s="303"/>
      <c r="AOS745" s="303"/>
      <c r="AOT745" s="303"/>
      <c r="AOU745" s="303"/>
      <c r="AOV745" s="303"/>
      <c r="AOW745" s="303"/>
      <c r="AOX745" s="303"/>
      <c r="AOY745" s="303"/>
      <c r="AOZ745" s="303"/>
      <c r="APA745" s="303"/>
      <c r="APB745" s="303"/>
      <c r="APC745" s="303"/>
      <c r="APD745" s="303"/>
      <c r="APE745" s="303"/>
      <c r="APF745" s="303"/>
      <c r="APG745" s="303"/>
      <c r="APH745" s="303"/>
      <c r="API745" s="303"/>
      <c r="APJ745" s="303"/>
      <c r="APK745" s="303"/>
      <c r="APL745" s="303"/>
      <c r="APM745" s="303"/>
      <c r="APN745" s="303"/>
      <c r="APO745" s="303"/>
      <c r="APP745" s="303"/>
      <c r="APQ745" s="303"/>
      <c r="APR745" s="303"/>
      <c r="APS745" s="303"/>
      <c r="APT745" s="303"/>
      <c r="APU745" s="303"/>
      <c r="APV745" s="303"/>
      <c r="APW745" s="303"/>
      <c r="APX745" s="303"/>
      <c r="APY745" s="303"/>
      <c r="APZ745" s="303"/>
      <c r="AQA745" s="303"/>
      <c r="AQB745" s="303"/>
      <c r="AQC745" s="303"/>
      <c r="AQD745" s="303"/>
      <c r="AQE745" s="303"/>
      <c r="AQF745" s="303"/>
      <c r="AQG745" s="303"/>
      <c r="AQH745" s="303"/>
      <c r="AQI745" s="303"/>
      <c r="AQJ745" s="303"/>
      <c r="AQK745" s="303"/>
      <c r="AQL745" s="303"/>
      <c r="AQM745" s="303"/>
      <c r="AQN745" s="303"/>
      <c r="AQO745" s="303"/>
      <c r="AQP745" s="303"/>
      <c r="AQQ745" s="303"/>
      <c r="AQR745" s="303"/>
      <c r="AQS745" s="303"/>
      <c r="AQT745" s="303"/>
      <c r="AQU745" s="303"/>
      <c r="AQV745" s="303"/>
      <c r="AQW745" s="303"/>
      <c r="AQX745" s="303"/>
      <c r="AQY745" s="303"/>
      <c r="AQZ745" s="303"/>
      <c r="ARA745" s="303"/>
      <c r="ARB745" s="303"/>
      <c r="ARC745" s="303"/>
      <c r="ARD745" s="303"/>
      <c r="ARE745" s="303"/>
      <c r="ARF745" s="303"/>
      <c r="ARG745" s="303"/>
      <c r="ARH745" s="303"/>
      <c r="ARI745" s="303"/>
      <c r="ARJ745" s="303"/>
      <c r="ARK745" s="303"/>
      <c r="ARL745" s="303"/>
      <c r="ARM745" s="303"/>
      <c r="ARN745" s="303"/>
      <c r="ARO745" s="303"/>
      <c r="ARP745" s="303"/>
      <c r="ARQ745" s="303"/>
      <c r="ARR745" s="303"/>
      <c r="ARS745" s="303"/>
      <c r="ART745" s="303"/>
      <c r="ARU745" s="303"/>
      <c r="ARV745" s="303"/>
      <c r="ARW745" s="303"/>
      <c r="ARX745" s="303"/>
      <c r="ARY745" s="303"/>
      <c r="ARZ745" s="303"/>
      <c r="ASA745" s="303"/>
      <c r="ASB745" s="303"/>
      <c r="ASC745" s="303"/>
      <c r="ASD745" s="303"/>
      <c r="ASE745" s="303"/>
      <c r="ASF745" s="303"/>
      <c r="ASG745" s="303"/>
      <c r="ASH745" s="303"/>
      <c r="ASI745" s="303"/>
      <c r="ASJ745" s="303"/>
      <c r="ASK745" s="303"/>
      <c r="ASL745" s="303"/>
      <c r="ASM745" s="303"/>
      <c r="ASN745" s="303"/>
      <c r="ASO745" s="303"/>
      <c r="ASP745" s="303"/>
      <c r="ASQ745" s="303"/>
      <c r="ASR745" s="303"/>
      <c r="ASS745" s="303"/>
      <c r="AST745" s="303"/>
      <c r="ASU745" s="303"/>
      <c r="ASV745" s="303"/>
      <c r="ASW745" s="303"/>
      <c r="ASX745" s="303"/>
      <c r="ASY745" s="303"/>
      <c r="ASZ745" s="303"/>
      <c r="ATA745" s="303"/>
      <c r="ATB745" s="303"/>
      <c r="ATC745" s="303"/>
      <c r="ATD745" s="303"/>
      <c r="ATE745" s="303"/>
      <c r="ATF745" s="303"/>
      <c r="ATG745" s="303"/>
      <c r="ATH745" s="303"/>
      <c r="ATI745" s="303"/>
      <c r="ATJ745" s="303"/>
      <c r="ATK745" s="303"/>
      <c r="ATL745" s="303"/>
      <c r="ATM745" s="303"/>
      <c r="ATN745" s="303"/>
      <c r="ATO745" s="303"/>
      <c r="ATP745" s="303"/>
      <c r="ATQ745" s="303"/>
      <c r="ATR745" s="303"/>
      <c r="ATS745" s="303"/>
      <c r="ATT745" s="303"/>
      <c r="ATU745" s="303"/>
      <c r="ATV745" s="303"/>
      <c r="ATW745" s="303"/>
      <c r="ATX745" s="303"/>
      <c r="ATY745" s="303"/>
      <c r="ATZ745" s="303"/>
      <c r="AUA745" s="303"/>
      <c r="AUB745" s="303"/>
      <c r="AUC745" s="303"/>
      <c r="AUD745" s="303"/>
      <c r="AUE745" s="303"/>
      <c r="AUF745" s="303"/>
      <c r="AUG745" s="303"/>
      <c r="AUH745" s="303"/>
      <c r="AUI745" s="303"/>
      <c r="AUJ745" s="303"/>
      <c r="AUK745" s="303"/>
      <c r="AUL745" s="303"/>
      <c r="AUM745" s="303"/>
      <c r="AUN745" s="303"/>
      <c r="AUO745" s="303"/>
      <c r="AUP745" s="303"/>
      <c r="AUQ745" s="303"/>
      <c r="AUR745" s="303"/>
      <c r="AUS745" s="303"/>
      <c r="AUT745" s="303"/>
      <c r="AUU745" s="303"/>
      <c r="AUV745" s="303"/>
      <c r="AUW745" s="303"/>
      <c r="AUX745" s="303"/>
      <c r="AUY745" s="303"/>
      <c r="AUZ745" s="303"/>
      <c r="AVA745" s="303"/>
      <c r="AVB745" s="303"/>
      <c r="AVC745" s="303"/>
      <c r="AVD745" s="303"/>
      <c r="AVE745" s="303"/>
      <c r="AVF745" s="303"/>
      <c r="AVG745" s="303"/>
      <c r="AVH745" s="303"/>
      <c r="AVI745" s="303"/>
      <c r="AVJ745" s="303"/>
      <c r="AVK745" s="303"/>
      <c r="AVL745" s="303"/>
      <c r="AVM745" s="303"/>
      <c r="AVN745" s="303"/>
      <c r="AVO745" s="303"/>
      <c r="AVP745" s="303"/>
      <c r="AVQ745" s="303"/>
      <c r="AVR745" s="303"/>
      <c r="AVS745" s="303"/>
      <c r="AVT745" s="303"/>
      <c r="AVU745" s="303"/>
      <c r="AVV745" s="303"/>
      <c r="AVW745" s="303"/>
      <c r="AVX745" s="303"/>
      <c r="AVY745" s="303"/>
      <c r="AVZ745" s="303"/>
      <c r="AWA745" s="303"/>
      <c r="AWB745" s="303"/>
      <c r="AWC745" s="303"/>
      <c r="AWD745" s="303"/>
      <c r="AWE745" s="303"/>
      <c r="AWF745" s="303"/>
      <c r="AWG745" s="303"/>
      <c r="AWH745" s="303"/>
      <c r="AWI745" s="303"/>
      <c r="AWJ745" s="303"/>
      <c r="AWK745" s="303"/>
      <c r="AWL745" s="303"/>
      <c r="AWM745" s="303"/>
      <c r="AWN745" s="303"/>
      <c r="AWO745" s="303"/>
      <c r="AWP745" s="303"/>
      <c r="AWQ745" s="303"/>
      <c r="AWR745" s="303"/>
      <c r="AWS745" s="303"/>
      <c r="AWT745" s="303"/>
      <c r="AWU745" s="303"/>
      <c r="AWV745" s="303"/>
      <c r="AWW745" s="303"/>
      <c r="AWX745" s="303"/>
      <c r="AWY745" s="303"/>
      <c r="AWZ745" s="303"/>
      <c r="AXA745" s="303"/>
      <c r="AXB745" s="303"/>
      <c r="AXC745" s="303"/>
      <c r="AXD745" s="303"/>
      <c r="AXE745" s="303"/>
      <c r="AXF745" s="303"/>
      <c r="AXG745" s="303"/>
      <c r="AXH745" s="303"/>
      <c r="AXI745" s="303"/>
      <c r="AXJ745" s="303"/>
      <c r="AXK745" s="303"/>
      <c r="AXL745" s="303"/>
      <c r="AXM745" s="303"/>
      <c r="AXN745" s="303"/>
      <c r="AXO745" s="303"/>
      <c r="AXP745" s="303"/>
      <c r="AXQ745" s="303"/>
      <c r="AXR745" s="303"/>
      <c r="AXS745" s="303"/>
      <c r="AXT745" s="303"/>
      <c r="AXU745" s="303"/>
      <c r="AXV745" s="303"/>
      <c r="AXW745" s="303"/>
      <c r="AXX745" s="303"/>
      <c r="AXY745" s="303"/>
      <c r="AXZ745" s="303"/>
      <c r="AYA745" s="303"/>
      <c r="AYB745" s="303"/>
      <c r="AYC745" s="303"/>
      <c r="AYD745" s="303"/>
      <c r="AYE745" s="303"/>
      <c r="AYF745" s="303"/>
      <c r="AYG745" s="303"/>
      <c r="AYH745" s="303"/>
      <c r="AYI745" s="303"/>
      <c r="AYJ745" s="303"/>
      <c r="AYK745" s="303"/>
      <c r="AYL745" s="303"/>
      <c r="AYM745" s="303"/>
      <c r="AYN745" s="303"/>
      <c r="AYO745" s="303"/>
      <c r="AYP745" s="303"/>
      <c r="AYQ745" s="303"/>
      <c r="AYR745" s="303"/>
      <c r="AYS745" s="303"/>
      <c r="AYT745" s="303"/>
      <c r="AYU745" s="303"/>
      <c r="AYV745" s="303"/>
      <c r="AYW745" s="303"/>
      <c r="AYX745" s="303"/>
      <c r="AYY745" s="303"/>
      <c r="AYZ745" s="303"/>
      <c r="AZA745" s="303"/>
      <c r="AZB745" s="303"/>
      <c r="AZC745" s="303"/>
      <c r="AZD745" s="303"/>
      <c r="AZE745" s="303"/>
      <c r="AZF745" s="303"/>
      <c r="AZG745" s="303"/>
      <c r="AZH745" s="303"/>
      <c r="AZI745" s="303"/>
      <c r="AZJ745" s="303"/>
      <c r="AZK745" s="303"/>
      <c r="AZL745" s="303"/>
      <c r="AZM745" s="303"/>
      <c r="AZN745" s="303"/>
      <c r="AZO745" s="303"/>
      <c r="AZP745" s="303"/>
      <c r="AZQ745" s="303"/>
      <c r="AZR745" s="303"/>
      <c r="AZS745" s="303"/>
      <c r="AZT745" s="303"/>
      <c r="AZU745" s="303"/>
      <c r="AZV745" s="303"/>
      <c r="AZW745" s="303"/>
      <c r="AZX745" s="303"/>
      <c r="AZY745" s="303"/>
      <c r="AZZ745" s="303"/>
      <c r="BAA745" s="303"/>
      <c r="BAB745" s="303"/>
      <c r="BAC745" s="303"/>
      <c r="BAD745" s="303"/>
      <c r="BAE745" s="303"/>
      <c r="BAF745" s="303"/>
      <c r="BAG745" s="303"/>
      <c r="BAH745" s="303"/>
      <c r="BAI745" s="303"/>
      <c r="BAJ745" s="303"/>
      <c r="BAK745" s="303"/>
      <c r="BAL745" s="303"/>
      <c r="BAM745" s="303"/>
      <c r="BAN745" s="303"/>
      <c r="BAO745" s="303"/>
      <c r="BAP745" s="303"/>
      <c r="BAQ745" s="303"/>
      <c r="BAR745" s="303"/>
      <c r="BAS745" s="303"/>
      <c r="BAT745" s="303"/>
      <c r="BAU745" s="303"/>
      <c r="BAV745" s="303"/>
      <c r="BAW745" s="303"/>
      <c r="BAX745" s="303"/>
      <c r="BAY745" s="303"/>
      <c r="BAZ745" s="303"/>
      <c r="BBA745" s="303"/>
      <c r="BBB745" s="303"/>
      <c r="BBC745" s="303"/>
      <c r="BBD745" s="303"/>
      <c r="BBE745" s="303"/>
      <c r="BBF745" s="303"/>
      <c r="BBG745" s="303"/>
      <c r="BBH745" s="303"/>
      <c r="BBI745" s="303"/>
      <c r="BBJ745" s="303"/>
      <c r="BBK745" s="303"/>
      <c r="BBL745" s="303"/>
      <c r="BBM745" s="303"/>
      <c r="BBN745" s="303"/>
      <c r="BBO745" s="303"/>
      <c r="BBP745" s="303"/>
      <c r="BBQ745" s="303"/>
      <c r="BBR745" s="303"/>
      <c r="BBS745" s="303"/>
      <c r="BBT745" s="303"/>
      <c r="BBU745" s="303"/>
      <c r="BBV745" s="303"/>
      <c r="BBW745" s="303"/>
      <c r="BBX745" s="303"/>
      <c r="BBY745" s="303"/>
      <c r="BBZ745" s="303"/>
      <c r="BCA745" s="303"/>
      <c r="BCB745" s="303"/>
      <c r="BCC745" s="303"/>
      <c r="BCD745" s="303"/>
      <c r="BCE745" s="303"/>
      <c r="BCF745" s="303"/>
      <c r="BCG745" s="303"/>
      <c r="BCH745" s="303"/>
      <c r="BCI745" s="303"/>
      <c r="BCJ745" s="303"/>
      <c r="BCK745" s="303"/>
      <c r="BCL745" s="303"/>
      <c r="BCM745" s="303"/>
      <c r="BCN745" s="303"/>
      <c r="BCO745" s="303"/>
      <c r="BCP745" s="303"/>
      <c r="BCQ745" s="303"/>
      <c r="BCR745" s="303"/>
      <c r="BCS745" s="303"/>
      <c r="BCT745" s="303"/>
      <c r="BCU745" s="303"/>
      <c r="BCV745" s="303"/>
      <c r="BCW745" s="303"/>
      <c r="BCX745" s="303"/>
      <c r="BCY745" s="303"/>
      <c r="BCZ745" s="303"/>
      <c r="BDA745" s="303"/>
      <c r="BDB745" s="303"/>
      <c r="BDC745" s="303"/>
      <c r="BDD745" s="303"/>
      <c r="BDE745" s="303"/>
      <c r="BDF745" s="303"/>
      <c r="BDG745" s="303"/>
      <c r="BDH745" s="303"/>
      <c r="BDI745" s="303"/>
      <c r="BDJ745" s="303"/>
      <c r="BDK745" s="303"/>
      <c r="BDL745" s="303"/>
      <c r="BDM745" s="303"/>
      <c r="BDN745" s="303"/>
      <c r="BDO745" s="303"/>
      <c r="BDP745" s="303"/>
      <c r="BDQ745" s="303"/>
      <c r="BDR745" s="303"/>
      <c r="BDS745" s="303"/>
      <c r="BDT745" s="303"/>
      <c r="BDU745" s="303"/>
      <c r="BDV745" s="303"/>
      <c r="BDW745" s="303"/>
      <c r="BDX745" s="303"/>
      <c r="BDY745" s="303"/>
      <c r="BDZ745" s="303"/>
      <c r="BEA745" s="303"/>
      <c r="BEB745" s="303"/>
      <c r="BEC745" s="303"/>
      <c r="BED745" s="303"/>
      <c r="BEE745" s="303"/>
      <c r="BEF745" s="303"/>
      <c r="BEG745" s="303"/>
      <c r="BEH745" s="303"/>
      <c r="BEI745" s="303"/>
      <c r="BEJ745" s="303"/>
      <c r="BEK745" s="303"/>
      <c r="BEL745" s="303"/>
      <c r="BEM745" s="303"/>
      <c r="BEN745" s="303"/>
      <c r="BEO745" s="303"/>
      <c r="BEP745" s="303"/>
      <c r="BEQ745" s="303"/>
      <c r="BER745" s="303"/>
      <c r="BES745" s="303"/>
      <c r="BET745" s="303"/>
      <c r="BEU745" s="303"/>
      <c r="BEV745" s="303"/>
      <c r="BEW745" s="303"/>
      <c r="BEX745" s="303"/>
      <c r="BEY745" s="303"/>
      <c r="BEZ745" s="303"/>
      <c r="BFA745" s="303"/>
      <c r="BFB745" s="303"/>
      <c r="BFC745" s="303"/>
      <c r="BFD745" s="303"/>
      <c r="BFE745" s="303"/>
      <c r="BFF745" s="303"/>
      <c r="BFG745" s="303"/>
      <c r="BFH745" s="303"/>
      <c r="BFI745" s="303"/>
      <c r="BFJ745" s="303"/>
      <c r="BFK745" s="303"/>
      <c r="BFL745" s="303"/>
      <c r="BFM745" s="303"/>
      <c r="BFN745" s="303"/>
      <c r="BFO745" s="303"/>
      <c r="BFP745" s="303"/>
      <c r="BFQ745" s="303"/>
      <c r="BFR745" s="303"/>
      <c r="BFS745" s="303"/>
      <c r="BFT745" s="303"/>
      <c r="BFU745" s="303"/>
      <c r="BFV745" s="303"/>
      <c r="BFW745" s="303"/>
      <c r="BFX745" s="303"/>
      <c r="BFY745" s="303"/>
      <c r="BFZ745" s="303"/>
      <c r="BGA745" s="303"/>
      <c r="BGB745" s="303"/>
      <c r="BGC745" s="303"/>
      <c r="BGD745" s="303"/>
      <c r="BGE745" s="303"/>
      <c r="BGF745" s="303"/>
      <c r="BGG745" s="303"/>
      <c r="BGH745" s="303"/>
      <c r="BGI745" s="303"/>
      <c r="BGJ745" s="303"/>
      <c r="BGK745" s="303"/>
      <c r="BGL745" s="303"/>
      <c r="BGM745" s="303"/>
      <c r="BGN745" s="303"/>
      <c r="BGO745" s="303"/>
      <c r="BGP745" s="303"/>
      <c r="BGQ745" s="303"/>
      <c r="BGR745" s="303"/>
      <c r="BGS745" s="303"/>
      <c r="BGT745" s="303"/>
      <c r="BGU745" s="303"/>
      <c r="BGV745" s="303"/>
      <c r="BGW745" s="303"/>
      <c r="BGX745" s="303"/>
      <c r="BGY745" s="303"/>
      <c r="BGZ745" s="303"/>
      <c r="BHA745" s="303"/>
      <c r="BHB745" s="303"/>
      <c r="BHC745" s="303"/>
      <c r="BHD745" s="303"/>
      <c r="BHE745" s="303"/>
      <c r="BHF745" s="303"/>
      <c r="BHG745" s="303"/>
      <c r="BHH745" s="303"/>
      <c r="BHI745" s="303"/>
      <c r="BHJ745" s="303"/>
      <c r="BHK745" s="303"/>
      <c r="BHL745" s="303"/>
      <c r="BHM745" s="303"/>
      <c r="BHN745" s="303"/>
      <c r="BHO745" s="303"/>
      <c r="BHP745" s="303"/>
      <c r="BHQ745" s="303"/>
      <c r="BHR745" s="303"/>
      <c r="BHS745" s="303"/>
      <c r="BHT745" s="303"/>
      <c r="BHU745" s="303"/>
      <c r="BHV745" s="303"/>
      <c r="BHW745" s="303"/>
      <c r="BHX745" s="303"/>
      <c r="BHY745" s="303"/>
      <c r="BHZ745" s="303"/>
      <c r="BIA745" s="303"/>
      <c r="BIB745" s="303"/>
      <c r="BIC745" s="303"/>
      <c r="BID745" s="303"/>
      <c r="BIE745" s="303"/>
      <c r="BIF745" s="303"/>
      <c r="BIG745" s="303"/>
      <c r="BIH745" s="303"/>
      <c r="BII745" s="303"/>
      <c r="BIJ745" s="303"/>
      <c r="BIK745" s="303"/>
      <c r="BIL745" s="303"/>
      <c r="BIM745" s="303"/>
      <c r="BIN745" s="303"/>
      <c r="BIO745" s="303"/>
      <c r="BIP745" s="303"/>
      <c r="BIQ745" s="303"/>
      <c r="BIR745" s="303"/>
      <c r="BIS745" s="303"/>
      <c r="BIT745" s="303"/>
      <c r="BIU745" s="303"/>
      <c r="BIV745" s="303"/>
      <c r="BIW745" s="303"/>
      <c r="BIX745" s="303"/>
      <c r="BIY745" s="303"/>
      <c r="BIZ745" s="303"/>
      <c r="BJA745" s="303"/>
      <c r="BJB745" s="303"/>
      <c r="BJC745" s="303"/>
      <c r="BJD745" s="303"/>
      <c r="BJE745" s="303"/>
      <c r="BJF745" s="303"/>
      <c r="BJG745" s="303"/>
      <c r="BJH745" s="303"/>
      <c r="BJI745" s="303"/>
      <c r="BJJ745" s="303"/>
      <c r="BJK745" s="303"/>
      <c r="BJL745" s="303"/>
      <c r="BJM745" s="303"/>
      <c r="BJN745" s="303"/>
      <c r="BJO745" s="303"/>
      <c r="BJP745" s="303"/>
      <c r="BJQ745" s="303"/>
      <c r="BJR745" s="303"/>
      <c r="BJS745" s="303"/>
      <c r="BJT745" s="303"/>
      <c r="BJU745" s="303"/>
      <c r="BJV745" s="303"/>
      <c r="BJW745" s="303"/>
      <c r="BJX745" s="303"/>
      <c r="BJY745" s="303"/>
      <c r="BJZ745" s="303"/>
      <c r="BKA745" s="303"/>
      <c r="BKB745" s="303"/>
      <c r="BKC745" s="303"/>
      <c r="BKD745" s="303"/>
      <c r="BKE745" s="303"/>
      <c r="BKF745" s="303"/>
      <c r="BKG745" s="303"/>
      <c r="BKH745" s="303"/>
      <c r="BKI745" s="303"/>
      <c r="BKJ745" s="303"/>
      <c r="BKK745" s="303"/>
      <c r="BKL745" s="303"/>
      <c r="BKM745" s="303"/>
      <c r="BKN745" s="303"/>
      <c r="BKO745" s="303"/>
      <c r="BKP745" s="303"/>
      <c r="BKQ745" s="303"/>
      <c r="BKR745" s="303"/>
      <c r="BKS745" s="303"/>
      <c r="BKT745" s="303"/>
      <c r="BKU745" s="303"/>
      <c r="BKV745" s="303"/>
      <c r="BKW745" s="303"/>
      <c r="BKX745" s="303"/>
      <c r="BKY745" s="303"/>
      <c r="BKZ745" s="303"/>
      <c r="BLA745" s="303"/>
      <c r="BLB745" s="303"/>
      <c r="BLC745" s="303"/>
      <c r="BLD745" s="303"/>
      <c r="BLE745" s="303"/>
      <c r="BLF745" s="303"/>
      <c r="BLG745" s="303"/>
      <c r="BLH745" s="303"/>
      <c r="BLI745" s="303"/>
      <c r="BLJ745" s="303"/>
      <c r="BLK745" s="303"/>
      <c r="BLL745" s="303"/>
      <c r="BLM745" s="303"/>
      <c r="BLN745" s="303"/>
      <c r="BLO745" s="303"/>
      <c r="BLP745" s="303"/>
      <c r="BLQ745" s="303"/>
      <c r="BLR745" s="303"/>
      <c r="BLS745" s="303"/>
      <c r="BLT745" s="303"/>
      <c r="BLU745" s="303"/>
      <c r="BLV745" s="303"/>
      <c r="BLW745" s="303"/>
      <c r="BLX745" s="303"/>
      <c r="BLY745" s="303"/>
      <c r="BLZ745" s="303"/>
      <c r="BMA745" s="303"/>
      <c r="BMB745" s="303"/>
      <c r="BMC745" s="303"/>
      <c r="BMD745" s="303"/>
      <c r="BME745" s="303"/>
      <c r="BMF745" s="303"/>
      <c r="BMG745" s="303"/>
      <c r="BMH745" s="303"/>
      <c r="BMI745" s="303"/>
      <c r="BMJ745" s="303"/>
      <c r="BMK745" s="303"/>
      <c r="BML745" s="303"/>
      <c r="BMM745" s="303"/>
      <c r="BMN745" s="303"/>
      <c r="BMO745" s="303"/>
      <c r="BMP745" s="303"/>
      <c r="BMQ745" s="303"/>
      <c r="BMR745" s="303"/>
      <c r="BMS745" s="303"/>
      <c r="BMT745" s="303"/>
      <c r="BMU745" s="303"/>
      <c r="BMV745" s="303"/>
      <c r="BMW745" s="303"/>
      <c r="BMX745" s="303"/>
      <c r="BMY745" s="303"/>
      <c r="BMZ745" s="303"/>
      <c r="BNA745" s="303"/>
      <c r="BNB745" s="303"/>
      <c r="BNC745" s="303"/>
      <c r="BND745" s="303"/>
      <c r="BNE745" s="303"/>
      <c r="BNF745" s="303"/>
      <c r="BNG745" s="303"/>
      <c r="BNH745" s="303"/>
      <c r="BNI745" s="303"/>
      <c r="BNJ745" s="303"/>
      <c r="BNK745" s="303"/>
      <c r="BNL745" s="303"/>
      <c r="BNM745" s="303"/>
      <c r="BNN745" s="303"/>
      <c r="BNO745" s="303"/>
      <c r="BNP745" s="303"/>
      <c r="BNQ745" s="303"/>
      <c r="BNR745" s="303"/>
      <c r="BNS745" s="303"/>
      <c r="BNT745" s="303"/>
      <c r="BNU745" s="303"/>
      <c r="BNV745" s="303"/>
      <c r="BNW745" s="303"/>
      <c r="BNX745" s="303"/>
      <c r="BNY745" s="303"/>
      <c r="BNZ745" s="303"/>
      <c r="BOA745" s="303"/>
      <c r="BOB745" s="303"/>
      <c r="BOC745" s="303"/>
      <c r="BOD745" s="303"/>
      <c r="BOE745" s="303"/>
      <c r="BOF745" s="303"/>
      <c r="BOG745" s="303"/>
      <c r="BOH745" s="303"/>
      <c r="BOI745" s="303"/>
      <c r="BOJ745" s="303"/>
      <c r="BOK745" s="303"/>
      <c r="BOL745" s="303"/>
      <c r="BOM745" s="303"/>
      <c r="BON745" s="303"/>
      <c r="BOO745" s="303"/>
      <c r="BOP745" s="303"/>
      <c r="BOQ745" s="303"/>
      <c r="BOR745" s="303"/>
      <c r="BOS745" s="303"/>
      <c r="BOT745" s="303"/>
      <c r="BOU745" s="303"/>
      <c r="BOV745" s="303"/>
      <c r="BOW745" s="303"/>
      <c r="BOX745" s="303"/>
      <c r="BOY745" s="303"/>
      <c r="BOZ745" s="303"/>
      <c r="BPA745" s="303"/>
      <c r="BPB745" s="303"/>
      <c r="BPC745" s="303"/>
      <c r="BPD745" s="303"/>
      <c r="BPE745" s="303"/>
      <c r="BPF745" s="303"/>
      <c r="BPG745" s="303"/>
      <c r="BPH745" s="303"/>
      <c r="BPI745" s="303"/>
      <c r="BPJ745" s="303"/>
      <c r="BPK745" s="303"/>
      <c r="BPL745" s="303"/>
      <c r="BPM745" s="303"/>
      <c r="BPN745" s="303"/>
      <c r="BPO745" s="303"/>
      <c r="BPP745" s="303"/>
      <c r="BPQ745" s="303"/>
      <c r="BPR745" s="303"/>
      <c r="BPS745" s="303"/>
      <c r="BPT745" s="303"/>
      <c r="BPU745" s="303"/>
      <c r="BPV745" s="303"/>
      <c r="BPW745" s="303"/>
      <c r="BPX745" s="303"/>
      <c r="BPY745" s="303"/>
      <c r="BPZ745" s="303"/>
      <c r="BQA745" s="303"/>
      <c r="BQB745" s="303"/>
      <c r="BQC745" s="303"/>
      <c r="BQD745" s="303"/>
      <c r="BQE745" s="303"/>
      <c r="BQF745" s="303"/>
      <c r="BQG745" s="303"/>
      <c r="BQH745" s="303"/>
      <c r="BQI745" s="303"/>
      <c r="BQJ745" s="303"/>
      <c r="BQK745" s="303"/>
      <c r="BQL745" s="303"/>
      <c r="BQM745" s="303"/>
      <c r="BQN745" s="303"/>
      <c r="BQO745" s="303"/>
      <c r="BQP745" s="303"/>
      <c r="BQQ745" s="303"/>
      <c r="BQR745" s="303"/>
      <c r="BQS745" s="303"/>
      <c r="BQT745" s="303"/>
      <c r="BQU745" s="303"/>
      <c r="BQV745" s="303"/>
      <c r="BQW745" s="303"/>
      <c r="BQX745" s="303"/>
      <c r="BQY745" s="303"/>
      <c r="BQZ745" s="303"/>
      <c r="BRA745" s="303"/>
      <c r="BRB745" s="303"/>
      <c r="BRC745" s="303"/>
      <c r="BRD745" s="303"/>
      <c r="BRE745" s="303"/>
      <c r="BRF745" s="303"/>
      <c r="BRG745" s="303"/>
      <c r="BRH745" s="303"/>
      <c r="BRI745" s="303"/>
      <c r="BRJ745" s="303"/>
      <c r="BRK745" s="303"/>
      <c r="BRL745" s="303"/>
      <c r="BRM745" s="303"/>
      <c r="BRN745" s="303"/>
      <c r="BRO745" s="303"/>
      <c r="BRP745" s="303"/>
      <c r="BRQ745" s="303"/>
      <c r="BRR745" s="303"/>
      <c r="BRS745" s="303"/>
      <c r="BRT745" s="303"/>
      <c r="BRU745" s="303"/>
      <c r="BRV745" s="303"/>
      <c r="BRW745" s="303"/>
      <c r="BRX745" s="303"/>
      <c r="BRY745" s="303"/>
      <c r="BRZ745" s="303"/>
      <c r="BSA745" s="303"/>
      <c r="BSB745" s="303"/>
      <c r="BSC745" s="303"/>
      <c r="BSD745" s="303"/>
      <c r="BSE745" s="303"/>
      <c r="BSF745" s="303"/>
      <c r="BSG745" s="303"/>
      <c r="BSH745" s="303"/>
      <c r="BSI745" s="303"/>
      <c r="BSJ745" s="303"/>
      <c r="BSK745" s="303"/>
      <c r="BSL745" s="303"/>
      <c r="BSM745" s="303"/>
      <c r="BSN745" s="303"/>
      <c r="BSO745" s="303"/>
      <c r="BSP745" s="303"/>
      <c r="BSQ745" s="303"/>
      <c r="BSR745" s="303"/>
      <c r="BSS745" s="303"/>
      <c r="BST745" s="303"/>
      <c r="BSU745" s="303"/>
      <c r="BSV745" s="303"/>
      <c r="BSW745" s="303"/>
      <c r="BSX745" s="303"/>
      <c r="BSY745" s="303"/>
      <c r="BSZ745" s="303"/>
      <c r="BTA745" s="303"/>
      <c r="BTB745" s="303"/>
      <c r="BTC745" s="303"/>
      <c r="BTD745" s="303"/>
      <c r="BTE745" s="303"/>
      <c r="BTF745" s="303"/>
      <c r="BTG745" s="303"/>
      <c r="BTH745" s="303"/>
      <c r="BTI745" s="303"/>
      <c r="BTJ745" s="303"/>
      <c r="BTK745" s="303"/>
      <c r="BTL745" s="303"/>
      <c r="BTM745" s="303"/>
      <c r="BTN745" s="303"/>
      <c r="BTO745" s="303"/>
      <c r="BTP745" s="303"/>
      <c r="BTQ745" s="303"/>
      <c r="BTR745" s="303"/>
      <c r="BTS745" s="303"/>
      <c r="BTT745" s="303"/>
      <c r="BTU745" s="303"/>
      <c r="BTV745" s="303"/>
      <c r="BTW745" s="303"/>
      <c r="BTX745" s="303"/>
      <c r="BTY745" s="303"/>
      <c r="BTZ745" s="303"/>
      <c r="BUA745" s="303"/>
      <c r="BUB745" s="303"/>
      <c r="BUC745" s="303"/>
      <c r="BUD745" s="303"/>
      <c r="BUE745" s="303"/>
      <c r="BUF745" s="303"/>
      <c r="BUG745" s="303"/>
      <c r="BUH745" s="303"/>
      <c r="BUI745" s="303"/>
      <c r="BUJ745" s="303"/>
      <c r="BUK745" s="303"/>
      <c r="BUL745" s="303"/>
      <c r="BUM745" s="303"/>
      <c r="BUN745" s="303"/>
      <c r="BUO745" s="303"/>
      <c r="BUP745" s="303"/>
      <c r="BUQ745" s="303"/>
      <c r="BUR745" s="303"/>
      <c r="BUS745" s="303"/>
      <c r="BUT745" s="303"/>
      <c r="BUU745" s="303"/>
      <c r="BUV745" s="303"/>
      <c r="BUW745" s="303"/>
      <c r="BUX745" s="303"/>
      <c r="BUY745" s="303"/>
      <c r="BUZ745" s="303"/>
      <c r="BVA745" s="303"/>
      <c r="BVB745" s="303"/>
      <c r="BVC745" s="303"/>
      <c r="BVD745" s="303"/>
      <c r="BVE745" s="303"/>
      <c r="BVF745" s="303"/>
      <c r="BVG745" s="303"/>
      <c r="BVH745" s="303"/>
      <c r="BVI745" s="303"/>
      <c r="BVJ745" s="303"/>
      <c r="BVK745" s="303"/>
      <c r="BVL745" s="303"/>
      <c r="BVM745" s="303"/>
      <c r="BVN745" s="303"/>
      <c r="BVO745" s="303"/>
      <c r="BVP745" s="303"/>
      <c r="BVQ745" s="303"/>
      <c r="BVR745" s="303"/>
      <c r="BVS745" s="303"/>
      <c r="BVT745" s="303"/>
      <c r="BVU745" s="303"/>
      <c r="BVV745" s="303"/>
      <c r="BVW745" s="303"/>
      <c r="BVX745" s="303"/>
      <c r="BVY745" s="303"/>
      <c r="BVZ745" s="303"/>
      <c r="BWA745" s="303"/>
      <c r="BWB745" s="303"/>
      <c r="BWC745" s="303"/>
      <c r="BWD745" s="303"/>
      <c r="BWE745" s="303"/>
      <c r="BWF745" s="303"/>
      <c r="BWG745" s="303"/>
      <c r="BWH745" s="303"/>
      <c r="BWI745" s="303"/>
      <c r="BWJ745" s="303"/>
      <c r="BWK745" s="303"/>
      <c r="BWL745" s="303"/>
      <c r="BWM745" s="303"/>
      <c r="BWN745" s="303"/>
      <c r="BWO745" s="303"/>
      <c r="BWP745" s="303"/>
      <c r="BWQ745" s="303"/>
      <c r="BWR745" s="303"/>
      <c r="BWS745" s="303"/>
      <c r="BWT745" s="303"/>
      <c r="BWU745" s="303"/>
      <c r="BWV745" s="303"/>
      <c r="BWW745" s="303"/>
      <c r="BWX745" s="303"/>
      <c r="BWY745" s="303"/>
      <c r="BWZ745" s="303"/>
      <c r="BXA745" s="303"/>
      <c r="BXB745" s="303"/>
      <c r="BXC745" s="303"/>
      <c r="BXD745" s="303"/>
      <c r="BXE745" s="303"/>
      <c r="BXF745" s="303"/>
      <c r="BXG745" s="303"/>
      <c r="BXH745" s="303"/>
      <c r="BXI745" s="303"/>
      <c r="BXJ745" s="303"/>
      <c r="BXK745" s="303"/>
      <c r="BXL745" s="303"/>
      <c r="BXM745" s="303"/>
      <c r="BXN745" s="303"/>
      <c r="BXO745" s="303"/>
      <c r="BXP745" s="303"/>
      <c r="BXQ745" s="303"/>
      <c r="BXR745" s="303"/>
      <c r="BXS745" s="303"/>
      <c r="BXT745" s="303"/>
      <c r="BXU745" s="303"/>
      <c r="BXV745" s="303"/>
      <c r="BXW745" s="303"/>
      <c r="BXX745" s="303"/>
      <c r="BXY745" s="303"/>
      <c r="BXZ745" s="303"/>
      <c r="BYA745" s="303"/>
      <c r="BYB745" s="303"/>
      <c r="BYC745" s="303"/>
      <c r="BYD745" s="303"/>
      <c r="BYE745" s="303"/>
      <c r="BYF745" s="303"/>
      <c r="BYG745" s="303"/>
      <c r="BYH745" s="303"/>
      <c r="BYI745" s="303"/>
      <c r="BYJ745" s="303"/>
      <c r="BYK745" s="303"/>
      <c r="BYL745" s="303"/>
      <c r="BYM745" s="303"/>
      <c r="BYN745" s="303"/>
      <c r="BYO745" s="303"/>
      <c r="BYP745" s="303"/>
      <c r="BYQ745" s="303"/>
      <c r="BYR745" s="303"/>
      <c r="BYS745" s="303"/>
      <c r="BYT745" s="303"/>
      <c r="BYU745" s="303"/>
      <c r="BYV745" s="303"/>
      <c r="BYW745" s="303"/>
      <c r="BYX745" s="303"/>
      <c r="BYY745" s="303"/>
      <c r="BYZ745" s="303"/>
      <c r="BZA745" s="303"/>
      <c r="BZB745" s="303"/>
      <c r="BZC745" s="303"/>
      <c r="BZD745" s="303"/>
      <c r="BZE745" s="303"/>
      <c r="BZF745" s="303"/>
      <c r="BZG745" s="303"/>
      <c r="BZH745" s="303"/>
      <c r="BZI745" s="303"/>
      <c r="BZJ745" s="303"/>
      <c r="BZK745" s="303"/>
      <c r="BZL745" s="303"/>
      <c r="BZM745" s="303"/>
      <c r="BZN745" s="303"/>
      <c r="BZO745" s="303"/>
      <c r="BZP745" s="303"/>
      <c r="BZQ745" s="303"/>
      <c r="BZR745" s="303"/>
      <c r="BZS745" s="303"/>
      <c r="BZT745" s="303"/>
      <c r="BZU745" s="303"/>
      <c r="BZV745" s="303"/>
      <c r="BZW745" s="303"/>
      <c r="BZX745" s="303"/>
      <c r="BZY745" s="303"/>
      <c r="BZZ745" s="303"/>
      <c r="CAA745" s="303"/>
      <c r="CAB745" s="303"/>
      <c r="CAC745" s="303"/>
      <c r="CAD745" s="303"/>
      <c r="CAE745" s="303"/>
      <c r="CAF745" s="303"/>
      <c r="CAG745" s="303"/>
      <c r="CAH745" s="303"/>
      <c r="CAI745" s="303"/>
      <c r="CAJ745" s="303"/>
      <c r="CAK745" s="303"/>
      <c r="CAL745" s="303"/>
      <c r="CAM745" s="303"/>
      <c r="CAN745" s="303"/>
      <c r="CAO745" s="303"/>
      <c r="CAP745" s="303"/>
      <c r="CAQ745" s="303"/>
      <c r="CAR745" s="303"/>
      <c r="CAS745" s="303"/>
      <c r="CAT745" s="303"/>
      <c r="CAU745" s="303"/>
      <c r="CAV745" s="303"/>
      <c r="CAW745" s="303"/>
      <c r="CAX745" s="303"/>
      <c r="CAY745" s="303"/>
      <c r="CAZ745" s="303"/>
      <c r="CBA745" s="303"/>
      <c r="CBB745" s="303"/>
      <c r="CBC745" s="303"/>
      <c r="CBD745" s="303"/>
      <c r="CBE745" s="303"/>
      <c r="CBF745" s="303"/>
      <c r="CBG745" s="303"/>
      <c r="CBH745" s="303"/>
      <c r="CBI745" s="303"/>
      <c r="CBJ745" s="303"/>
      <c r="CBK745" s="303"/>
      <c r="CBL745" s="303"/>
      <c r="CBM745" s="303"/>
      <c r="CBN745" s="303"/>
      <c r="CBO745" s="303"/>
      <c r="CBP745" s="303"/>
      <c r="CBQ745" s="303"/>
      <c r="CBR745" s="303"/>
      <c r="CBS745" s="303"/>
      <c r="CBT745" s="303"/>
      <c r="CBU745" s="303"/>
      <c r="CBV745" s="303"/>
      <c r="CBW745" s="303"/>
      <c r="CBX745" s="303"/>
      <c r="CBY745" s="303"/>
      <c r="CBZ745" s="303"/>
      <c r="CCA745" s="303"/>
      <c r="CCB745" s="303"/>
      <c r="CCC745" s="303"/>
      <c r="CCD745" s="303"/>
      <c r="CCE745" s="303"/>
      <c r="CCF745" s="303"/>
      <c r="CCG745" s="303"/>
      <c r="CCH745" s="303"/>
      <c r="CCI745" s="303"/>
      <c r="CCJ745" s="303"/>
      <c r="CCK745" s="303"/>
      <c r="CCL745" s="303"/>
      <c r="CCM745" s="303"/>
      <c r="CCN745" s="303"/>
      <c r="CCO745" s="303"/>
      <c r="CCP745" s="303"/>
      <c r="CCQ745" s="303"/>
      <c r="CCR745" s="303"/>
      <c r="CCS745" s="303"/>
      <c r="CCT745" s="303"/>
      <c r="CCU745" s="303"/>
      <c r="CCV745" s="303"/>
      <c r="CCW745" s="303"/>
      <c r="CCX745" s="303"/>
      <c r="CCY745" s="303"/>
      <c r="CCZ745" s="303"/>
      <c r="CDA745" s="303"/>
      <c r="CDB745" s="303"/>
      <c r="CDC745" s="303"/>
      <c r="CDD745" s="303"/>
      <c r="CDE745" s="303"/>
      <c r="CDF745" s="303"/>
      <c r="CDG745" s="303"/>
      <c r="CDH745" s="303"/>
      <c r="CDI745" s="303"/>
      <c r="CDJ745" s="303"/>
      <c r="CDK745" s="303"/>
      <c r="CDL745" s="303"/>
      <c r="CDM745" s="303"/>
      <c r="CDN745" s="303"/>
      <c r="CDO745" s="303"/>
      <c r="CDP745" s="303"/>
      <c r="CDQ745" s="303"/>
      <c r="CDR745" s="303"/>
      <c r="CDS745" s="303"/>
      <c r="CDT745" s="303"/>
      <c r="CDU745" s="303"/>
      <c r="CDV745" s="303"/>
      <c r="CDW745" s="303"/>
      <c r="CDX745" s="303"/>
      <c r="CDY745" s="303"/>
      <c r="CDZ745" s="303"/>
      <c r="CEA745" s="303"/>
      <c r="CEB745" s="303"/>
      <c r="CEC745" s="303"/>
      <c r="CED745" s="303"/>
      <c r="CEE745" s="303"/>
      <c r="CEF745" s="303"/>
      <c r="CEG745" s="303"/>
      <c r="CEH745" s="303"/>
      <c r="CEI745" s="303"/>
      <c r="CEJ745" s="303"/>
      <c r="CEK745" s="303"/>
      <c r="CEL745" s="303"/>
      <c r="CEM745" s="303"/>
      <c r="CEN745" s="303"/>
      <c r="CEO745" s="303"/>
      <c r="CEP745" s="303"/>
      <c r="CEQ745" s="303"/>
      <c r="CER745" s="303"/>
      <c r="CES745" s="303"/>
      <c r="CET745" s="303"/>
      <c r="CEU745" s="303"/>
      <c r="CEV745" s="303"/>
      <c r="CEW745" s="303"/>
      <c r="CEX745" s="303"/>
      <c r="CEY745" s="303"/>
      <c r="CEZ745" s="303"/>
      <c r="CFA745" s="303"/>
      <c r="CFB745" s="303"/>
      <c r="CFC745" s="303"/>
      <c r="CFD745" s="303"/>
      <c r="CFE745" s="303"/>
      <c r="CFF745" s="303"/>
      <c r="CFG745" s="303"/>
      <c r="CFH745" s="303"/>
      <c r="CFI745" s="303"/>
      <c r="CFJ745" s="303"/>
      <c r="CFK745" s="303"/>
      <c r="CFL745" s="303"/>
      <c r="CFM745" s="303"/>
      <c r="CFN745" s="303"/>
      <c r="CFO745" s="303"/>
      <c r="CFP745" s="303"/>
      <c r="CFQ745" s="303"/>
      <c r="CFR745" s="303"/>
      <c r="CFS745" s="303"/>
      <c r="CFT745" s="303"/>
      <c r="CFU745" s="303"/>
      <c r="CFV745" s="303"/>
      <c r="CFW745" s="303"/>
      <c r="CFX745" s="303"/>
      <c r="CFY745" s="303"/>
      <c r="CFZ745" s="303"/>
      <c r="CGA745" s="303"/>
      <c r="CGB745" s="303"/>
      <c r="CGC745" s="303"/>
      <c r="CGD745" s="303"/>
      <c r="CGE745" s="303"/>
      <c r="CGF745" s="303"/>
      <c r="CGG745" s="303"/>
      <c r="CGH745" s="303"/>
      <c r="CGI745" s="303"/>
      <c r="CGJ745" s="303"/>
      <c r="CGK745" s="303"/>
      <c r="CGL745" s="303"/>
      <c r="CGM745" s="303"/>
      <c r="CGN745" s="303"/>
      <c r="CGO745" s="303"/>
      <c r="CGP745" s="303"/>
      <c r="CGQ745" s="303"/>
      <c r="CGR745" s="303"/>
      <c r="CGS745" s="303"/>
      <c r="CGT745" s="303"/>
      <c r="CGU745" s="303"/>
      <c r="CGV745" s="303"/>
      <c r="CGW745" s="303"/>
      <c r="CGX745" s="303"/>
      <c r="CGY745" s="303"/>
      <c r="CGZ745" s="303"/>
      <c r="CHA745" s="303"/>
      <c r="CHB745" s="303"/>
      <c r="CHC745" s="303"/>
      <c r="CHD745" s="303"/>
      <c r="CHE745" s="303"/>
      <c r="CHF745" s="303"/>
      <c r="CHG745" s="303"/>
      <c r="CHH745" s="303"/>
      <c r="CHI745" s="303"/>
      <c r="CHJ745" s="303"/>
      <c r="CHK745" s="303"/>
      <c r="CHL745" s="303"/>
      <c r="CHM745" s="303"/>
      <c r="CHN745" s="303"/>
      <c r="CHO745" s="303"/>
      <c r="CHP745" s="303"/>
      <c r="CHQ745" s="303"/>
      <c r="CHR745" s="303"/>
      <c r="CHS745" s="303"/>
      <c r="CHT745" s="303"/>
      <c r="CHU745" s="303"/>
      <c r="CHV745" s="303"/>
      <c r="CHW745" s="303"/>
      <c r="CHX745" s="303"/>
      <c r="CHY745" s="303"/>
      <c r="CHZ745" s="303"/>
      <c r="CIA745" s="303"/>
      <c r="CIB745" s="303"/>
      <c r="CIC745" s="303"/>
      <c r="CID745" s="303"/>
      <c r="CIE745" s="303"/>
      <c r="CIF745" s="303"/>
      <c r="CIG745" s="303"/>
      <c r="CIH745" s="303"/>
      <c r="CII745" s="303"/>
      <c r="CIJ745" s="303"/>
      <c r="CIK745" s="303"/>
      <c r="CIL745" s="303"/>
      <c r="CIM745" s="303"/>
      <c r="CIN745" s="303"/>
      <c r="CIO745" s="303"/>
      <c r="CIP745" s="303"/>
      <c r="CIQ745" s="303"/>
      <c r="CIR745" s="303"/>
      <c r="CIS745" s="303"/>
      <c r="CIT745" s="303"/>
      <c r="CIU745" s="303"/>
      <c r="CIV745" s="303"/>
      <c r="CIW745" s="303"/>
      <c r="CIX745" s="303"/>
      <c r="CIY745" s="303"/>
      <c r="CIZ745" s="303"/>
      <c r="CJA745" s="303"/>
      <c r="CJB745" s="303"/>
      <c r="CJC745" s="303"/>
      <c r="CJD745" s="303"/>
      <c r="CJE745" s="303"/>
      <c r="CJF745" s="303"/>
      <c r="CJG745" s="303"/>
      <c r="CJH745" s="303"/>
      <c r="CJI745" s="303"/>
      <c r="CJJ745" s="303"/>
      <c r="CJK745" s="303"/>
      <c r="CJL745" s="303"/>
      <c r="CJM745" s="303"/>
      <c r="CJN745" s="303"/>
      <c r="CJO745" s="303"/>
      <c r="CJP745" s="303"/>
      <c r="CJQ745" s="303"/>
      <c r="CJR745" s="303"/>
      <c r="CJS745" s="303"/>
      <c r="CJT745" s="303"/>
      <c r="CJU745" s="303"/>
      <c r="CJV745" s="303"/>
      <c r="CJW745" s="303"/>
      <c r="CJX745" s="303"/>
      <c r="CJY745" s="303"/>
      <c r="CJZ745" s="303"/>
      <c r="CKA745" s="303"/>
      <c r="CKB745" s="303"/>
      <c r="CKC745" s="303"/>
      <c r="CKD745" s="303"/>
      <c r="CKE745" s="303"/>
      <c r="CKF745" s="303"/>
      <c r="CKG745" s="303"/>
      <c r="CKH745" s="303"/>
      <c r="CKI745" s="303"/>
      <c r="CKJ745" s="303"/>
      <c r="CKK745" s="303"/>
      <c r="CKL745" s="303"/>
      <c r="CKM745" s="303"/>
      <c r="CKN745" s="303"/>
      <c r="CKO745" s="303"/>
      <c r="CKP745" s="303"/>
      <c r="CKQ745" s="303"/>
      <c r="CKR745" s="303"/>
      <c r="CKS745" s="303"/>
      <c r="CKT745" s="303"/>
      <c r="CKU745" s="303"/>
      <c r="CKV745" s="303"/>
      <c r="CKW745" s="303"/>
      <c r="CKX745" s="303"/>
      <c r="CKY745" s="303"/>
      <c r="CKZ745" s="303"/>
      <c r="CLA745" s="303"/>
      <c r="CLB745" s="303"/>
      <c r="CLC745" s="303"/>
      <c r="CLD745" s="303"/>
      <c r="CLE745" s="303"/>
      <c r="CLF745" s="303"/>
      <c r="CLG745" s="303"/>
      <c r="CLH745" s="303"/>
      <c r="CLI745" s="303"/>
      <c r="CLJ745" s="303"/>
      <c r="CLK745" s="303"/>
      <c r="CLL745" s="303"/>
      <c r="CLM745" s="303"/>
      <c r="CLN745" s="303"/>
      <c r="CLO745" s="303"/>
      <c r="CLP745" s="303"/>
      <c r="CLQ745" s="303"/>
      <c r="CLR745" s="303"/>
      <c r="CLS745" s="303"/>
      <c r="CLT745" s="303"/>
      <c r="CLU745" s="303"/>
      <c r="CLV745" s="303"/>
      <c r="CLW745" s="303"/>
      <c r="CLX745" s="303"/>
      <c r="CLY745" s="303"/>
      <c r="CLZ745" s="303"/>
      <c r="CMA745" s="303"/>
      <c r="CMB745" s="303"/>
      <c r="CMC745" s="303"/>
      <c r="CMD745" s="303"/>
      <c r="CME745" s="303"/>
      <c r="CMF745" s="303"/>
      <c r="CMG745" s="303"/>
      <c r="CMH745" s="303"/>
      <c r="CMI745" s="303"/>
      <c r="CMJ745" s="303"/>
      <c r="CMK745" s="303"/>
      <c r="CML745" s="303"/>
      <c r="CMM745" s="303"/>
      <c r="CMN745" s="303"/>
      <c r="CMO745" s="303"/>
      <c r="CMP745" s="303"/>
      <c r="CMQ745" s="303"/>
      <c r="CMR745" s="303"/>
      <c r="CMS745" s="303"/>
      <c r="CMT745" s="303"/>
      <c r="CMU745" s="303"/>
      <c r="CMV745" s="303"/>
      <c r="CMW745" s="303"/>
      <c r="CMX745" s="303"/>
      <c r="CMY745" s="303"/>
      <c r="CMZ745" s="303"/>
      <c r="CNA745" s="303"/>
      <c r="CNB745" s="303"/>
      <c r="CNC745" s="303"/>
      <c r="CND745" s="303"/>
      <c r="CNE745" s="303"/>
      <c r="CNF745" s="303"/>
      <c r="CNG745" s="303"/>
      <c r="CNH745" s="303"/>
      <c r="CNI745" s="303"/>
      <c r="CNJ745" s="303"/>
      <c r="CNK745" s="303"/>
      <c r="CNL745" s="303"/>
      <c r="CNM745" s="303"/>
      <c r="CNN745" s="303"/>
      <c r="CNO745" s="303"/>
      <c r="CNP745" s="303"/>
      <c r="CNQ745" s="303"/>
      <c r="CNR745" s="303"/>
      <c r="CNS745" s="303"/>
      <c r="CNT745" s="303"/>
      <c r="CNU745" s="303"/>
      <c r="CNV745" s="303"/>
      <c r="CNW745" s="303"/>
      <c r="CNX745" s="303"/>
      <c r="CNY745" s="303"/>
      <c r="CNZ745" s="303"/>
      <c r="COA745" s="303"/>
      <c r="COB745" s="303"/>
      <c r="COC745" s="303"/>
      <c r="COD745" s="303"/>
      <c r="COE745" s="303"/>
      <c r="COF745" s="303"/>
      <c r="COG745" s="303"/>
      <c r="COH745" s="303"/>
      <c r="COI745" s="303"/>
      <c r="COJ745" s="303"/>
      <c r="COK745" s="303"/>
      <c r="COL745" s="303"/>
      <c r="COM745" s="303"/>
      <c r="CON745" s="303"/>
      <c r="COO745" s="303"/>
      <c r="COP745" s="303"/>
      <c r="COQ745" s="303"/>
      <c r="COR745" s="303"/>
      <c r="COS745" s="303"/>
      <c r="COT745" s="303"/>
      <c r="COU745" s="303"/>
      <c r="COV745" s="303"/>
      <c r="COW745" s="303"/>
      <c r="COX745" s="303"/>
      <c r="COY745" s="303"/>
      <c r="COZ745" s="303"/>
      <c r="CPA745" s="303"/>
      <c r="CPB745" s="303"/>
      <c r="CPC745" s="303"/>
      <c r="CPD745" s="303"/>
      <c r="CPE745" s="303"/>
      <c r="CPF745" s="303"/>
      <c r="CPG745" s="303"/>
      <c r="CPH745" s="303"/>
      <c r="CPI745" s="303"/>
      <c r="CPJ745" s="303"/>
      <c r="CPK745" s="303"/>
      <c r="CPL745" s="303"/>
      <c r="CPM745" s="303"/>
      <c r="CPN745" s="303"/>
      <c r="CPO745" s="303"/>
      <c r="CPP745" s="303"/>
      <c r="CPQ745" s="303"/>
      <c r="CPR745" s="303"/>
      <c r="CPS745" s="303"/>
      <c r="CPT745" s="303"/>
      <c r="CPU745" s="303"/>
      <c r="CPV745" s="303"/>
      <c r="CPW745" s="303"/>
      <c r="CPX745" s="303"/>
      <c r="CPY745" s="303"/>
      <c r="CPZ745" s="303"/>
      <c r="CQA745" s="303"/>
      <c r="CQB745" s="303"/>
      <c r="CQC745" s="303"/>
      <c r="CQD745" s="303"/>
      <c r="CQE745" s="303"/>
      <c r="CQF745" s="303"/>
      <c r="CQG745" s="303"/>
      <c r="CQH745" s="303"/>
      <c r="CQI745" s="303"/>
      <c r="CQJ745" s="303"/>
      <c r="CQK745" s="303"/>
      <c r="CQL745" s="303"/>
      <c r="CQM745" s="303"/>
      <c r="CQN745" s="303"/>
      <c r="CQO745" s="303"/>
      <c r="CQP745" s="303"/>
      <c r="CQQ745" s="303"/>
      <c r="CQR745" s="303"/>
      <c r="CQS745" s="303"/>
      <c r="CQT745" s="303"/>
      <c r="CQU745" s="303"/>
      <c r="CQV745" s="303"/>
      <c r="CQW745" s="303"/>
      <c r="CQX745" s="303"/>
      <c r="CQY745" s="303"/>
      <c r="CQZ745" s="303"/>
      <c r="CRA745" s="303"/>
      <c r="CRB745" s="303"/>
      <c r="CRC745" s="303"/>
      <c r="CRD745" s="303"/>
      <c r="CRE745" s="303"/>
      <c r="CRF745" s="303"/>
      <c r="CRG745" s="303"/>
      <c r="CRH745" s="303"/>
      <c r="CRI745" s="303"/>
      <c r="CRJ745" s="303"/>
      <c r="CRK745" s="303"/>
      <c r="CRL745" s="303"/>
      <c r="CRM745" s="303"/>
      <c r="CRN745" s="303"/>
      <c r="CRO745" s="303"/>
      <c r="CRP745" s="303"/>
      <c r="CRQ745" s="303"/>
      <c r="CRR745" s="303"/>
      <c r="CRS745" s="303"/>
      <c r="CRT745" s="303"/>
      <c r="CRU745" s="303"/>
      <c r="CRV745" s="303"/>
      <c r="CRW745" s="303"/>
      <c r="CRX745" s="303"/>
      <c r="CRY745" s="303"/>
      <c r="CRZ745" s="303"/>
      <c r="CSA745" s="303"/>
      <c r="CSB745" s="303"/>
      <c r="CSC745" s="303"/>
      <c r="CSD745" s="303"/>
      <c r="CSE745" s="303"/>
      <c r="CSF745" s="303"/>
      <c r="CSG745" s="303"/>
      <c r="CSH745" s="303"/>
      <c r="CSI745" s="303"/>
      <c r="CSJ745" s="303"/>
      <c r="CSK745" s="303"/>
      <c r="CSL745" s="303"/>
      <c r="CSM745" s="303"/>
      <c r="CSN745" s="303"/>
      <c r="CSO745" s="303"/>
      <c r="CSP745" s="303"/>
      <c r="CSQ745" s="303"/>
      <c r="CSR745" s="303"/>
      <c r="CSS745" s="303"/>
      <c r="CST745" s="303"/>
      <c r="CSU745" s="303"/>
      <c r="CSV745" s="303"/>
      <c r="CSW745" s="303"/>
      <c r="CSX745" s="303"/>
      <c r="CSY745" s="303"/>
      <c r="CSZ745" s="303"/>
      <c r="CTA745" s="303"/>
      <c r="CTB745" s="303"/>
      <c r="CTC745" s="303"/>
      <c r="CTD745" s="303"/>
      <c r="CTE745" s="303"/>
      <c r="CTF745" s="303"/>
      <c r="CTG745" s="303"/>
      <c r="CTH745" s="303"/>
      <c r="CTI745" s="303"/>
      <c r="CTJ745" s="303"/>
      <c r="CTK745" s="303"/>
      <c r="CTL745" s="303"/>
      <c r="CTM745" s="303"/>
      <c r="CTN745" s="303"/>
      <c r="CTO745" s="303"/>
      <c r="CTP745" s="303"/>
      <c r="CTQ745" s="303"/>
      <c r="CTR745" s="303"/>
      <c r="CTS745" s="303"/>
      <c r="CTT745" s="303"/>
      <c r="CTU745" s="303"/>
      <c r="CTV745" s="303"/>
      <c r="CTW745" s="303"/>
      <c r="CTX745" s="303"/>
      <c r="CTY745" s="303"/>
      <c r="CTZ745" s="303"/>
      <c r="CUA745" s="303"/>
      <c r="CUB745" s="303"/>
      <c r="CUC745" s="303"/>
      <c r="CUD745" s="303"/>
      <c r="CUE745" s="303"/>
      <c r="CUF745" s="303"/>
      <c r="CUG745" s="303"/>
      <c r="CUH745" s="303"/>
      <c r="CUI745" s="303"/>
      <c r="CUJ745" s="303"/>
      <c r="CUK745" s="303"/>
      <c r="CUL745" s="303"/>
      <c r="CUM745" s="303"/>
      <c r="CUN745" s="303"/>
      <c r="CUO745" s="303"/>
      <c r="CUP745" s="303"/>
      <c r="CUQ745" s="303"/>
      <c r="CUR745" s="303"/>
      <c r="CUS745" s="303"/>
      <c r="CUT745" s="303"/>
      <c r="CUU745" s="303"/>
      <c r="CUV745" s="303"/>
      <c r="CUW745" s="303"/>
      <c r="CUX745" s="303"/>
      <c r="CUY745" s="303"/>
      <c r="CUZ745" s="303"/>
      <c r="CVA745" s="303"/>
      <c r="CVB745" s="303"/>
      <c r="CVC745" s="303"/>
      <c r="CVD745" s="303"/>
      <c r="CVE745" s="303"/>
      <c r="CVF745" s="303"/>
      <c r="CVG745" s="303"/>
      <c r="CVH745" s="303"/>
      <c r="CVI745" s="303"/>
      <c r="CVJ745" s="303"/>
      <c r="CVK745" s="303"/>
      <c r="CVL745" s="303"/>
      <c r="CVM745" s="303"/>
      <c r="CVN745" s="303"/>
      <c r="CVO745" s="303"/>
      <c r="CVP745" s="303"/>
      <c r="CVQ745" s="303"/>
      <c r="CVR745" s="303"/>
      <c r="CVS745" s="303"/>
      <c r="CVT745" s="303"/>
      <c r="CVU745" s="303"/>
      <c r="CVV745" s="303"/>
      <c r="CVW745" s="303"/>
      <c r="CVX745" s="303"/>
      <c r="CVY745" s="303"/>
      <c r="CVZ745" s="303"/>
      <c r="CWA745" s="303"/>
      <c r="CWB745" s="303"/>
      <c r="CWC745" s="303"/>
      <c r="CWD745" s="303"/>
      <c r="CWE745" s="303"/>
      <c r="CWF745" s="303"/>
      <c r="CWG745" s="303"/>
      <c r="CWH745" s="303"/>
      <c r="CWI745" s="303"/>
      <c r="CWJ745" s="303"/>
      <c r="CWK745" s="303"/>
      <c r="CWL745" s="303"/>
      <c r="CWM745" s="303"/>
      <c r="CWN745" s="303"/>
      <c r="CWO745" s="303"/>
      <c r="CWP745" s="303"/>
      <c r="CWQ745" s="303"/>
      <c r="CWR745" s="303"/>
      <c r="CWS745" s="303"/>
      <c r="CWT745" s="303"/>
      <c r="CWU745" s="303"/>
      <c r="CWV745" s="303"/>
      <c r="CWW745" s="303"/>
      <c r="CWX745" s="303"/>
      <c r="CWY745" s="303"/>
      <c r="CWZ745" s="303"/>
      <c r="CXA745" s="303"/>
      <c r="CXB745" s="303"/>
      <c r="CXC745" s="303"/>
      <c r="CXD745" s="303"/>
      <c r="CXE745" s="303"/>
      <c r="CXF745" s="303"/>
      <c r="CXG745" s="303"/>
      <c r="CXH745" s="303"/>
      <c r="CXI745" s="303"/>
      <c r="CXJ745" s="303"/>
      <c r="CXK745" s="303"/>
      <c r="CXL745" s="303"/>
      <c r="CXM745" s="303"/>
      <c r="CXN745" s="303"/>
      <c r="CXO745" s="303"/>
      <c r="CXP745" s="303"/>
      <c r="CXQ745" s="303"/>
      <c r="CXR745" s="303"/>
      <c r="CXS745" s="303"/>
      <c r="CXT745" s="303"/>
      <c r="CXU745" s="303"/>
      <c r="CXV745" s="303"/>
      <c r="CXW745" s="303"/>
      <c r="CXX745" s="303"/>
      <c r="CXY745" s="303"/>
      <c r="CXZ745" s="303"/>
      <c r="CYA745" s="303"/>
      <c r="CYB745" s="303"/>
      <c r="CYC745" s="303"/>
      <c r="CYD745" s="303"/>
      <c r="CYE745" s="303"/>
      <c r="CYF745" s="303"/>
      <c r="CYG745" s="303"/>
      <c r="CYH745" s="303"/>
      <c r="CYI745" s="303"/>
      <c r="CYJ745" s="303"/>
      <c r="CYK745" s="303"/>
      <c r="CYL745" s="303"/>
      <c r="CYM745" s="303"/>
      <c r="CYN745" s="303"/>
      <c r="CYO745" s="303"/>
      <c r="CYP745" s="303"/>
      <c r="CYQ745" s="303"/>
      <c r="CYR745" s="303"/>
      <c r="CYS745" s="303"/>
      <c r="CYT745" s="303"/>
      <c r="CYU745" s="303"/>
      <c r="CYV745" s="303"/>
      <c r="CYW745" s="303"/>
      <c r="CYX745" s="303"/>
      <c r="CYY745" s="303"/>
      <c r="CYZ745" s="303"/>
      <c r="CZA745" s="303"/>
      <c r="CZB745" s="303"/>
      <c r="CZC745" s="303"/>
      <c r="CZD745" s="303"/>
      <c r="CZE745" s="303"/>
      <c r="CZF745" s="303"/>
      <c r="CZG745" s="303"/>
      <c r="CZH745" s="303"/>
      <c r="CZI745" s="303"/>
      <c r="CZJ745" s="303"/>
      <c r="CZK745" s="303"/>
      <c r="CZL745" s="303"/>
      <c r="CZM745" s="303"/>
      <c r="CZN745" s="303"/>
      <c r="CZO745" s="303"/>
      <c r="CZP745" s="303"/>
      <c r="CZQ745" s="303"/>
      <c r="CZR745" s="303"/>
      <c r="CZS745" s="303"/>
      <c r="CZT745" s="303"/>
      <c r="CZU745" s="303"/>
      <c r="CZV745" s="303"/>
      <c r="CZW745" s="303"/>
      <c r="CZX745" s="303"/>
      <c r="CZY745" s="303"/>
      <c r="CZZ745" s="303"/>
      <c r="DAA745" s="303"/>
      <c r="DAB745" s="303"/>
      <c r="DAC745" s="303"/>
      <c r="DAD745" s="303"/>
      <c r="DAE745" s="303"/>
      <c r="DAF745" s="303"/>
      <c r="DAG745" s="303"/>
      <c r="DAH745" s="303"/>
      <c r="DAI745" s="303"/>
      <c r="DAJ745" s="303"/>
      <c r="DAK745" s="303"/>
      <c r="DAL745" s="303"/>
      <c r="DAM745" s="303"/>
      <c r="DAN745" s="303"/>
      <c r="DAO745" s="303"/>
      <c r="DAP745" s="303"/>
      <c r="DAQ745" s="303"/>
      <c r="DAR745" s="303"/>
      <c r="DAS745" s="303"/>
      <c r="DAT745" s="303"/>
      <c r="DAU745" s="303"/>
      <c r="DAV745" s="303"/>
      <c r="DAW745" s="303"/>
      <c r="DAX745" s="303"/>
      <c r="DAY745" s="303"/>
      <c r="DAZ745" s="303"/>
      <c r="DBA745" s="303"/>
      <c r="DBB745" s="303"/>
      <c r="DBC745" s="303"/>
      <c r="DBD745" s="303"/>
      <c r="DBE745" s="303"/>
      <c r="DBF745" s="303"/>
      <c r="DBG745" s="303"/>
      <c r="DBH745" s="303"/>
      <c r="DBI745" s="303"/>
      <c r="DBJ745" s="303"/>
      <c r="DBK745" s="303"/>
      <c r="DBL745" s="303"/>
      <c r="DBM745" s="303"/>
      <c r="DBN745" s="303"/>
      <c r="DBO745" s="303"/>
      <c r="DBP745" s="303"/>
      <c r="DBQ745" s="303"/>
      <c r="DBR745" s="303"/>
      <c r="DBS745" s="303"/>
      <c r="DBT745" s="303"/>
      <c r="DBU745" s="303"/>
      <c r="DBV745" s="303"/>
      <c r="DBW745" s="303"/>
      <c r="DBX745" s="303"/>
      <c r="DBY745" s="303"/>
      <c r="DBZ745" s="303"/>
      <c r="DCA745" s="303"/>
      <c r="DCB745" s="303"/>
      <c r="DCC745" s="303"/>
      <c r="DCD745" s="303"/>
      <c r="DCE745" s="303"/>
      <c r="DCF745" s="303"/>
      <c r="DCG745" s="303"/>
      <c r="DCH745" s="303"/>
      <c r="DCI745" s="303"/>
      <c r="DCJ745" s="303"/>
      <c r="DCK745" s="303"/>
      <c r="DCL745" s="303"/>
      <c r="DCM745" s="303"/>
      <c r="DCN745" s="303"/>
      <c r="DCO745" s="303"/>
      <c r="DCP745" s="303"/>
      <c r="DCQ745" s="303"/>
      <c r="DCR745" s="303"/>
      <c r="DCS745" s="303"/>
      <c r="DCT745" s="303"/>
      <c r="DCU745" s="303"/>
      <c r="DCV745" s="303"/>
      <c r="DCW745" s="303"/>
      <c r="DCX745" s="303"/>
      <c r="DCY745" s="303"/>
      <c r="DCZ745" s="303"/>
      <c r="DDA745" s="303"/>
      <c r="DDB745" s="303"/>
      <c r="DDC745" s="303"/>
      <c r="DDD745" s="303"/>
      <c r="DDE745" s="303"/>
      <c r="DDF745" s="303"/>
      <c r="DDG745" s="303"/>
      <c r="DDH745" s="303"/>
      <c r="DDI745" s="303"/>
      <c r="DDJ745" s="303"/>
      <c r="DDK745" s="303"/>
      <c r="DDL745" s="303"/>
      <c r="DDM745" s="303"/>
      <c r="DDN745" s="303"/>
      <c r="DDO745" s="303"/>
      <c r="DDP745" s="303"/>
      <c r="DDQ745" s="303"/>
      <c r="DDR745" s="303"/>
      <c r="DDS745" s="303"/>
      <c r="DDT745" s="303"/>
      <c r="DDU745" s="303"/>
      <c r="DDV745" s="303"/>
      <c r="DDW745" s="303"/>
      <c r="DDX745" s="303"/>
      <c r="DDY745" s="303"/>
      <c r="DDZ745" s="303"/>
      <c r="DEA745" s="303"/>
      <c r="DEB745" s="303"/>
      <c r="DEC745" s="303"/>
      <c r="DED745" s="303"/>
      <c r="DEE745" s="303"/>
      <c r="DEF745" s="303"/>
      <c r="DEG745" s="303"/>
      <c r="DEH745" s="303"/>
      <c r="DEI745" s="303"/>
      <c r="DEJ745" s="303"/>
      <c r="DEK745" s="303"/>
      <c r="DEL745" s="303"/>
      <c r="DEM745" s="303"/>
      <c r="DEN745" s="303"/>
      <c r="DEO745" s="303"/>
      <c r="DEP745" s="303"/>
      <c r="DEQ745" s="303"/>
      <c r="DER745" s="303"/>
      <c r="DES745" s="303"/>
      <c r="DET745" s="303"/>
      <c r="DEU745" s="303"/>
      <c r="DEV745" s="303"/>
      <c r="DEW745" s="303"/>
      <c r="DEX745" s="303"/>
      <c r="DEY745" s="303"/>
      <c r="DEZ745" s="303"/>
      <c r="DFA745" s="303"/>
      <c r="DFB745" s="303"/>
      <c r="DFC745" s="303"/>
      <c r="DFD745" s="303"/>
      <c r="DFE745" s="303"/>
      <c r="DFF745" s="303"/>
      <c r="DFG745" s="303"/>
      <c r="DFH745" s="303"/>
      <c r="DFI745" s="303"/>
      <c r="DFJ745" s="303"/>
      <c r="DFK745" s="303"/>
      <c r="DFL745" s="303"/>
      <c r="DFM745" s="303"/>
      <c r="DFN745" s="303"/>
      <c r="DFO745" s="303"/>
      <c r="DFP745" s="303"/>
      <c r="DFQ745" s="303"/>
      <c r="DFR745" s="303"/>
      <c r="DFS745" s="303"/>
      <c r="DFT745" s="303"/>
      <c r="DFU745" s="303"/>
      <c r="DFV745" s="303"/>
      <c r="DFW745" s="303"/>
      <c r="DFX745" s="303"/>
      <c r="DFY745" s="303"/>
      <c r="DFZ745" s="303"/>
      <c r="DGA745" s="303"/>
      <c r="DGB745" s="303"/>
      <c r="DGC745" s="303"/>
      <c r="DGD745" s="303"/>
      <c r="DGE745" s="303"/>
      <c r="DGF745" s="303"/>
      <c r="DGG745" s="303"/>
      <c r="DGH745" s="303"/>
      <c r="DGI745" s="303"/>
      <c r="DGJ745" s="303"/>
      <c r="DGK745" s="303"/>
      <c r="DGL745" s="303"/>
      <c r="DGM745" s="303"/>
      <c r="DGN745" s="303"/>
      <c r="DGO745" s="303"/>
      <c r="DGP745" s="303"/>
      <c r="DGQ745" s="303"/>
      <c r="DGR745" s="303"/>
      <c r="DGS745" s="303"/>
      <c r="DGT745" s="303"/>
      <c r="DGU745" s="303"/>
      <c r="DGV745" s="303"/>
      <c r="DGW745" s="303"/>
      <c r="DGX745" s="303"/>
      <c r="DGY745" s="303"/>
      <c r="DGZ745" s="303"/>
      <c r="DHA745" s="303"/>
      <c r="DHB745" s="303"/>
      <c r="DHC745" s="303"/>
      <c r="DHD745" s="303"/>
      <c r="DHE745" s="303"/>
      <c r="DHF745" s="303"/>
      <c r="DHG745" s="303"/>
      <c r="DHH745" s="303"/>
      <c r="DHI745" s="303"/>
      <c r="DHJ745" s="303"/>
      <c r="DHK745" s="303"/>
      <c r="DHL745" s="303"/>
      <c r="DHM745" s="303"/>
      <c r="DHN745" s="303"/>
      <c r="DHO745" s="303"/>
      <c r="DHP745" s="303"/>
      <c r="DHQ745" s="303"/>
      <c r="DHR745" s="303"/>
      <c r="DHS745" s="303"/>
      <c r="DHT745" s="303"/>
      <c r="DHU745" s="303"/>
      <c r="DHV745" s="303"/>
      <c r="DHW745" s="303"/>
      <c r="DHX745" s="303"/>
      <c r="DHY745" s="303"/>
      <c r="DHZ745" s="303"/>
      <c r="DIA745" s="303"/>
      <c r="DIB745" s="303"/>
      <c r="DIC745" s="303"/>
      <c r="DID745" s="303"/>
      <c r="DIE745" s="303"/>
      <c r="DIF745" s="303"/>
      <c r="DIG745" s="303"/>
      <c r="DIH745" s="303"/>
      <c r="DII745" s="303"/>
      <c r="DIJ745" s="303"/>
      <c r="DIK745" s="303"/>
      <c r="DIL745" s="303"/>
      <c r="DIM745" s="303"/>
      <c r="DIN745" s="303"/>
      <c r="DIO745" s="303"/>
      <c r="DIP745" s="303"/>
      <c r="DIQ745" s="303"/>
      <c r="DIR745" s="303"/>
      <c r="DIS745" s="303"/>
      <c r="DIT745" s="303"/>
      <c r="DIU745" s="303"/>
      <c r="DIV745" s="303"/>
      <c r="DIW745" s="303"/>
      <c r="DIX745" s="303"/>
      <c r="DIY745" s="303"/>
      <c r="DIZ745" s="303"/>
      <c r="DJA745" s="303"/>
      <c r="DJB745" s="303"/>
      <c r="DJC745" s="303"/>
      <c r="DJD745" s="303"/>
      <c r="DJE745" s="303"/>
      <c r="DJF745" s="303"/>
      <c r="DJG745" s="303"/>
      <c r="DJH745" s="303"/>
      <c r="DJI745" s="303"/>
      <c r="DJJ745" s="303"/>
      <c r="DJK745" s="303"/>
      <c r="DJL745" s="303"/>
      <c r="DJM745" s="303"/>
      <c r="DJN745" s="303"/>
      <c r="DJO745" s="303"/>
      <c r="DJP745" s="303"/>
      <c r="DJQ745" s="303"/>
      <c r="DJR745" s="303"/>
      <c r="DJS745" s="303"/>
      <c r="DJT745" s="303"/>
      <c r="DJU745" s="303"/>
      <c r="DJV745" s="303"/>
      <c r="DJW745" s="303"/>
      <c r="DJX745" s="303"/>
      <c r="DJY745" s="303"/>
      <c r="DJZ745" s="303"/>
      <c r="DKA745" s="303"/>
      <c r="DKB745" s="303"/>
      <c r="DKC745" s="303"/>
      <c r="DKD745" s="303"/>
      <c r="DKE745" s="303"/>
      <c r="DKF745" s="303"/>
      <c r="DKG745" s="303"/>
      <c r="DKH745" s="303"/>
      <c r="DKI745" s="303"/>
      <c r="DKJ745" s="303"/>
      <c r="DKK745" s="303"/>
      <c r="DKL745" s="303"/>
      <c r="DKM745" s="303"/>
      <c r="DKN745" s="303"/>
      <c r="DKO745" s="303"/>
      <c r="DKP745" s="303"/>
      <c r="DKQ745" s="303"/>
      <c r="DKR745" s="303"/>
      <c r="DKS745" s="303"/>
      <c r="DKT745" s="303"/>
      <c r="DKU745" s="303"/>
      <c r="DKV745" s="303"/>
      <c r="DKW745" s="303"/>
      <c r="DKX745" s="303"/>
      <c r="DKY745" s="303"/>
      <c r="DKZ745" s="303"/>
      <c r="DLA745" s="303"/>
      <c r="DLB745" s="303"/>
      <c r="DLC745" s="303"/>
      <c r="DLD745" s="303"/>
      <c r="DLE745" s="303"/>
      <c r="DLF745" s="303"/>
      <c r="DLG745" s="303"/>
      <c r="DLH745" s="303"/>
      <c r="DLI745" s="303"/>
      <c r="DLJ745" s="303"/>
      <c r="DLK745" s="303"/>
      <c r="DLL745" s="303"/>
      <c r="DLM745" s="303"/>
      <c r="DLN745" s="303"/>
      <c r="DLO745" s="303"/>
      <c r="DLP745" s="303"/>
      <c r="DLQ745" s="303"/>
      <c r="DLR745" s="303"/>
      <c r="DLS745" s="303"/>
      <c r="DLT745" s="303"/>
      <c r="DLU745" s="303"/>
      <c r="DLV745" s="303"/>
      <c r="DLW745" s="303"/>
      <c r="DLX745" s="303"/>
      <c r="DLY745" s="303"/>
      <c r="DLZ745" s="303"/>
      <c r="DMA745" s="303"/>
      <c r="DMB745" s="303"/>
      <c r="DMC745" s="303"/>
      <c r="DMD745" s="303"/>
      <c r="DME745" s="303"/>
      <c r="DMF745" s="303"/>
      <c r="DMG745" s="303"/>
      <c r="DMH745" s="303"/>
      <c r="DMI745" s="303"/>
      <c r="DMJ745" s="303"/>
      <c r="DMK745" s="303"/>
      <c r="DML745" s="303"/>
      <c r="DMM745" s="303"/>
      <c r="DMN745" s="303"/>
      <c r="DMO745" s="303"/>
      <c r="DMP745" s="303"/>
      <c r="DMQ745" s="303"/>
      <c r="DMR745" s="303"/>
      <c r="DMS745" s="303"/>
      <c r="DMT745" s="303"/>
      <c r="DMU745" s="303"/>
      <c r="DMV745" s="303"/>
      <c r="DMW745" s="303"/>
      <c r="DMX745" s="303"/>
      <c r="DMY745" s="303"/>
      <c r="DMZ745" s="303"/>
      <c r="DNA745" s="303"/>
      <c r="DNB745" s="303"/>
      <c r="DNC745" s="303"/>
      <c r="DND745" s="303"/>
      <c r="DNE745" s="303"/>
      <c r="DNF745" s="303"/>
      <c r="DNG745" s="303"/>
      <c r="DNH745" s="303"/>
      <c r="DNI745" s="303"/>
      <c r="DNJ745" s="303"/>
      <c r="DNK745" s="303"/>
      <c r="DNL745" s="303"/>
      <c r="DNM745" s="303"/>
      <c r="DNN745" s="303"/>
      <c r="DNO745" s="303"/>
      <c r="DNP745" s="303"/>
      <c r="DNQ745" s="303"/>
      <c r="DNR745" s="303"/>
      <c r="DNS745" s="303"/>
      <c r="DNT745" s="303"/>
      <c r="DNU745" s="303"/>
      <c r="DNV745" s="303"/>
      <c r="DNW745" s="303"/>
      <c r="DNX745" s="303"/>
      <c r="DNY745" s="303"/>
      <c r="DNZ745" s="303"/>
      <c r="DOA745" s="303"/>
      <c r="DOB745" s="303"/>
      <c r="DOC745" s="303"/>
      <c r="DOD745" s="303"/>
      <c r="DOE745" s="303"/>
      <c r="DOF745" s="303"/>
      <c r="DOG745" s="303"/>
      <c r="DOH745" s="303"/>
      <c r="DOI745" s="303"/>
      <c r="DOJ745" s="303"/>
      <c r="DOK745" s="303"/>
      <c r="DOL745" s="303"/>
      <c r="DOM745" s="303"/>
      <c r="DON745" s="303"/>
      <c r="DOO745" s="303"/>
      <c r="DOP745" s="303"/>
      <c r="DOQ745" s="303"/>
      <c r="DOR745" s="303"/>
      <c r="DOS745" s="303"/>
      <c r="DOT745" s="303"/>
      <c r="DOU745" s="303"/>
      <c r="DOV745" s="303"/>
      <c r="DOW745" s="303"/>
      <c r="DOX745" s="303"/>
      <c r="DOY745" s="303"/>
      <c r="DOZ745" s="303"/>
      <c r="DPA745" s="303"/>
      <c r="DPB745" s="303"/>
      <c r="DPC745" s="303"/>
      <c r="DPD745" s="303"/>
      <c r="DPE745" s="303"/>
      <c r="DPF745" s="303"/>
      <c r="DPG745" s="303"/>
      <c r="DPH745" s="303"/>
      <c r="DPI745" s="303"/>
      <c r="DPJ745" s="303"/>
      <c r="DPK745" s="303"/>
      <c r="DPL745" s="303"/>
      <c r="DPM745" s="303"/>
      <c r="DPN745" s="303"/>
      <c r="DPO745" s="303"/>
      <c r="DPP745" s="303"/>
      <c r="DPQ745" s="303"/>
      <c r="DPR745" s="303"/>
      <c r="DPS745" s="303"/>
      <c r="DPT745" s="303"/>
      <c r="DPU745" s="303"/>
      <c r="DPV745" s="303"/>
      <c r="DPW745" s="303"/>
      <c r="DPX745" s="303"/>
      <c r="DPY745" s="303"/>
      <c r="DPZ745" s="303"/>
      <c r="DQA745" s="303"/>
      <c r="DQB745" s="303"/>
      <c r="DQC745" s="303"/>
      <c r="DQD745" s="303"/>
      <c r="DQE745" s="303"/>
      <c r="DQF745" s="303"/>
      <c r="DQG745" s="303"/>
      <c r="DQH745" s="303"/>
      <c r="DQI745" s="303"/>
      <c r="DQJ745" s="303"/>
      <c r="DQK745" s="303"/>
      <c r="DQL745" s="303"/>
      <c r="DQM745" s="303"/>
      <c r="DQN745" s="303"/>
      <c r="DQO745" s="303"/>
      <c r="DQP745" s="303"/>
      <c r="DQQ745" s="303"/>
      <c r="DQR745" s="303"/>
      <c r="DQS745" s="303"/>
      <c r="DQT745" s="303"/>
      <c r="DQU745" s="303"/>
      <c r="DQV745" s="303"/>
      <c r="DQW745" s="303"/>
      <c r="DQX745" s="303"/>
      <c r="DQY745" s="303"/>
      <c r="DQZ745" s="303"/>
      <c r="DRA745" s="303"/>
      <c r="DRB745" s="303"/>
      <c r="DRC745" s="303"/>
      <c r="DRD745" s="303"/>
      <c r="DRE745" s="303"/>
      <c r="DRF745" s="303"/>
      <c r="DRG745" s="303"/>
      <c r="DRH745" s="303"/>
      <c r="DRI745" s="303"/>
      <c r="DRJ745" s="303"/>
      <c r="DRK745" s="303"/>
      <c r="DRL745" s="303"/>
      <c r="DRM745" s="303"/>
      <c r="DRN745" s="303"/>
      <c r="DRO745" s="303"/>
      <c r="DRP745" s="303"/>
      <c r="DRQ745" s="303"/>
      <c r="DRR745" s="303"/>
      <c r="DRS745" s="303"/>
      <c r="DRT745" s="303"/>
      <c r="DRU745" s="303"/>
      <c r="DRV745" s="303"/>
      <c r="DRW745" s="303"/>
      <c r="DRX745" s="303"/>
      <c r="DRY745" s="303"/>
      <c r="DRZ745" s="303"/>
      <c r="DSA745" s="303"/>
      <c r="DSB745" s="303"/>
      <c r="DSC745" s="303"/>
      <c r="DSD745" s="303"/>
      <c r="DSE745" s="303"/>
      <c r="DSF745" s="303"/>
      <c r="DSG745" s="303"/>
      <c r="DSH745" s="303"/>
      <c r="DSI745" s="303"/>
      <c r="DSJ745" s="303"/>
      <c r="DSK745" s="303"/>
      <c r="DSL745" s="303"/>
      <c r="DSM745" s="303"/>
      <c r="DSN745" s="303"/>
      <c r="DSO745" s="303"/>
      <c r="DSP745" s="303"/>
      <c r="DSQ745" s="303"/>
      <c r="DSR745" s="303"/>
      <c r="DSS745" s="303"/>
      <c r="DST745" s="303"/>
      <c r="DSU745" s="303"/>
      <c r="DSV745" s="303"/>
      <c r="DSW745" s="303"/>
      <c r="DSX745" s="303"/>
      <c r="DSY745" s="303"/>
      <c r="DSZ745" s="303"/>
      <c r="DTA745" s="303"/>
      <c r="DTB745" s="303"/>
      <c r="DTC745" s="303"/>
      <c r="DTD745" s="303"/>
      <c r="DTE745" s="303"/>
      <c r="DTF745" s="303"/>
      <c r="DTG745" s="303"/>
      <c r="DTH745" s="303"/>
      <c r="DTI745" s="303"/>
      <c r="DTJ745" s="303"/>
      <c r="DTK745" s="303"/>
      <c r="DTL745" s="303"/>
      <c r="DTM745" s="303"/>
      <c r="DTN745" s="303"/>
      <c r="DTO745" s="303"/>
      <c r="DTP745" s="303"/>
      <c r="DTQ745" s="303"/>
      <c r="DTR745" s="303"/>
      <c r="DTS745" s="303"/>
      <c r="DTT745" s="303"/>
      <c r="DTU745" s="303"/>
      <c r="DTV745" s="303"/>
      <c r="DTW745" s="303"/>
      <c r="DTX745" s="303"/>
      <c r="DTY745" s="303"/>
      <c r="DTZ745" s="303"/>
      <c r="DUA745" s="303"/>
      <c r="DUB745" s="303"/>
      <c r="DUC745" s="303"/>
      <c r="DUD745" s="303"/>
      <c r="DUE745" s="303"/>
      <c r="DUF745" s="303"/>
      <c r="DUG745" s="303"/>
      <c r="DUH745" s="303"/>
      <c r="DUI745" s="303"/>
      <c r="DUJ745" s="303"/>
      <c r="DUK745" s="303"/>
      <c r="DUL745" s="303"/>
      <c r="DUM745" s="303"/>
      <c r="DUN745" s="303"/>
      <c r="DUO745" s="303"/>
      <c r="DUP745" s="303"/>
      <c r="DUQ745" s="303"/>
      <c r="DUR745" s="303"/>
      <c r="DUS745" s="303"/>
      <c r="DUT745" s="303"/>
      <c r="DUU745" s="303"/>
      <c r="DUV745" s="303"/>
      <c r="DUW745" s="303"/>
      <c r="DUX745" s="303"/>
      <c r="DUY745" s="303"/>
      <c r="DUZ745" s="303"/>
      <c r="DVA745" s="303"/>
      <c r="DVB745" s="303"/>
      <c r="DVC745" s="303"/>
      <c r="DVD745" s="303"/>
      <c r="DVE745" s="303"/>
      <c r="DVF745" s="303"/>
      <c r="DVG745" s="303"/>
      <c r="DVH745" s="303"/>
      <c r="DVI745" s="303"/>
      <c r="DVJ745" s="303"/>
      <c r="DVK745" s="303"/>
      <c r="DVL745" s="303"/>
      <c r="DVM745" s="303"/>
      <c r="DVN745" s="303"/>
      <c r="DVO745" s="303"/>
      <c r="DVP745" s="303"/>
      <c r="DVQ745" s="303"/>
      <c r="DVR745" s="303"/>
      <c r="DVS745" s="303"/>
      <c r="DVT745" s="303"/>
      <c r="DVU745" s="303"/>
      <c r="DVV745" s="303"/>
      <c r="DVW745" s="303"/>
      <c r="DVX745" s="303"/>
      <c r="DVY745" s="303"/>
      <c r="DVZ745" s="303"/>
      <c r="DWA745" s="303"/>
      <c r="DWB745" s="303"/>
      <c r="DWC745" s="303"/>
      <c r="DWD745" s="303"/>
      <c r="DWE745" s="303"/>
      <c r="DWF745" s="303"/>
      <c r="DWG745" s="303"/>
      <c r="DWH745" s="303"/>
      <c r="DWI745" s="303"/>
      <c r="DWJ745" s="303"/>
      <c r="DWK745" s="303"/>
      <c r="DWL745" s="303"/>
      <c r="DWM745" s="303"/>
      <c r="DWN745" s="303"/>
      <c r="DWO745" s="303"/>
      <c r="DWP745" s="303"/>
      <c r="DWQ745" s="303"/>
      <c r="DWR745" s="303"/>
      <c r="DWS745" s="303"/>
      <c r="DWT745" s="303"/>
      <c r="DWU745" s="303"/>
      <c r="DWV745" s="303"/>
      <c r="DWW745" s="303"/>
      <c r="DWX745" s="303"/>
      <c r="DWY745" s="303"/>
      <c r="DWZ745" s="303"/>
      <c r="DXA745" s="303"/>
      <c r="DXB745" s="303"/>
      <c r="DXC745" s="303"/>
      <c r="DXD745" s="303"/>
      <c r="DXE745" s="303"/>
      <c r="DXF745" s="303"/>
      <c r="DXG745" s="303"/>
      <c r="DXH745" s="303"/>
      <c r="DXI745" s="303"/>
      <c r="DXJ745" s="303"/>
      <c r="DXK745" s="303"/>
      <c r="DXL745" s="303"/>
      <c r="DXM745" s="303"/>
      <c r="DXN745" s="303"/>
      <c r="DXO745" s="303"/>
      <c r="DXP745" s="303"/>
      <c r="DXQ745" s="303"/>
      <c r="DXR745" s="303"/>
      <c r="DXS745" s="303"/>
      <c r="DXT745" s="303"/>
      <c r="DXU745" s="303"/>
      <c r="DXV745" s="303"/>
      <c r="DXW745" s="303"/>
      <c r="DXX745" s="303"/>
      <c r="DXY745" s="303"/>
      <c r="DXZ745" s="303"/>
      <c r="DYA745" s="303"/>
      <c r="DYB745" s="303"/>
      <c r="DYC745" s="303"/>
      <c r="DYD745" s="303"/>
      <c r="DYE745" s="303"/>
      <c r="DYF745" s="303"/>
      <c r="DYG745" s="303"/>
      <c r="DYH745" s="303"/>
      <c r="DYI745" s="303"/>
      <c r="DYJ745" s="303"/>
      <c r="DYK745" s="303"/>
      <c r="DYL745" s="303"/>
      <c r="DYM745" s="303"/>
      <c r="DYN745" s="303"/>
      <c r="DYO745" s="303"/>
      <c r="DYP745" s="303"/>
      <c r="DYQ745" s="303"/>
      <c r="DYR745" s="303"/>
      <c r="DYS745" s="303"/>
      <c r="DYT745" s="303"/>
      <c r="DYU745" s="303"/>
      <c r="DYV745" s="303"/>
      <c r="DYW745" s="303"/>
      <c r="DYX745" s="303"/>
      <c r="DYY745" s="303"/>
      <c r="DYZ745" s="303"/>
      <c r="DZA745" s="303"/>
      <c r="DZB745" s="303"/>
      <c r="DZC745" s="303"/>
      <c r="DZD745" s="303"/>
      <c r="DZE745" s="303"/>
      <c r="DZF745" s="303"/>
      <c r="DZG745" s="303"/>
      <c r="DZH745" s="303"/>
      <c r="DZI745" s="303"/>
      <c r="DZJ745" s="303"/>
      <c r="DZK745" s="303"/>
      <c r="DZL745" s="303"/>
      <c r="DZM745" s="303"/>
      <c r="DZN745" s="303"/>
      <c r="DZO745" s="303"/>
      <c r="DZP745" s="303"/>
      <c r="DZQ745" s="303"/>
      <c r="DZR745" s="303"/>
      <c r="DZS745" s="303"/>
      <c r="DZT745" s="303"/>
      <c r="DZU745" s="303"/>
      <c r="DZV745" s="303"/>
      <c r="DZW745" s="303"/>
      <c r="DZX745" s="303"/>
      <c r="DZY745" s="303"/>
      <c r="DZZ745" s="303"/>
      <c r="EAA745" s="303"/>
      <c r="EAB745" s="303"/>
      <c r="EAC745" s="303"/>
      <c r="EAD745" s="303"/>
      <c r="EAE745" s="303"/>
      <c r="EAF745" s="303"/>
      <c r="EAG745" s="303"/>
      <c r="EAH745" s="303"/>
      <c r="EAI745" s="303"/>
      <c r="EAJ745" s="303"/>
      <c r="EAK745" s="303"/>
      <c r="EAL745" s="303"/>
      <c r="EAM745" s="303"/>
      <c r="EAN745" s="303"/>
      <c r="EAO745" s="303"/>
      <c r="EAP745" s="303"/>
      <c r="EAQ745" s="303"/>
      <c r="EAR745" s="303"/>
      <c r="EAS745" s="303"/>
      <c r="EAT745" s="303"/>
      <c r="EAU745" s="303"/>
      <c r="EAV745" s="303"/>
      <c r="EAW745" s="303"/>
      <c r="EAX745" s="303"/>
      <c r="EAY745" s="303"/>
      <c r="EAZ745" s="303"/>
      <c r="EBA745" s="303"/>
      <c r="EBB745" s="303"/>
      <c r="EBC745" s="303"/>
      <c r="EBD745" s="303"/>
      <c r="EBE745" s="303"/>
      <c r="EBF745" s="303"/>
      <c r="EBG745" s="303"/>
      <c r="EBH745" s="303"/>
      <c r="EBI745" s="303"/>
      <c r="EBJ745" s="303"/>
      <c r="EBK745" s="303"/>
      <c r="EBL745" s="303"/>
      <c r="EBM745" s="303"/>
      <c r="EBN745" s="303"/>
      <c r="EBO745" s="303"/>
      <c r="EBP745" s="303"/>
      <c r="EBQ745" s="303"/>
      <c r="EBR745" s="303"/>
      <c r="EBS745" s="303"/>
      <c r="EBT745" s="303"/>
      <c r="EBU745" s="303"/>
      <c r="EBV745" s="303"/>
      <c r="EBW745" s="303"/>
      <c r="EBX745" s="303"/>
      <c r="EBY745" s="303"/>
      <c r="EBZ745" s="303"/>
      <c r="ECA745" s="303"/>
      <c r="ECB745" s="303"/>
      <c r="ECC745" s="303"/>
      <c r="ECD745" s="303"/>
      <c r="ECE745" s="303"/>
      <c r="ECF745" s="303"/>
      <c r="ECG745" s="303"/>
      <c r="ECH745" s="303"/>
      <c r="ECI745" s="303"/>
      <c r="ECJ745" s="303"/>
      <c r="ECK745" s="303"/>
      <c r="ECL745" s="303"/>
      <c r="ECM745" s="303"/>
      <c r="ECN745" s="303"/>
      <c r="ECO745" s="303"/>
      <c r="ECP745" s="303"/>
      <c r="ECQ745" s="303"/>
      <c r="ECR745" s="303"/>
      <c r="ECS745" s="303"/>
      <c r="ECT745" s="303"/>
      <c r="ECU745" s="303"/>
      <c r="ECV745" s="303"/>
      <c r="ECW745" s="303"/>
      <c r="ECX745" s="303"/>
      <c r="ECY745" s="303"/>
      <c r="ECZ745" s="303"/>
      <c r="EDA745" s="303"/>
      <c r="EDB745" s="303"/>
      <c r="EDC745" s="303"/>
      <c r="EDD745" s="303"/>
      <c r="EDE745" s="303"/>
      <c r="EDF745" s="303"/>
      <c r="EDG745" s="303"/>
      <c r="EDH745" s="303"/>
      <c r="EDI745" s="303"/>
      <c r="EDJ745" s="303"/>
      <c r="EDK745" s="303"/>
      <c r="EDL745" s="303"/>
      <c r="EDM745" s="303"/>
      <c r="EDN745" s="303"/>
      <c r="EDO745" s="303"/>
      <c r="EDP745" s="303"/>
      <c r="EDQ745" s="303"/>
      <c r="EDR745" s="303"/>
      <c r="EDS745" s="303"/>
      <c r="EDT745" s="303"/>
      <c r="EDU745" s="303"/>
      <c r="EDV745" s="303"/>
      <c r="EDW745" s="303"/>
      <c r="EDX745" s="303"/>
      <c r="EDY745" s="303"/>
      <c r="EDZ745" s="303"/>
      <c r="EEA745" s="303"/>
      <c r="EEB745" s="303"/>
      <c r="EEC745" s="303"/>
      <c r="EED745" s="303"/>
      <c r="EEE745" s="303"/>
      <c r="EEF745" s="303"/>
      <c r="EEG745" s="303"/>
      <c r="EEH745" s="303"/>
      <c r="EEI745" s="303"/>
      <c r="EEJ745" s="303"/>
      <c r="EEK745" s="303"/>
      <c r="EEL745" s="303"/>
      <c r="EEM745" s="303"/>
      <c r="EEN745" s="303"/>
      <c r="EEO745" s="303"/>
      <c r="EEP745" s="303"/>
      <c r="EEQ745" s="303"/>
      <c r="EER745" s="303"/>
      <c r="EES745" s="303"/>
      <c r="EET745" s="303"/>
      <c r="EEU745" s="303"/>
      <c r="EEV745" s="303"/>
      <c r="EEW745" s="303"/>
      <c r="EEX745" s="303"/>
      <c r="EEY745" s="303"/>
      <c r="EEZ745" s="303"/>
      <c r="EFA745" s="303"/>
      <c r="EFB745" s="303"/>
      <c r="EFC745" s="303"/>
      <c r="EFD745" s="303"/>
      <c r="EFE745" s="303"/>
      <c r="EFF745" s="303"/>
      <c r="EFG745" s="303"/>
      <c r="EFH745" s="303"/>
      <c r="EFI745" s="303"/>
      <c r="EFJ745" s="303"/>
      <c r="EFK745" s="303"/>
      <c r="EFL745" s="303"/>
      <c r="EFM745" s="303"/>
      <c r="EFN745" s="303"/>
      <c r="EFO745" s="303"/>
      <c r="EFP745" s="303"/>
      <c r="EFQ745" s="303"/>
      <c r="EFR745" s="303"/>
      <c r="EFS745" s="303"/>
      <c r="EFT745" s="303"/>
      <c r="EFU745" s="303"/>
      <c r="EFV745" s="303"/>
      <c r="EFW745" s="303"/>
      <c r="EFX745" s="303"/>
      <c r="EFY745" s="303"/>
      <c r="EFZ745" s="303"/>
      <c r="EGA745" s="303"/>
      <c r="EGB745" s="303"/>
      <c r="EGC745" s="303"/>
      <c r="EGD745" s="303"/>
      <c r="EGE745" s="303"/>
      <c r="EGF745" s="303"/>
      <c r="EGG745" s="303"/>
      <c r="EGH745" s="303"/>
      <c r="EGI745" s="303"/>
      <c r="EGJ745" s="303"/>
      <c r="EGK745" s="303"/>
      <c r="EGL745" s="303"/>
      <c r="EGM745" s="303"/>
      <c r="EGN745" s="303"/>
      <c r="EGO745" s="303"/>
      <c r="EGP745" s="303"/>
      <c r="EGQ745" s="303"/>
      <c r="EGR745" s="303"/>
      <c r="EGS745" s="303"/>
      <c r="EGT745" s="303"/>
      <c r="EGU745" s="303"/>
      <c r="EGV745" s="303"/>
      <c r="EGW745" s="303"/>
      <c r="EGX745" s="303"/>
      <c r="EGY745" s="303"/>
      <c r="EGZ745" s="303"/>
      <c r="EHA745" s="303"/>
      <c r="EHB745" s="303"/>
      <c r="EHC745" s="303"/>
      <c r="EHD745" s="303"/>
      <c r="EHE745" s="303"/>
      <c r="EHF745" s="303"/>
      <c r="EHG745" s="303"/>
      <c r="EHH745" s="303"/>
      <c r="EHI745" s="303"/>
      <c r="EHJ745" s="303"/>
      <c r="EHK745" s="303"/>
      <c r="EHL745" s="303"/>
      <c r="EHM745" s="303"/>
      <c r="EHN745" s="303"/>
      <c r="EHO745" s="303"/>
      <c r="EHP745" s="303"/>
      <c r="EHQ745" s="303"/>
      <c r="EHR745" s="303"/>
      <c r="EHS745" s="303"/>
      <c r="EHT745" s="303"/>
      <c r="EHU745" s="303"/>
      <c r="EHV745" s="303"/>
      <c r="EHW745" s="303"/>
      <c r="EHX745" s="303"/>
      <c r="EHY745" s="303"/>
      <c r="EHZ745" s="303"/>
      <c r="EIA745" s="303"/>
      <c r="EIB745" s="303"/>
      <c r="EIC745" s="303"/>
      <c r="EID745" s="303"/>
      <c r="EIE745" s="303"/>
      <c r="EIF745" s="303"/>
      <c r="EIG745" s="303"/>
      <c r="EIH745" s="303"/>
      <c r="EII745" s="303"/>
      <c r="EIJ745" s="303"/>
      <c r="EIK745" s="303"/>
      <c r="EIL745" s="303"/>
      <c r="EIM745" s="303"/>
      <c r="EIN745" s="303"/>
      <c r="EIO745" s="303"/>
      <c r="EIP745" s="303"/>
      <c r="EIQ745" s="303"/>
      <c r="EIR745" s="303"/>
      <c r="EIS745" s="303"/>
      <c r="EIT745" s="303"/>
      <c r="EIU745" s="303"/>
      <c r="EIV745" s="303"/>
      <c r="EIW745" s="303"/>
      <c r="EIX745" s="303"/>
      <c r="EIY745" s="303"/>
      <c r="EIZ745" s="303"/>
      <c r="EJA745" s="303"/>
      <c r="EJB745" s="303"/>
      <c r="EJC745" s="303"/>
      <c r="EJD745" s="303"/>
      <c r="EJE745" s="303"/>
      <c r="EJF745" s="303"/>
      <c r="EJG745" s="303"/>
      <c r="EJH745" s="303"/>
      <c r="EJI745" s="303"/>
      <c r="EJJ745" s="303"/>
      <c r="EJK745" s="303"/>
      <c r="EJL745" s="303"/>
      <c r="EJM745" s="303"/>
      <c r="EJN745" s="303"/>
      <c r="EJO745" s="303"/>
      <c r="EJP745" s="303"/>
      <c r="EJQ745" s="303"/>
      <c r="EJR745" s="303"/>
      <c r="EJS745" s="303"/>
      <c r="EJT745" s="303"/>
      <c r="EJU745" s="303"/>
      <c r="EJV745" s="303"/>
      <c r="EJW745" s="303"/>
      <c r="EJX745" s="303"/>
      <c r="EJY745" s="303"/>
      <c r="EJZ745" s="303"/>
      <c r="EKA745" s="303"/>
      <c r="EKB745" s="303"/>
      <c r="EKC745" s="303"/>
      <c r="EKD745" s="303"/>
      <c r="EKE745" s="303"/>
      <c r="EKF745" s="303"/>
      <c r="EKG745" s="303"/>
      <c r="EKH745" s="303"/>
      <c r="EKI745" s="303"/>
      <c r="EKJ745" s="303"/>
      <c r="EKK745" s="303"/>
      <c r="EKL745" s="303"/>
      <c r="EKM745" s="303"/>
      <c r="EKN745" s="303"/>
      <c r="EKO745" s="303"/>
      <c r="EKP745" s="303"/>
      <c r="EKQ745" s="303"/>
      <c r="EKR745" s="303"/>
      <c r="EKS745" s="303"/>
      <c r="EKT745" s="303"/>
      <c r="EKU745" s="303"/>
      <c r="EKV745" s="303"/>
      <c r="EKW745" s="303"/>
      <c r="EKX745" s="303"/>
      <c r="EKY745" s="303"/>
      <c r="EKZ745" s="303"/>
      <c r="ELA745" s="303"/>
      <c r="ELB745" s="303"/>
      <c r="ELC745" s="303"/>
      <c r="ELD745" s="303"/>
      <c r="ELE745" s="303"/>
      <c r="ELF745" s="303"/>
      <c r="ELG745" s="303"/>
      <c r="ELH745" s="303"/>
      <c r="ELI745" s="303"/>
      <c r="ELJ745" s="303"/>
      <c r="ELK745" s="303"/>
      <c r="ELL745" s="303"/>
      <c r="ELM745" s="303"/>
      <c r="ELN745" s="303"/>
      <c r="ELO745" s="303"/>
      <c r="ELP745" s="303"/>
      <c r="ELQ745" s="303"/>
      <c r="ELR745" s="303"/>
      <c r="ELS745" s="303"/>
      <c r="ELT745" s="303"/>
      <c r="ELU745" s="303"/>
      <c r="ELV745" s="303"/>
      <c r="ELW745" s="303"/>
      <c r="ELX745" s="303"/>
      <c r="ELY745" s="303"/>
      <c r="ELZ745" s="303"/>
      <c r="EMA745" s="303"/>
      <c r="EMB745" s="303"/>
      <c r="EMC745" s="303"/>
      <c r="EMD745" s="303"/>
      <c r="EME745" s="303"/>
      <c r="EMF745" s="303"/>
      <c r="EMG745" s="303"/>
      <c r="EMH745" s="303"/>
      <c r="EMI745" s="303"/>
      <c r="EMJ745" s="303"/>
      <c r="EMK745" s="303"/>
      <c r="EML745" s="303"/>
      <c r="EMM745" s="303"/>
      <c r="EMN745" s="303"/>
      <c r="EMO745" s="303"/>
      <c r="EMP745" s="303"/>
      <c r="EMQ745" s="303"/>
      <c r="EMR745" s="303"/>
      <c r="EMS745" s="303"/>
      <c r="EMT745" s="303"/>
      <c r="EMU745" s="303"/>
      <c r="EMV745" s="303"/>
      <c r="EMW745" s="303"/>
      <c r="EMX745" s="303"/>
      <c r="EMY745" s="303"/>
      <c r="EMZ745" s="303"/>
      <c r="ENA745" s="303"/>
      <c r="ENB745" s="303"/>
      <c r="ENC745" s="303"/>
      <c r="END745" s="303"/>
      <c r="ENE745" s="303"/>
      <c r="ENF745" s="303"/>
      <c r="ENG745" s="303"/>
      <c r="ENH745" s="303"/>
      <c r="ENI745" s="303"/>
      <c r="ENJ745" s="303"/>
      <c r="ENK745" s="303"/>
      <c r="ENL745" s="303"/>
      <c r="ENM745" s="303"/>
      <c r="ENN745" s="303"/>
      <c r="ENO745" s="303"/>
      <c r="ENP745" s="303"/>
      <c r="ENQ745" s="303"/>
      <c r="ENR745" s="303"/>
      <c r="ENS745" s="303"/>
      <c r="ENT745" s="303"/>
      <c r="ENU745" s="303"/>
      <c r="ENV745" s="303"/>
      <c r="ENW745" s="303"/>
      <c r="ENX745" s="303"/>
      <c r="ENY745" s="303"/>
      <c r="ENZ745" s="303"/>
      <c r="EOA745" s="303"/>
      <c r="EOB745" s="303"/>
      <c r="EOC745" s="303"/>
      <c r="EOD745" s="303"/>
      <c r="EOE745" s="303"/>
      <c r="EOF745" s="303"/>
      <c r="EOG745" s="303"/>
      <c r="EOH745" s="303"/>
      <c r="EOI745" s="303"/>
      <c r="EOJ745" s="303"/>
      <c r="EOK745" s="303"/>
      <c r="EOL745" s="303"/>
      <c r="EOM745" s="303"/>
      <c r="EON745" s="303"/>
      <c r="EOO745" s="303"/>
      <c r="EOP745" s="303"/>
      <c r="EOQ745" s="303"/>
      <c r="EOR745" s="303"/>
      <c r="EOS745" s="303"/>
      <c r="EOT745" s="303"/>
      <c r="EOU745" s="303"/>
      <c r="EOV745" s="303"/>
      <c r="EOW745" s="303"/>
      <c r="EOX745" s="303"/>
      <c r="EOY745" s="303"/>
      <c r="EOZ745" s="303"/>
      <c r="EPA745" s="303"/>
      <c r="EPB745" s="303"/>
      <c r="EPC745" s="303"/>
      <c r="EPD745" s="303"/>
      <c r="EPE745" s="303"/>
      <c r="EPF745" s="303"/>
      <c r="EPG745" s="303"/>
      <c r="EPH745" s="303"/>
      <c r="EPI745" s="303"/>
      <c r="EPJ745" s="303"/>
      <c r="EPK745" s="303"/>
      <c r="EPL745" s="303"/>
      <c r="EPM745" s="303"/>
      <c r="EPN745" s="303"/>
      <c r="EPO745" s="303"/>
      <c r="EPP745" s="303"/>
      <c r="EPQ745" s="303"/>
      <c r="EPR745" s="303"/>
      <c r="EPS745" s="303"/>
      <c r="EPT745" s="303"/>
      <c r="EPU745" s="303"/>
      <c r="EPV745" s="303"/>
      <c r="EPW745" s="303"/>
      <c r="EPX745" s="303"/>
      <c r="EPY745" s="303"/>
      <c r="EPZ745" s="303"/>
      <c r="EQA745" s="303"/>
      <c r="EQB745" s="303"/>
      <c r="EQC745" s="303"/>
      <c r="EQD745" s="303"/>
      <c r="EQE745" s="303"/>
      <c r="EQF745" s="303"/>
      <c r="EQG745" s="303"/>
      <c r="EQH745" s="303"/>
      <c r="EQI745" s="303"/>
      <c r="EQJ745" s="303"/>
      <c r="EQK745" s="303"/>
      <c r="EQL745" s="303"/>
      <c r="EQM745" s="303"/>
      <c r="EQN745" s="303"/>
      <c r="EQO745" s="303"/>
      <c r="EQP745" s="303"/>
      <c r="EQQ745" s="303"/>
      <c r="EQR745" s="303"/>
      <c r="EQS745" s="303"/>
      <c r="EQT745" s="303"/>
      <c r="EQU745" s="303"/>
      <c r="EQV745" s="303"/>
      <c r="EQW745" s="303"/>
      <c r="EQX745" s="303"/>
      <c r="EQY745" s="303"/>
      <c r="EQZ745" s="303"/>
      <c r="ERA745" s="303"/>
      <c r="ERB745" s="303"/>
      <c r="ERC745" s="303"/>
      <c r="ERD745" s="303"/>
      <c r="ERE745" s="303"/>
      <c r="ERF745" s="303"/>
      <c r="ERG745" s="303"/>
      <c r="ERH745" s="303"/>
      <c r="ERI745" s="303"/>
      <c r="ERJ745" s="303"/>
      <c r="ERK745" s="303"/>
      <c r="ERL745" s="303"/>
      <c r="ERM745" s="303"/>
      <c r="ERN745" s="303"/>
      <c r="ERO745" s="303"/>
      <c r="ERP745" s="303"/>
      <c r="ERQ745" s="303"/>
      <c r="ERR745" s="303"/>
      <c r="ERS745" s="303"/>
      <c r="ERT745" s="303"/>
      <c r="ERU745" s="303"/>
      <c r="ERV745" s="303"/>
      <c r="ERW745" s="303"/>
      <c r="ERX745" s="303"/>
      <c r="ERY745" s="303"/>
      <c r="ERZ745" s="303"/>
      <c r="ESA745" s="303"/>
      <c r="ESB745" s="303"/>
      <c r="ESC745" s="303"/>
      <c r="ESD745" s="303"/>
      <c r="ESE745" s="303"/>
      <c r="ESF745" s="303"/>
      <c r="ESG745" s="303"/>
      <c r="ESH745" s="303"/>
      <c r="ESI745" s="303"/>
      <c r="ESJ745" s="303"/>
      <c r="ESK745" s="303"/>
      <c r="ESL745" s="303"/>
      <c r="ESM745" s="303"/>
      <c r="ESN745" s="303"/>
      <c r="ESO745" s="303"/>
      <c r="ESP745" s="303"/>
      <c r="ESQ745" s="303"/>
      <c r="ESR745" s="303"/>
      <c r="ESS745" s="303"/>
      <c r="EST745" s="303"/>
      <c r="ESU745" s="303"/>
      <c r="ESV745" s="303"/>
      <c r="ESW745" s="303"/>
      <c r="ESX745" s="303"/>
      <c r="ESY745" s="303"/>
      <c r="ESZ745" s="303"/>
      <c r="ETA745" s="303"/>
      <c r="ETB745" s="303"/>
      <c r="ETC745" s="303"/>
      <c r="ETD745" s="303"/>
      <c r="ETE745" s="303"/>
      <c r="ETF745" s="303"/>
      <c r="ETG745" s="303"/>
      <c r="ETH745" s="303"/>
      <c r="ETI745" s="303"/>
      <c r="ETJ745" s="303"/>
      <c r="ETK745" s="303"/>
      <c r="ETL745" s="303"/>
      <c r="ETM745" s="303"/>
      <c r="ETN745" s="303"/>
      <c r="ETO745" s="303"/>
      <c r="ETP745" s="303"/>
      <c r="ETQ745" s="303"/>
      <c r="ETR745" s="303"/>
      <c r="ETS745" s="303"/>
      <c r="ETT745" s="303"/>
      <c r="ETU745" s="303"/>
      <c r="ETV745" s="303"/>
      <c r="ETW745" s="303"/>
      <c r="ETX745" s="303"/>
      <c r="ETY745" s="303"/>
      <c r="ETZ745" s="303"/>
      <c r="EUA745" s="303"/>
      <c r="EUB745" s="303"/>
      <c r="EUC745" s="303"/>
      <c r="EUD745" s="303"/>
      <c r="EUE745" s="303"/>
      <c r="EUF745" s="303"/>
      <c r="EUG745" s="303"/>
      <c r="EUH745" s="303"/>
      <c r="EUI745" s="303"/>
      <c r="EUJ745" s="303"/>
      <c r="EUK745" s="303"/>
      <c r="EUL745" s="303"/>
      <c r="EUM745" s="303"/>
      <c r="EUN745" s="303"/>
      <c r="EUO745" s="303"/>
      <c r="EUP745" s="303"/>
      <c r="EUQ745" s="303"/>
      <c r="EUR745" s="303"/>
      <c r="EUS745" s="303"/>
      <c r="EUT745" s="303"/>
      <c r="EUU745" s="303"/>
      <c r="EUV745" s="303"/>
      <c r="EUW745" s="303"/>
      <c r="EUX745" s="303"/>
      <c r="EUY745" s="303"/>
      <c r="EUZ745" s="303"/>
      <c r="EVA745" s="303"/>
      <c r="EVB745" s="303"/>
      <c r="EVC745" s="303"/>
      <c r="EVD745" s="303"/>
      <c r="EVE745" s="303"/>
      <c r="EVF745" s="303"/>
      <c r="EVG745" s="303"/>
      <c r="EVH745" s="303"/>
      <c r="EVI745" s="303"/>
      <c r="EVJ745" s="303"/>
      <c r="EVK745" s="303"/>
      <c r="EVL745" s="303"/>
      <c r="EVM745" s="303"/>
      <c r="EVN745" s="303"/>
      <c r="EVO745" s="303"/>
      <c r="EVP745" s="303"/>
      <c r="EVQ745" s="303"/>
      <c r="EVR745" s="303"/>
      <c r="EVS745" s="303"/>
      <c r="EVT745" s="303"/>
      <c r="EVU745" s="303"/>
      <c r="EVV745" s="303"/>
      <c r="EVW745" s="303"/>
      <c r="EVX745" s="303"/>
      <c r="EVY745" s="303"/>
      <c r="EVZ745" s="303"/>
      <c r="EWA745" s="303"/>
      <c r="EWB745" s="303"/>
      <c r="EWC745" s="303"/>
      <c r="EWD745" s="303"/>
      <c r="EWE745" s="303"/>
      <c r="EWF745" s="303"/>
      <c r="EWG745" s="303"/>
      <c r="EWH745" s="303"/>
      <c r="EWI745" s="303"/>
      <c r="EWJ745" s="303"/>
      <c r="EWK745" s="303"/>
      <c r="EWL745" s="303"/>
      <c r="EWM745" s="303"/>
      <c r="EWN745" s="303"/>
      <c r="EWO745" s="303"/>
      <c r="EWP745" s="303"/>
      <c r="EWQ745" s="303"/>
      <c r="EWR745" s="303"/>
      <c r="EWS745" s="303"/>
      <c r="EWT745" s="303"/>
      <c r="EWU745" s="303"/>
      <c r="EWV745" s="303"/>
      <c r="EWW745" s="303"/>
      <c r="EWX745" s="303"/>
      <c r="EWY745" s="303"/>
      <c r="EWZ745" s="303"/>
      <c r="EXA745" s="303"/>
      <c r="EXB745" s="303"/>
      <c r="EXC745" s="303"/>
      <c r="EXD745" s="303"/>
      <c r="EXE745" s="303"/>
      <c r="EXF745" s="303"/>
      <c r="EXG745" s="303"/>
      <c r="EXH745" s="303"/>
      <c r="EXI745" s="303"/>
      <c r="EXJ745" s="303"/>
      <c r="EXK745" s="303"/>
      <c r="EXL745" s="303"/>
      <c r="EXM745" s="303"/>
      <c r="EXN745" s="303"/>
      <c r="EXO745" s="303"/>
      <c r="EXP745" s="303"/>
      <c r="EXQ745" s="303"/>
      <c r="EXR745" s="303"/>
      <c r="EXS745" s="303"/>
      <c r="EXT745" s="303"/>
      <c r="EXU745" s="303"/>
      <c r="EXV745" s="303"/>
      <c r="EXW745" s="303"/>
      <c r="EXX745" s="303"/>
      <c r="EXY745" s="303"/>
      <c r="EXZ745" s="303"/>
      <c r="EYA745" s="303"/>
      <c r="EYB745" s="303"/>
      <c r="EYC745" s="303"/>
      <c r="EYD745" s="303"/>
      <c r="EYE745" s="303"/>
      <c r="EYF745" s="303"/>
      <c r="EYG745" s="303"/>
      <c r="EYH745" s="303"/>
      <c r="EYI745" s="303"/>
      <c r="EYJ745" s="303"/>
      <c r="EYK745" s="303"/>
      <c r="EYL745" s="303"/>
      <c r="EYM745" s="303"/>
      <c r="EYN745" s="303"/>
      <c r="EYO745" s="303"/>
      <c r="EYP745" s="303"/>
      <c r="EYQ745" s="303"/>
      <c r="EYR745" s="303"/>
      <c r="EYS745" s="303"/>
      <c r="EYT745" s="303"/>
      <c r="EYU745" s="303"/>
      <c r="EYV745" s="303"/>
      <c r="EYW745" s="303"/>
      <c r="EYX745" s="303"/>
      <c r="EYY745" s="303"/>
      <c r="EYZ745" s="303"/>
      <c r="EZA745" s="303"/>
      <c r="EZB745" s="303"/>
      <c r="EZC745" s="303"/>
      <c r="EZD745" s="303"/>
      <c r="EZE745" s="303"/>
      <c r="EZF745" s="303"/>
      <c r="EZG745" s="303"/>
      <c r="EZH745" s="303"/>
      <c r="EZI745" s="303"/>
      <c r="EZJ745" s="303"/>
      <c r="EZK745" s="303"/>
      <c r="EZL745" s="303"/>
      <c r="EZM745" s="303"/>
      <c r="EZN745" s="303"/>
      <c r="EZO745" s="303"/>
      <c r="EZP745" s="303"/>
      <c r="EZQ745" s="303"/>
      <c r="EZR745" s="303"/>
      <c r="EZS745" s="303"/>
      <c r="EZT745" s="303"/>
      <c r="EZU745" s="303"/>
      <c r="EZV745" s="303"/>
      <c r="EZW745" s="303"/>
      <c r="EZX745" s="303"/>
      <c r="EZY745" s="303"/>
      <c r="EZZ745" s="303"/>
      <c r="FAA745" s="303"/>
      <c r="FAB745" s="303"/>
      <c r="FAC745" s="303"/>
      <c r="FAD745" s="303"/>
      <c r="FAE745" s="303"/>
      <c r="FAF745" s="303"/>
      <c r="FAG745" s="303"/>
      <c r="FAH745" s="303"/>
      <c r="FAI745" s="303"/>
      <c r="FAJ745" s="303"/>
      <c r="FAK745" s="303"/>
      <c r="FAL745" s="303"/>
      <c r="FAM745" s="303"/>
      <c r="FAN745" s="303"/>
      <c r="FAO745" s="303"/>
      <c r="FAP745" s="303"/>
      <c r="FAQ745" s="303"/>
      <c r="FAR745" s="303"/>
      <c r="FAS745" s="303"/>
      <c r="FAT745" s="303"/>
      <c r="FAU745" s="303"/>
      <c r="FAV745" s="303"/>
      <c r="FAW745" s="303"/>
      <c r="FAX745" s="303"/>
      <c r="FAY745" s="303"/>
      <c r="FAZ745" s="303"/>
      <c r="FBA745" s="303"/>
      <c r="FBB745" s="303"/>
      <c r="FBC745" s="303"/>
      <c r="FBD745" s="303"/>
      <c r="FBE745" s="303"/>
      <c r="FBF745" s="303"/>
      <c r="FBG745" s="303"/>
      <c r="FBH745" s="303"/>
      <c r="FBI745" s="303"/>
      <c r="FBJ745" s="303"/>
      <c r="FBK745" s="303"/>
      <c r="FBL745" s="303"/>
      <c r="FBM745" s="303"/>
      <c r="FBN745" s="303"/>
      <c r="FBO745" s="303"/>
      <c r="FBP745" s="303"/>
      <c r="FBQ745" s="303"/>
      <c r="FBR745" s="303"/>
      <c r="FBS745" s="303"/>
      <c r="FBT745" s="303"/>
      <c r="FBU745" s="303"/>
      <c r="FBV745" s="303"/>
      <c r="FBW745" s="303"/>
      <c r="FBX745" s="303"/>
      <c r="FBY745" s="303"/>
      <c r="FBZ745" s="303"/>
      <c r="FCA745" s="303"/>
      <c r="FCB745" s="303"/>
      <c r="FCC745" s="303"/>
      <c r="FCD745" s="303"/>
      <c r="FCE745" s="303"/>
      <c r="FCF745" s="303"/>
      <c r="FCG745" s="303"/>
      <c r="FCH745" s="303"/>
      <c r="FCI745" s="303"/>
      <c r="FCJ745" s="303"/>
      <c r="FCK745" s="303"/>
      <c r="FCL745" s="303"/>
      <c r="FCM745" s="303"/>
      <c r="FCN745" s="303"/>
      <c r="FCO745" s="303"/>
      <c r="FCP745" s="303"/>
      <c r="FCQ745" s="303"/>
      <c r="FCR745" s="303"/>
      <c r="FCS745" s="303"/>
      <c r="FCT745" s="303"/>
      <c r="FCU745" s="303"/>
      <c r="FCV745" s="303"/>
      <c r="FCW745" s="303"/>
      <c r="FCX745" s="303"/>
      <c r="FCY745" s="303"/>
      <c r="FCZ745" s="303"/>
      <c r="FDA745" s="303"/>
      <c r="FDB745" s="303"/>
      <c r="FDC745" s="303"/>
      <c r="FDD745" s="303"/>
      <c r="FDE745" s="303"/>
      <c r="FDF745" s="303"/>
      <c r="FDG745" s="303"/>
      <c r="FDH745" s="303"/>
      <c r="FDI745" s="303"/>
      <c r="FDJ745" s="303"/>
      <c r="FDK745" s="303"/>
      <c r="FDL745" s="303"/>
      <c r="FDM745" s="303"/>
      <c r="FDN745" s="303"/>
      <c r="FDO745" s="303"/>
      <c r="FDP745" s="303"/>
      <c r="FDQ745" s="303"/>
      <c r="FDR745" s="303"/>
      <c r="FDS745" s="303"/>
      <c r="FDT745" s="303"/>
      <c r="FDU745" s="303"/>
      <c r="FDV745" s="303"/>
      <c r="FDW745" s="303"/>
      <c r="FDX745" s="303"/>
      <c r="FDY745" s="303"/>
      <c r="FDZ745" s="303"/>
      <c r="FEA745" s="303"/>
      <c r="FEB745" s="303"/>
      <c r="FEC745" s="303"/>
      <c r="FED745" s="303"/>
      <c r="FEE745" s="303"/>
      <c r="FEF745" s="303"/>
      <c r="FEG745" s="303"/>
      <c r="FEH745" s="303"/>
      <c r="FEI745" s="303"/>
      <c r="FEJ745" s="303"/>
      <c r="FEK745" s="303"/>
      <c r="FEL745" s="303"/>
      <c r="FEM745" s="303"/>
      <c r="FEN745" s="303"/>
      <c r="FEO745" s="303"/>
      <c r="FEP745" s="303"/>
      <c r="FEQ745" s="303"/>
      <c r="FER745" s="303"/>
      <c r="FES745" s="303"/>
      <c r="FET745" s="303"/>
      <c r="FEU745" s="303"/>
      <c r="FEV745" s="303"/>
      <c r="FEW745" s="303"/>
      <c r="FEX745" s="303"/>
      <c r="FEY745" s="303"/>
      <c r="FEZ745" s="303"/>
      <c r="FFA745" s="303"/>
      <c r="FFB745" s="303"/>
      <c r="FFC745" s="303"/>
      <c r="FFD745" s="303"/>
      <c r="FFE745" s="303"/>
      <c r="FFF745" s="303"/>
      <c r="FFG745" s="303"/>
      <c r="FFH745" s="303"/>
      <c r="FFI745" s="303"/>
      <c r="FFJ745" s="303"/>
      <c r="FFK745" s="303"/>
      <c r="FFL745" s="303"/>
      <c r="FFM745" s="303"/>
      <c r="FFN745" s="303"/>
      <c r="FFO745" s="303"/>
      <c r="FFP745" s="303"/>
      <c r="FFQ745" s="303"/>
      <c r="FFR745" s="303"/>
      <c r="FFS745" s="303"/>
      <c r="FFT745" s="303"/>
      <c r="FFU745" s="303"/>
      <c r="FFV745" s="303"/>
      <c r="FFW745" s="303"/>
      <c r="FFX745" s="303"/>
      <c r="FFY745" s="303"/>
      <c r="FFZ745" s="303"/>
      <c r="FGA745" s="303"/>
      <c r="FGB745" s="303"/>
      <c r="FGC745" s="303"/>
      <c r="FGD745" s="303"/>
      <c r="FGE745" s="303"/>
      <c r="FGF745" s="303"/>
      <c r="FGG745" s="303"/>
      <c r="FGH745" s="303"/>
      <c r="FGI745" s="303"/>
      <c r="FGJ745" s="303"/>
      <c r="FGK745" s="303"/>
      <c r="FGL745" s="303"/>
      <c r="FGM745" s="303"/>
      <c r="FGN745" s="303"/>
      <c r="FGO745" s="303"/>
      <c r="FGP745" s="303"/>
      <c r="FGQ745" s="303"/>
      <c r="FGR745" s="303"/>
      <c r="FGS745" s="303"/>
      <c r="FGT745" s="303"/>
      <c r="FGU745" s="303"/>
      <c r="FGV745" s="303"/>
      <c r="FGW745" s="303"/>
      <c r="FGX745" s="303"/>
      <c r="FGY745" s="303"/>
      <c r="FGZ745" s="303"/>
      <c r="FHA745" s="303"/>
      <c r="FHB745" s="303"/>
      <c r="FHC745" s="303"/>
      <c r="FHD745" s="303"/>
      <c r="FHE745" s="303"/>
      <c r="FHF745" s="303"/>
      <c r="FHG745" s="303"/>
      <c r="FHH745" s="303"/>
      <c r="FHI745" s="303"/>
      <c r="FHJ745" s="303"/>
      <c r="FHK745" s="303"/>
      <c r="FHL745" s="303"/>
      <c r="FHM745" s="303"/>
      <c r="FHN745" s="303"/>
      <c r="FHO745" s="303"/>
      <c r="FHP745" s="303"/>
      <c r="FHQ745" s="303"/>
      <c r="FHR745" s="303"/>
      <c r="FHS745" s="303"/>
      <c r="FHT745" s="303"/>
      <c r="FHU745" s="303"/>
      <c r="FHV745" s="303"/>
      <c r="FHW745" s="303"/>
      <c r="FHX745" s="303"/>
      <c r="FHY745" s="303"/>
      <c r="FHZ745" s="303"/>
      <c r="FIA745" s="303"/>
      <c r="FIB745" s="303"/>
      <c r="FIC745" s="303"/>
      <c r="FID745" s="303"/>
      <c r="FIE745" s="303"/>
      <c r="FIF745" s="303"/>
      <c r="FIG745" s="303"/>
      <c r="FIH745" s="303"/>
      <c r="FII745" s="303"/>
      <c r="FIJ745" s="303"/>
      <c r="FIK745" s="303"/>
      <c r="FIL745" s="303"/>
      <c r="FIM745" s="303"/>
      <c r="FIN745" s="303"/>
      <c r="FIO745" s="303"/>
      <c r="FIP745" s="303"/>
      <c r="FIQ745" s="303"/>
      <c r="FIR745" s="303"/>
      <c r="FIS745" s="303"/>
      <c r="FIT745" s="303"/>
      <c r="FIU745" s="303"/>
      <c r="FIV745" s="303"/>
      <c r="FIW745" s="303"/>
      <c r="FIX745" s="303"/>
      <c r="FIY745" s="303"/>
      <c r="FIZ745" s="303"/>
      <c r="FJA745" s="303"/>
      <c r="FJB745" s="303"/>
      <c r="FJC745" s="303"/>
      <c r="FJD745" s="303"/>
      <c r="FJE745" s="303"/>
      <c r="FJF745" s="303"/>
      <c r="FJG745" s="303"/>
      <c r="FJH745" s="303"/>
      <c r="FJI745" s="303"/>
      <c r="FJJ745" s="303"/>
      <c r="FJK745" s="303"/>
      <c r="FJL745" s="303"/>
      <c r="FJM745" s="303"/>
      <c r="FJN745" s="303"/>
      <c r="FJO745" s="303"/>
      <c r="FJP745" s="303"/>
      <c r="FJQ745" s="303"/>
      <c r="FJR745" s="303"/>
      <c r="FJS745" s="303"/>
      <c r="FJT745" s="303"/>
      <c r="FJU745" s="303"/>
      <c r="FJV745" s="303"/>
      <c r="FJW745" s="303"/>
      <c r="FJX745" s="303"/>
      <c r="FJY745" s="303"/>
      <c r="FJZ745" s="303"/>
      <c r="FKA745" s="303"/>
      <c r="FKB745" s="303"/>
      <c r="FKC745" s="303"/>
      <c r="FKD745" s="303"/>
      <c r="FKE745" s="303"/>
      <c r="FKF745" s="303"/>
      <c r="FKG745" s="303"/>
      <c r="FKH745" s="303"/>
      <c r="FKI745" s="303"/>
      <c r="FKJ745" s="303"/>
      <c r="FKK745" s="303"/>
      <c r="FKL745" s="303"/>
      <c r="FKM745" s="303"/>
      <c r="FKN745" s="303"/>
      <c r="FKO745" s="303"/>
      <c r="FKP745" s="303"/>
      <c r="FKQ745" s="303"/>
      <c r="FKR745" s="303"/>
      <c r="FKS745" s="303"/>
      <c r="FKT745" s="303"/>
      <c r="FKU745" s="303"/>
      <c r="FKV745" s="303"/>
      <c r="FKW745" s="303"/>
      <c r="FKX745" s="303"/>
      <c r="FKY745" s="303"/>
      <c r="FKZ745" s="303"/>
      <c r="FLA745" s="303"/>
      <c r="FLB745" s="303"/>
      <c r="FLC745" s="303"/>
      <c r="FLD745" s="303"/>
      <c r="FLE745" s="303"/>
      <c r="FLF745" s="303"/>
      <c r="FLG745" s="303"/>
      <c r="FLH745" s="303"/>
      <c r="FLI745" s="303"/>
      <c r="FLJ745" s="303"/>
      <c r="FLK745" s="303"/>
      <c r="FLL745" s="303"/>
      <c r="FLM745" s="303"/>
      <c r="FLN745" s="303"/>
      <c r="FLO745" s="303"/>
      <c r="FLP745" s="303"/>
      <c r="FLQ745" s="303"/>
      <c r="FLR745" s="303"/>
      <c r="FLS745" s="303"/>
      <c r="FLT745" s="303"/>
      <c r="FLU745" s="303"/>
      <c r="FLV745" s="303"/>
      <c r="FLW745" s="303"/>
      <c r="FLX745" s="303"/>
      <c r="FLY745" s="303"/>
      <c r="FLZ745" s="303"/>
      <c r="FMA745" s="303"/>
      <c r="FMB745" s="303"/>
      <c r="FMC745" s="303"/>
      <c r="FMD745" s="303"/>
      <c r="FME745" s="303"/>
      <c r="FMF745" s="303"/>
      <c r="FMG745" s="303"/>
      <c r="FMH745" s="303"/>
      <c r="FMI745" s="303"/>
      <c r="FMJ745" s="303"/>
      <c r="FMK745" s="303"/>
      <c r="FML745" s="303"/>
      <c r="FMM745" s="303"/>
      <c r="FMN745" s="303"/>
      <c r="FMO745" s="303"/>
      <c r="FMP745" s="303"/>
      <c r="FMQ745" s="303"/>
      <c r="FMR745" s="303"/>
      <c r="FMS745" s="303"/>
      <c r="FMT745" s="303"/>
      <c r="FMU745" s="303"/>
      <c r="FMV745" s="303"/>
      <c r="FMW745" s="303"/>
      <c r="FMX745" s="303"/>
      <c r="FMY745" s="303"/>
      <c r="FMZ745" s="303"/>
      <c r="FNA745" s="303"/>
      <c r="FNB745" s="303"/>
      <c r="FNC745" s="303"/>
      <c r="FND745" s="303"/>
      <c r="FNE745" s="303"/>
      <c r="FNF745" s="303"/>
      <c r="FNG745" s="303"/>
      <c r="FNH745" s="303"/>
      <c r="FNI745" s="303"/>
      <c r="FNJ745" s="303"/>
      <c r="FNK745" s="303"/>
      <c r="FNL745" s="303"/>
      <c r="FNM745" s="303"/>
      <c r="FNN745" s="303"/>
      <c r="FNO745" s="303"/>
      <c r="FNP745" s="303"/>
      <c r="FNQ745" s="303"/>
      <c r="FNR745" s="303"/>
      <c r="FNS745" s="303"/>
      <c r="FNT745" s="303"/>
      <c r="FNU745" s="303"/>
      <c r="FNV745" s="303"/>
      <c r="FNW745" s="303"/>
      <c r="FNX745" s="303"/>
      <c r="FNY745" s="303"/>
      <c r="FNZ745" s="303"/>
      <c r="FOA745" s="303"/>
      <c r="FOB745" s="303"/>
      <c r="FOC745" s="303"/>
      <c r="FOD745" s="303"/>
      <c r="FOE745" s="303"/>
      <c r="FOF745" s="303"/>
      <c r="FOG745" s="303"/>
      <c r="FOH745" s="303"/>
      <c r="FOI745" s="303"/>
      <c r="FOJ745" s="303"/>
      <c r="FOK745" s="303"/>
      <c r="FOL745" s="303"/>
      <c r="FOM745" s="303"/>
      <c r="FON745" s="303"/>
      <c r="FOO745" s="303"/>
      <c r="FOP745" s="303"/>
      <c r="FOQ745" s="303"/>
      <c r="FOR745" s="303"/>
      <c r="FOS745" s="303"/>
      <c r="FOT745" s="303"/>
      <c r="FOU745" s="303"/>
      <c r="FOV745" s="303"/>
      <c r="FOW745" s="303"/>
      <c r="FOX745" s="303"/>
      <c r="FOY745" s="303"/>
      <c r="FOZ745" s="303"/>
      <c r="FPA745" s="303"/>
      <c r="FPB745" s="303"/>
      <c r="FPC745" s="303"/>
      <c r="FPD745" s="303"/>
      <c r="FPE745" s="303"/>
      <c r="FPF745" s="303"/>
      <c r="FPG745" s="303"/>
      <c r="FPH745" s="303"/>
      <c r="FPI745" s="303"/>
      <c r="FPJ745" s="303"/>
      <c r="FPK745" s="303"/>
      <c r="FPL745" s="303"/>
      <c r="FPM745" s="303"/>
      <c r="FPN745" s="303"/>
      <c r="FPO745" s="303"/>
      <c r="FPP745" s="303"/>
      <c r="FPQ745" s="303"/>
      <c r="FPR745" s="303"/>
      <c r="FPS745" s="303"/>
      <c r="FPT745" s="303"/>
      <c r="FPU745" s="303"/>
      <c r="FPV745" s="303"/>
      <c r="FPW745" s="303"/>
      <c r="FPX745" s="303"/>
      <c r="FPY745" s="303"/>
      <c r="FPZ745" s="303"/>
      <c r="FQA745" s="303"/>
      <c r="FQB745" s="303"/>
      <c r="FQC745" s="303"/>
      <c r="FQD745" s="303"/>
      <c r="FQE745" s="303"/>
      <c r="FQF745" s="303"/>
      <c r="FQG745" s="303"/>
      <c r="FQH745" s="303"/>
      <c r="FQI745" s="303"/>
      <c r="FQJ745" s="303"/>
      <c r="FQK745" s="303"/>
      <c r="FQL745" s="303"/>
      <c r="FQM745" s="303"/>
      <c r="FQN745" s="303"/>
      <c r="FQO745" s="303"/>
      <c r="FQP745" s="303"/>
      <c r="FQQ745" s="303"/>
      <c r="FQR745" s="303"/>
      <c r="FQS745" s="303"/>
      <c r="FQT745" s="303"/>
      <c r="FQU745" s="303"/>
      <c r="FQV745" s="303"/>
      <c r="FQW745" s="303"/>
      <c r="FQX745" s="303"/>
      <c r="FQY745" s="303"/>
      <c r="FQZ745" s="303"/>
      <c r="FRA745" s="303"/>
      <c r="FRB745" s="303"/>
      <c r="FRC745" s="303"/>
      <c r="FRD745" s="303"/>
      <c r="FRE745" s="303"/>
      <c r="FRF745" s="303"/>
      <c r="FRG745" s="303"/>
      <c r="FRH745" s="303"/>
      <c r="FRI745" s="303"/>
      <c r="FRJ745" s="303"/>
      <c r="FRK745" s="303"/>
      <c r="FRL745" s="303"/>
      <c r="FRM745" s="303"/>
      <c r="FRN745" s="303"/>
      <c r="FRO745" s="303"/>
      <c r="FRP745" s="303"/>
      <c r="FRQ745" s="303"/>
      <c r="FRR745" s="303"/>
      <c r="FRS745" s="303"/>
      <c r="FRT745" s="303"/>
      <c r="FRU745" s="303"/>
      <c r="FRV745" s="303"/>
      <c r="FRW745" s="303"/>
      <c r="FRX745" s="303"/>
      <c r="FRY745" s="303"/>
      <c r="FRZ745" s="303"/>
      <c r="FSA745" s="303"/>
      <c r="FSB745" s="303"/>
      <c r="FSC745" s="303"/>
      <c r="FSD745" s="303"/>
      <c r="FSE745" s="303"/>
      <c r="FSF745" s="303"/>
      <c r="FSG745" s="303"/>
      <c r="FSH745" s="303"/>
      <c r="FSI745" s="303"/>
      <c r="FSJ745" s="303"/>
      <c r="FSK745" s="303"/>
      <c r="FSL745" s="303"/>
      <c r="FSM745" s="303"/>
      <c r="FSN745" s="303"/>
      <c r="FSO745" s="303"/>
      <c r="FSP745" s="303"/>
      <c r="FSQ745" s="303"/>
      <c r="FSR745" s="303"/>
      <c r="FSS745" s="303"/>
      <c r="FST745" s="303"/>
      <c r="FSU745" s="303"/>
      <c r="FSV745" s="303"/>
      <c r="FSW745" s="303"/>
      <c r="FSX745" s="303"/>
      <c r="FSY745" s="303"/>
      <c r="FSZ745" s="303"/>
      <c r="FTA745" s="303"/>
      <c r="FTB745" s="303"/>
      <c r="FTC745" s="303"/>
      <c r="FTD745" s="303"/>
      <c r="FTE745" s="303"/>
      <c r="FTF745" s="303"/>
      <c r="FTG745" s="303"/>
      <c r="FTH745" s="303"/>
      <c r="FTI745" s="303"/>
      <c r="FTJ745" s="303"/>
      <c r="FTK745" s="303"/>
      <c r="FTL745" s="303"/>
      <c r="FTM745" s="303"/>
      <c r="FTN745" s="303"/>
      <c r="FTO745" s="303"/>
      <c r="FTP745" s="303"/>
      <c r="FTQ745" s="303"/>
      <c r="FTR745" s="303"/>
      <c r="FTS745" s="303"/>
      <c r="FTT745" s="303"/>
      <c r="FTU745" s="303"/>
      <c r="FTV745" s="303"/>
      <c r="FTW745" s="303"/>
      <c r="FTX745" s="303"/>
      <c r="FTY745" s="303"/>
      <c r="FTZ745" s="303"/>
      <c r="FUA745" s="303"/>
      <c r="FUB745" s="303"/>
      <c r="FUC745" s="303"/>
      <c r="FUD745" s="303"/>
      <c r="FUE745" s="303"/>
      <c r="FUF745" s="303"/>
      <c r="FUG745" s="303"/>
      <c r="FUH745" s="303"/>
      <c r="FUI745" s="303"/>
      <c r="FUJ745" s="303"/>
      <c r="FUK745" s="303"/>
      <c r="FUL745" s="303"/>
      <c r="FUM745" s="303"/>
      <c r="FUN745" s="303"/>
      <c r="FUO745" s="303"/>
      <c r="FUP745" s="303"/>
      <c r="FUQ745" s="303"/>
      <c r="FUR745" s="303"/>
      <c r="FUS745" s="303"/>
      <c r="FUT745" s="303"/>
      <c r="FUU745" s="303"/>
      <c r="FUV745" s="303"/>
      <c r="FUW745" s="303"/>
      <c r="FUX745" s="303"/>
      <c r="FUY745" s="303"/>
      <c r="FUZ745" s="303"/>
      <c r="FVA745" s="303"/>
      <c r="FVB745" s="303"/>
      <c r="FVC745" s="303"/>
      <c r="FVD745" s="303"/>
      <c r="FVE745" s="303"/>
      <c r="FVF745" s="303"/>
      <c r="FVG745" s="303"/>
      <c r="FVH745" s="303"/>
      <c r="FVI745" s="303"/>
      <c r="FVJ745" s="303"/>
      <c r="FVK745" s="303"/>
      <c r="FVL745" s="303"/>
      <c r="FVM745" s="303"/>
      <c r="FVN745" s="303"/>
      <c r="FVO745" s="303"/>
      <c r="FVP745" s="303"/>
      <c r="FVQ745" s="303"/>
      <c r="FVR745" s="303"/>
      <c r="FVS745" s="303"/>
      <c r="FVT745" s="303"/>
      <c r="FVU745" s="303"/>
      <c r="FVV745" s="303"/>
      <c r="FVW745" s="303"/>
      <c r="FVX745" s="303"/>
      <c r="FVY745" s="303"/>
      <c r="FVZ745" s="303"/>
      <c r="FWA745" s="303"/>
      <c r="FWB745" s="303"/>
      <c r="FWC745" s="303"/>
      <c r="FWD745" s="303"/>
      <c r="FWE745" s="303"/>
      <c r="FWF745" s="303"/>
      <c r="FWG745" s="303"/>
      <c r="FWH745" s="303"/>
      <c r="FWI745" s="303"/>
      <c r="FWJ745" s="303"/>
      <c r="FWK745" s="303"/>
      <c r="FWL745" s="303"/>
      <c r="FWM745" s="303"/>
      <c r="FWN745" s="303"/>
      <c r="FWO745" s="303"/>
      <c r="FWP745" s="303"/>
      <c r="FWQ745" s="303"/>
      <c r="FWR745" s="303"/>
      <c r="FWS745" s="303"/>
      <c r="FWT745" s="303"/>
      <c r="FWU745" s="303"/>
      <c r="FWV745" s="303"/>
      <c r="FWW745" s="303"/>
      <c r="FWX745" s="303"/>
      <c r="FWY745" s="303"/>
      <c r="FWZ745" s="303"/>
      <c r="FXA745" s="303"/>
      <c r="FXB745" s="303"/>
      <c r="FXC745" s="303"/>
      <c r="FXD745" s="303"/>
      <c r="FXE745" s="303"/>
      <c r="FXF745" s="303"/>
      <c r="FXG745" s="303"/>
      <c r="FXH745" s="303"/>
      <c r="FXI745" s="303"/>
      <c r="FXJ745" s="303"/>
      <c r="FXK745" s="303"/>
      <c r="FXL745" s="303"/>
      <c r="FXM745" s="303"/>
      <c r="FXN745" s="303"/>
      <c r="FXO745" s="303"/>
      <c r="FXP745" s="303"/>
      <c r="FXQ745" s="303"/>
      <c r="FXR745" s="303"/>
      <c r="FXS745" s="303"/>
      <c r="FXT745" s="303"/>
      <c r="FXU745" s="303"/>
      <c r="FXV745" s="303"/>
      <c r="FXW745" s="303"/>
      <c r="FXX745" s="303"/>
      <c r="FXY745" s="303"/>
      <c r="FXZ745" s="303"/>
      <c r="FYA745" s="303"/>
      <c r="FYB745" s="303"/>
      <c r="FYC745" s="303"/>
      <c r="FYD745" s="303"/>
      <c r="FYE745" s="303"/>
      <c r="FYF745" s="303"/>
      <c r="FYG745" s="303"/>
      <c r="FYH745" s="303"/>
      <c r="FYI745" s="303"/>
      <c r="FYJ745" s="303"/>
      <c r="FYK745" s="303"/>
      <c r="FYL745" s="303"/>
      <c r="FYM745" s="303"/>
      <c r="FYN745" s="303"/>
      <c r="FYO745" s="303"/>
      <c r="FYP745" s="303"/>
      <c r="FYQ745" s="303"/>
      <c r="FYR745" s="303"/>
      <c r="FYS745" s="303"/>
      <c r="FYT745" s="303"/>
      <c r="FYU745" s="303"/>
      <c r="FYV745" s="303"/>
      <c r="FYW745" s="303"/>
      <c r="FYX745" s="303"/>
      <c r="FYY745" s="303"/>
      <c r="FYZ745" s="303"/>
      <c r="FZA745" s="303"/>
      <c r="FZB745" s="303"/>
      <c r="FZC745" s="303"/>
      <c r="FZD745" s="303"/>
      <c r="FZE745" s="303"/>
      <c r="FZF745" s="303"/>
      <c r="FZG745" s="303"/>
      <c r="FZH745" s="303"/>
      <c r="FZI745" s="303"/>
      <c r="FZJ745" s="303"/>
      <c r="FZK745" s="303"/>
      <c r="FZL745" s="303"/>
      <c r="FZM745" s="303"/>
      <c r="FZN745" s="303"/>
      <c r="FZO745" s="303"/>
      <c r="FZP745" s="303"/>
      <c r="FZQ745" s="303"/>
      <c r="FZR745" s="303"/>
      <c r="FZS745" s="303"/>
      <c r="FZT745" s="303"/>
      <c r="FZU745" s="303"/>
      <c r="FZV745" s="303"/>
      <c r="FZW745" s="303"/>
      <c r="FZX745" s="303"/>
      <c r="FZY745" s="303"/>
      <c r="FZZ745" s="303"/>
      <c r="GAA745" s="303"/>
      <c r="GAB745" s="303"/>
      <c r="GAC745" s="303"/>
      <c r="GAD745" s="303"/>
      <c r="GAE745" s="303"/>
      <c r="GAF745" s="303"/>
      <c r="GAG745" s="303"/>
      <c r="GAH745" s="303"/>
      <c r="GAI745" s="303"/>
      <c r="GAJ745" s="303"/>
      <c r="GAK745" s="303"/>
      <c r="GAL745" s="303"/>
      <c r="GAM745" s="303"/>
      <c r="GAN745" s="303"/>
      <c r="GAO745" s="303"/>
      <c r="GAP745" s="303"/>
      <c r="GAQ745" s="303"/>
      <c r="GAR745" s="303"/>
      <c r="GAS745" s="303"/>
      <c r="GAT745" s="303"/>
      <c r="GAU745" s="303"/>
      <c r="GAV745" s="303"/>
      <c r="GAW745" s="303"/>
      <c r="GAX745" s="303"/>
      <c r="GAY745" s="303"/>
      <c r="GAZ745" s="303"/>
      <c r="GBA745" s="303"/>
      <c r="GBB745" s="303"/>
      <c r="GBC745" s="303"/>
      <c r="GBD745" s="303"/>
      <c r="GBE745" s="303"/>
      <c r="GBF745" s="303"/>
      <c r="GBG745" s="303"/>
      <c r="GBH745" s="303"/>
      <c r="GBI745" s="303"/>
      <c r="GBJ745" s="303"/>
      <c r="GBK745" s="303"/>
      <c r="GBL745" s="303"/>
      <c r="GBM745" s="303"/>
      <c r="GBN745" s="303"/>
      <c r="GBO745" s="303"/>
      <c r="GBP745" s="303"/>
      <c r="GBQ745" s="303"/>
      <c r="GBR745" s="303"/>
      <c r="GBS745" s="303"/>
      <c r="GBT745" s="303"/>
      <c r="GBU745" s="303"/>
      <c r="GBV745" s="303"/>
      <c r="GBW745" s="303"/>
      <c r="GBX745" s="303"/>
      <c r="GBY745" s="303"/>
      <c r="GBZ745" s="303"/>
      <c r="GCA745" s="303"/>
      <c r="GCB745" s="303"/>
      <c r="GCC745" s="303"/>
      <c r="GCD745" s="303"/>
      <c r="GCE745" s="303"/>
      <c r="GCF745" s="303"/>
      <c r="GCG745" s="303"/>
      <c r="GCH745" s="303"/>
      <c r="GCI745" s="303"/>
      <c r="GCJ745" s="303"/>
      <c r="GCK745" s="303"/>
      <c r="GCL745" s="303"/>
      <c r="GCM745" s="303"/>
      <c r="GCN745" s="303"/>
      <c r="GCO745" s="303"/>
      <c r="GCP745" s="303"/>
      <c r="GCQ745" s="303"/>
      <c r="GCR745" s="303"/>
      <c r="GCS745" s="303"/>
      <c r="GCT745" s="303"/>
      <c r="GCU745" s="303"/>
      <c r="GCV745" s="303"/>
      <c r="GCW745" s="303"/>
      <c r="GCX745" s="303"/>
      <c r="GCY745" s="303"/>
      <c r="GCZ745" s="303"/>
      <c r="GDA745" s="303"/>
      <c r="GDB745" s="303"/>
      <c r="GDC745" s="303"/>
      <c r="GDD745" s="303"/>
      <c r="GDE745" s="303"/>
      <c r="GDF745" s="303"/>
      <c r="GDG745" s="303"/>
      <c r="GDH745" s="303"/>
      <c r="GDI745" s="303"/>
      <c r="GDJ745" s="303"/>
      <c r="GDK745" s="303"/>
      <c r="GDL745" s="303"/>
      <c r="GDM745" s="303"/>
      <c r="GDN745" s="303"/>
      <c r="GDO745" s="303"/>
      <c r="GDP745" s="303"/>
      <c r="GDQ745" s="303"/>
      <c r="GDR745" s="303"/>
      <c r="GDS745" s="303"/>
      <c r="GDT745" s="303"/>
      <c r="GDU745" s="303"/>
      <c r="GDV745" s="303"/>
      <c r="GDW745" s="303"/>
      <c r="GDX745" s="303"/>
      <c r="GDY745" s="303"/>
      <c r="GDZ745" s="303"/>
      <c r="GEA745" s="303"/>
      <c r="GEB745" s="303"/>
      <c r="GEC745" s="303"/>
      <c r="GED745" s="303"/>
      <c r="GEE745" s="303"/>
      <c r="GEF745" s="303"/>
      <c r="GEG745" s="303"/>
      <c r="GEH745" s="303"/>
      <c r="GEI745" s="303"/>
      <c r="GEJ745" s="303"/>
      <c r="GEK745" s="303"/>
      <c r="GEL745" s="303"/>
      <c r="GEM745" s="303"/>
      <c r="GEN745" s="303"/>
      <c r="GEO745" s="303"/>
      <c r="GEP745" s="303"/>
      <c r="GEQ745" s="303"/>
      <c r="GER745" s="303"/>
      <c r="GES745" s="303"/>
      <c r="GET745" s="303"/>
      <c r="GEU745" s="303"/>
      <c r="GEV745" s="303"/>
      <c r="GEW745" s="303"/>
      <c r="GEX745" s="303"/>
      <c r="GEY745" s="303"/>
      <c r="GEZ745" s="303"/>
      <c r="GFA745" s="303"/>
      <c r="GFB745" s="303"/>
      <c r="GFC745" s="303"/>
      <c r="GFD745" s="303"/>
      <c r="GFE745" s="303"/>
      <c r="GFF745" s="303"/>
      <c r="GFG745" s="303"/>
      <c r="GFH745" s="303"/>
      <c r="GFI745" s="303"/>
      <c r="GFJ745" s="303"/>
      <c r="GFK745" s="303"/>
      <c r="GFL745" s="303"/>
      <c r="GFM745" s="303"/>
      <c r="GFN745" s="303"/>
      <c r="GFO745" s="303"/>
      <c r="GFP745" s="303"/>
      <c r="GFQ745" s="303"/>
      <c r="GFR745" s="303"/>
      <c r="GFS745" s="303"/>
      <c r="GFT745" s="303"/>
      <c r="GFU745" s="303"/>
      <c r="GFV745" s="303"/>
      <c r="GFW745" s="303"/>
      <c r="GFX745" s="303"/>
      <c r="GFY745" s="303"/>
      <c r="GFZ745" s="303"/>
      <c r="GGA745" s="303"/>
      <c r="GGB745" s="303"/>
      <c r="GGC745" s="303"/>
      <c r="GGD745" s="303"/>
      <c r="GGE745" s="303"/>
      <c r="GGF745" s="303"/>
      <c r="GGG745" s="303"/>
      <c r="GGH745" s="303"/>
      <c r="GGI745" s="303"/>
      <c r="GGJ745" s="303"/>
      <c r="GGK745" s="303"/>
      <c r="GGL745" s="303"/>
      <c r="GGM745" s="303"/>
      <c r="GGN745" s="303"/>
      <c r="GGO745" s="303"/>
      <c r="GGP745" s="303"/>
      <c r="GGQ745" s="303"/>
      <c r="GGR745" s="303"/>
      <c r="GGS745" s="303"/>
      <c r="GGT745" s="303"/>
      <c r="GGU745" s="303"/>
      <c r="GGV745" s="303"/>
      <c r="GGW745" s="303"/>
      <c r="GGX745" s="303"/>
      <c r="GGY745" s="303"/>
      <c r="GGZ745" s="303"/>
      <c r="GHA745" s="303"/>
      <c r="GHB745" s="303"/>
      <c r="GHC745" s="303"/>
      <c r="GHD745" s="303"/>
      <c r="GHE745" s="303"/>
      <c r="GHF745" s="303"/>
      <c r="GHG745" s="303"/>
      <c r="GHH745" s="303"/>
      <c r="GHI745" s="303"/>
      <c r="GHJ745" s="303"/>
      <c r="GHK745" s="303"/>
      <c r="GHL745" s="303"/>
      <c r="GHM745" s="303"/>
      <c r="GHN745" s="303"/>
      <c r="GHO745" s="303"/>
      <c r="GHP745" s="303"/>
      <c r="GHQ745" s="303"/>
      <c r="GHR745" s="303"/>
      <c r="GHS745" s="303"/>
      <c r="GHT745" s="303"/>
      <c r="GHU745" s="303"/>
      <c r="GHV745" s="303"/>
      <c r="GHW745" s="303"/>
      <c r="GHX745" s="303"/>
      <c r="GHY745" s="303"/>
      <c r="GHZ745" s="303"/>
      <c r="GIA745" s="303"/>
      <c r="GIB745" s="303"/>
      <c r="GIC745" s="303"/>
      <c r="GID745" s="303"/>
      <c r="GIE745" s="303"/>
      <c r="GIF745" s="303"/>
      <c r="GIG745" s="303"/>
      <c r="GIH745" s="303"/>
      <c r="GII745" s="303"/>
      <c r="GIJ745" s="303"/>
      <c r="GIK745" s="303"/>
      <c r="GIL745" s="303"/>
      <c r="GIM745" s="303"/>
      <c r="GIN745" s="303"/>
      <c r="GIO745" s="303"/>
      <c r="GIP745" s="303"/>
      <c r="GIQ745" s="303"/>
      <c r="GIR745" s="303"/>
      <c r="GIS745" s="303"/>
      <c r="GIT745" s="303"/>
      <c r="GIU745" s="303"/>
      <c r="GIV745" s="303"/>
      <c r="GIW745" s="303"/>
      <c r="GIX745" s="303"/>
      <c r="GIY745" s="303"/>
      <c r="GIZ745" s="303"/>
      <c r="GJA745" s="303"/>
      <c r="GJB745" s="303"/>
      <c r="GJC745" s="303"/>
      <c r="GJD745" s="303"/>
      <c r="GJE745" s="303"/>
      <c r="GJF745" s="303"/>
      <c r="GJG745" s="303"/>
      <c r="GJH745" s="303"/>
      <c r="GJI745" s="303"/>
      <c r="GJJ745" s="303"/>
      <c r="GJK745" s="303"/>
      <c r="GJL745" s="303"/>
      <c r="GJM745" s="303"/>
      <c r="GJN745" s="303"/>
      <c r="GJO745" s="303"/>
      <c r="GJP745" s="303"/>
      <c r="GJQ745" s="303"/>
      <c r="GJR745" s="303"/>
      <c r="GJS745" s="303"/>
      <c r="GJT745" s="303"/>
      <c r="GJU745" s="303"/>
      <c r="GJV745" s="303"/>
      <c r="GJW745" s="303"/>
      <c r="GJX745" s="303"/>
      <c r="GJY745" s="303"/>
      <c r="GJZ745" s="303"/>
      <c r="GKA745" s="303"/>
      <c r="GKB745" s="303"/>
      <c r="GKC745" s="303"/>
      <c r="GKD745" s="303"/>
      <c r="GKE745" s="303"/>
      <c r="GKF745" s="303"/>
      <c r="GKG745" s="303"/>
      <c r="GKH745" s="303"/>
      <c r="GKI745" s="303"/>
      <c r="GKJ745" s="303"/>
      <c r="GKK745" s="303"/>
      <c r="GKL745" s="303"/>
      <c r="GKM745" s="303"/>
      <c r="GKN745" s="303"/>
      <c r="GKO745" s="303"/>
      <c r="GKP745" s="303"/>
      <c r="GKQ745" s="303"/>
      <c r="GKR745" s="303"/>
      <c r="GKS745" s="303"/>
      <c r="GKT745" s="303"/>
      <c r="GKU745" s="303"/>
      <c r="GKV745" s="303"/>
      <c r="GKW745" s="303"/>
      <c r="GKX745" s="303"/>
      <c r="GKY745" s="303"/>
      <c r="GKZ745" s="303"/>
      <c r="GLA745" s="303"/>
      <c r="GLB745" s="303"/>
      <c r="GLC745" s="303"/>
      <c r="GLD745" s="303"/>
      <c r="GLE745" s="303"/>
      <c r="GLF745" s="303"/>
      <c r="GLG745" s="303"/>
      <c r="GLH745" s="303"/>
      <c r="GLI745" s="303"/>
      <c r="GLJ745" s="303"/>
      <c r="GLK745" s="303"/>
      <c r="GLL745" s="303"/>
      <c r="GLM745" s="303"/>
      <c r="GLN745" s="303"/>
      <c r="GLO745" s="303"/>
      <c r="GLP745" s="303"/>
      <c r="GLQ745" s="303"/>
      <c r="GLR745" s="303"/>
      <c r="GLS745" s="303"/>
      <c r="GLT745" s="303"/>
      <c r="GLU745" s="303"/>
      <c r="GLV745" s="303"/>
      <c r="GLW745" s="303"/>
      <c r="GLX745" s="303"/>
      <c r="GLY745" s="303"/>
      <c r="GLZ745" s="303"/>
      <c r="GMA745" s="303"/>
      <c r="GMB745" s="303"/>
      <c r="GMC745" s="303"/>
      <c r="GMD745" s="303"/>
      <c r="GME745" s="303"/>
      <c r="GMF745" s="303"/>
      <c r="GMG745" s="303"/>
      <c r="GMH745" s="303"/>
      <c r="GMI745" s="303"/>
      <c r="GMJ745" s="303"/>
      <c r="GMK745" s="303"/>
      <c r="GML745" s="303"/>
      <c r="GMM745" s="303"/>
      <c r="GMN745" s="303"/>
      <c r="GMO745" s="303"/>
      <c r="GMP745" s="303"/>
      <c r="GMQ745" s="303"/>
      <c r="GMR745" s="303"/>
      <c r="GMS745" s="303"/>
      <c r="GMT745" s="303"/>
      <c r="GMU745" s="303"/>
      <c r="GMV745" s="303"/>
      <c r="GMW745" s="303"/>
      <c r="GMX745" s="303"/>
      <c r="GMY745" s="303"/>
      <c r="GMZ745" s="303"/>
      <c r="GNA745" s="303"/>
      <c r="GNB745" s="303"/>
      <c r="GNC745" s="303"/>
      <c r="GND745" s="303"/>
      <c r="GNE745" s="303"/>
      <c r="GNF745" s="303"/>
      <c r="GNG745" s="303"/>
      <c r="GNH745" s="303"/>
      <c r="GNI745" s="303"/>
      <c r="GNJ745" s="303"/>
      <c r="GNK745" s="303"/>
      <c r="GNL745" s="303"/>
      <c r="GNM745" s="303"/>
      <c r="GNN745" s="303"/>
      <c r="GNO745" s="303"/>
      <c r="GNP745" s="303"/>
      <c r="GNQ745" s="303"/>
      <c r="GNR745" s="303"/>
      <c r="GNS745" s="303"/>
      <c r="GNT745" s="303"/>
      <c r="GNU745" s="303"/>
      <c r="GNV745" s="303"/>
      <c r="GNW745" s="303"/>
      <c r="GNX745" s="303"/>
      <c r="GNY745" s="303"/>
      <c r="GNZ745" s="303"/>
      <c r="GOA745" s="303"/>
      <c r="GOB745" s="303"/>
      <c r="GOC745" s="303"/>
      <c r="GOD745" s="303"/>
      <c r="GOE745" s="303"/>
      <c r="GOF745" s="303"/>
      <c r="GOG745" s="303"/>
      <c r="GOH745" s="303"/>
      <c r="GOI745" s="303"/>
      <c r="GOJ745" s="303"/>
      <c r="GOK745" s="303"/>
      <c r="GOL745" s="303"/>
      <c r="GOM745" s="303"/>
      <c r="GON745" s="303"/>
      <c r="GOO745" s="303"/>
      <c r="GOP745" s="303"/>
      <c r="GOQ745" s="303"/>
      <c r="GOR745" s="303"/>
      <c r="GOS745" s="303"/>
      <c r="GOT745" s="303"/>
      <c r="GOU745" s="303"/>
      <c r="GOV745" s="303"/>
      <c r="GOW745" s="303"/>
      <c r="GOX745" s="303"/>
      <c r="GOY745" s="303"/>
      <c r="GOZ745" s="303"/>
      <c r="GPA745" s="303"/>
      <c r="GPB745" s="303"/>
      <c r="GPC745" s="303"/>
      <c r="GPD745" s="303"/>
      <c r="GPE745" s="303"/>
      <c r="GPF745" s="303"/>
      <c r="GPG745" s="303"/>
      <c r="GPH745" s="303"/>
      <c r="GPI745" s="303"/>
      <c r="GPJ745" s="303"/>
      <c r="GPK745" s="303"/>
      <c r="GPL745" s="303"/>
      <c r="GPM745" s="303"/>
      <c r="GPN745" s="303"/>
      <c r="GPO745" s="303"/>
      <c r="GPP745" s="303"/>
      <c r="GPQ745" s="303"/>
      <c r="GPR745" s="303"/>
      <c r="GPS745" s="303"/>
      <c r="GPT745" s="303"/>
      <c r="GPU745" s="303"/>
      <c r="GPV745" s="303"/>
      <c r="GPW745" s="303"/>
      <c r="GPX745" s="303"/>
      <c r="GPY745" s="303"/>
      <c r="GPZ745" s="303"/>
      <c r="GQA745" s="303"/>
      <c r="GQB745" s="303"/>
      <c r="GQC745" s="303"/>
      <c r="GQD745" s="303"/>
      <c r="GQE745" s="303"/>
      <c r="GQF745" s="303"/>
      <c r="GQG745" s="303"/>
      <c r="GQH745" s="303"/>
      <c r="GQI745" s="303"/>
      <c r="GQJ745" s="303"/>
      <c r="GQK745" s="303"/>
      <c r="GQL745" s="303"/>
      <c r="GQM745" s="303"/>
      <c r="GQN745" s="303"/>
      <c r="GQO745" s="303"/>
      <c r="GQP745" s="303"/>
      <c r="GQQ745" s="303"/>
      <c r="GQR745" s="303"/>
      <c r="GQS745" s="303"/>
      <c r="GQT745" s="303"/>
      <c r="GQU745" s="303"/>
      <c r="GQV745" s="303"/>
      <c r="GQW745" s="303"/>
      <c r="GQX745" s="303"/>
      <c r="GQY745" s="303"/>
      <c r="GQZ745" s="303"/>
      <c r="GRA745" s="303"/>
      <c r="GRB745" s="303"/>
      <c r="GRC745" s="303"/>
      <c r="GRD745" s="303"/>
      <c r="GRE745" s="303"/>
      <c r="GRF745" s="303"/>
      <c r="GRG745" s="303"/>
      <c r="GRH745" s="303"/>
      <c r="GRI745" s="303"/>
      <c r="GRJ745" s="303"/>
      <c r="GRK745" s="303"/>
      <c r="GRL745" s="303"/>
      <c r="GRM745" s="303"/>
      <c r="GRN745" s="303"/>
      <c r="GRO745" s="303"/>
      <c r="GRP745" s="303"/>
      <c r="GRQ745" s="303"/>
      <c r="GRR745" s="303"/>
      <c r="GRS745" s="303"/>
      <c r="GRT745" s="303"/>
      <c r="GRU745" s="303"/>
      <c r="GRV745" s="303"/>
      <c r="GRW745" s="303"/>
      <c r="GRX745" s="303"/>
      <c r="GRY745" s="303"/>
      <c r="GRZ745" s="303"/>
      <c r="GSA745" s="303"/>
      <c r="GSB745" s="303"/>
      <c r="GSC745" s="303"/>
      <c r="GSD745" s="303"/>
      <c r="GSE745" s="303"/>
      <c r="GSF745" s="303"/>
      <c r="GSG745" s="303"/>
      <c r="GSH745" s="303"/>
      <c r="GSI745" s="303"/>
      <c r="GSJ745" s="303"/>
      <c r="GSK745" s="303"/>
      <c r="GSL745" s="303"/>
      <c r="GSM745" s="303"/>
      <c r="GSN745" s="303"/>
      <c r="GSO745" s="303"/>
      <c r="GSP745" s="303"/>
      <c r="GSQ745" s="303"/>
      <c r="GSR745" s="303"/>
      <c r="GSS745" s="303"/>
      <c r="GST745" s="303"/>
      <c r="GSU745" s="303"/>
      <c r="GSV745" s="303"/>
      <c r="GSW745" s="303"/>
      <c r="GSX745" s="303"/>
      <c r="GSY745" s="303"/>
      <c r="GSZ745" s="303"/>
      <c r="GTA745" s="303"/>
      <c r="GTB745" s="303"/>
      <c r="GTC745" s="303"/>
      <c r="GTD745" s="303"/>
      <c r="GTE745" s="303"/>
      <c r="GTF745" s="303"/>
      <c r="GTG745" s="303"/>
      <c r="GTH745" s="303"/>
      <c r="GTI745" s="303"/>
      <c r="GTJ745" s="303"/>
      <c r="GTK745" s="303"/>
      <c r="GTL745" s="303"/>
      <c r="GTM745" s="303"/>
      <c r="GTN745" s="303"/>
      <c r="GTO745" s="303"/>
      <c r="GTP745" s="303"/>
      <c r="GTQ745" s="303"/>
      <c r="GTR745" s="303"/>
      <c r="GTS745" s="303"/>
      <c r="GTT745" s="303"/>
      <c r="GTU745" s="303"/>
      <c r="GTV745" s="303"/>
      <c r="GTW745" s="303"/>
      <c r="GTX745" s="303"/>
      <c r="GTY745" s="303"/>
      <c r="GTZ745" s="303"/>
      <c r="GUA745" s="303"/>
      <c r="GUB745" s="303"/>
      <c r="GUC745" s="303"/>
      <c r="GUD745" s="303"/>
      <c r="GUE745" s="303"/>
      <c r="GUF745" s="303"/>
      <c r="GUG745" s="303"/>
      <c r="GUH745" s="303"/>
      <c r="GUI745" s="303"/>
      <c r="GUJ745" s="303"/>
      <c r="GUK745" s="303"/>
      <c r="GUL745" s="303"/>
      <c r="GUM745" s="303"/>
      <c r="GUN745" s="303"/>
      <c r="GUO745" s="303"/>
      <c r="GUP745" s="303"/>
      <c r="GUQ745" s="303"/>
      <c r="GUR745" s="303"/>
      <c r="GUS745" s="303"/>
      <c r="GUT745" s="303"/>
      <c r="GUU745" s="303"/>
      <c r="GUV745" s="303"/>
      <c r="GUW745" s="303"/>
      <c r="GUX745" s="303"/>
      <c r="GUY745" s="303"/>
      <c r="GUZ745" s="303"/>
      <c r="GVA745" s="303"/>
      <c r="GVB745" s="303"/>
      <c r="GVC745" s="303"/>
      <c r="GVD745" s="303"/>
      <c r="GVE745" s="303"/>
      <c r="GVF745" s="303"/>
      <c r="GVG745" s="303"/>
      <c r="GVH745" s="303"/>
      <c r="GVI745" s="303"/>
      <c r="GVJ745" s="303"/>
      <c r="GVK745" s="303"/>
      <c r="GVL745" s="303"/>
      <c r="GVM745" s="303"/>
      <c r="GVN745" s="303"/>
      <c r="GVO745" s="303"/>
      <c r="GVP745" s="303"/>
      <c r="GVQ745" s="303"/>
      <c r="GVR745" s="303"/>
      <c r="GVS745" s="303"/>
      <c r="GVT745" s="303"/>
      <c r="GVU745" s="303"/>
      <c r="GVV745" s="303"/>
      <c r="GVW745" s="303"/>
      <c r="GVX745" s="303"/>
      <c r="GVY745" s="303"/>
      <c r="GVZ745" s="303"/>
      <c r="GWA745" s="303"/>
      <c r="GWB745" s="303"/>
      <c r="GWC745" s="303"/>
      <c r="GWD745" s="303"/>
      <c r="GWE745" s="303"/>
      <c r="GWF745" s="303"/>
      <c r="GWG745" s="303"/>
      <c r="GWH745" s="303"/>
      <c r="GWI745" s="303"/>
      <c r="GWJ745" s="303"/>
      <c r="GWK745" s="303"/>
      <c r="GWL745" s="303"/>
      <c r="GWM745" s="303"/>
      <c r="GWN745" s="303"/>
      <c r="GWO745" s="303"/>
      <c r="GWP745" s="303"/>
      <c r="GWQ745" s="303"/>
      <c r="GWR745" s="303"/>
      <c r="GWS745" s="303"/>
      <c r="GWT745" s="303"/>
      <c r="GWU745" s="303"/>
      <c r="GWV745" s="303"/>
      <c r="GWW745" s="303"/>
      <c r="GWX745" s="303"/>
      <c r="GWY745" s="303"/>
      <c r="GWZ745" s="303"/>
      <c r="GXA745" s="303"/>
      <c r="GXB745" s="303"/>
      <c r="GXC745" s="303"/>
      <c r="GXD745" s="303"/>
      <c r="GXE745" s="303"/>
      <c r="GXF745" s="303"/>
      <c r="GXG745" s="303"/>
      <c r="GXH745" s="303"/>
      <c r="GXI745" s="303"/>
      <c r="GXJ745" s="303"/>
      <c r="GXK745" s="303"/>
      <c r="GXL745" s="303"/>
      <c r="GXM745" s="303"/>
      <c r="GXN745" s="303"/>
      <c r="GXO745" s="303"/>
      <c r="GXP745" s="303"/>
      <c r="GXQ745" s="303"/>
      <c r="GXR745" s="303"/>
      <c r="GXS745" s="303"/>
      <c r="GXT745" s="303"/>
      <c r="GXU745" s="303"/>
      <c r="GXV745" s="303"/>
      <c r="GXW745" s="303"/>
      <c r="GXX745" s="303"/>
      <c r="GXY745" s="303"/>
      <c r="GXZ745" s="303"/>
      <c r="GYA745" s="303"/>
      <c r="GYB745" s="303"/>
      <c r="GYC745" s="303"/>
      <c r="GYD745" s="303"/>
      <c r="GYE745" s="303"/>
      <c r="GYF745" s="303"/>
      <c r="GYG745" s="303"/>
      <c r="GYH745" s="303"/>
      <c r="GYI745" s="303"/>
      <c r="GYJ745" s="303"/>
      <c r="GYK745" s="303"/>
      <c r="GYL745" s="303"/>
      <c r="GYM745" s="303"/>
      <c r="GYN745" s="303"/>
      <c r="GYO745" s="303"/>
      <c r="GYP745" s="303"/>
      <c r="GYQ745" s="303"/>
      <c r="GYR745" s="303"/>
      <c r="GYS745" s="303"/>
      <c r="GYT745" s="303"/>
      <c r="GYU745" s="303"/>
      <c r="GYV745" s="303"/>
      <c r="GYW745" s="303"/>
      <c r="GYX745" s="303"/>
      <c r="GYY745" s="303"/>
      <c r="GYZ745" s="303"/>
      <c r="GZA745" s="303"/>
      <c r="GZB745" s="303"/>
      <c r="GZC745" s="303"/>
      <c r="GZD745" s="303"/>
      <c r="GZE745" s="303"/>
      <c r="GZF745" s="303"/>
      <c r="GZG745" s="303"/>
      <c r="GZH745" s="303"/>
      <c r="GZI745" s="303"/>
      <c r="GZJ745" s="303"/>
      <c r="GZK745" s="303"/>
      <c r="GZL745" s="303"/>
      <c r="GZM745" s="303"/>
      <c r="GZN745" s="303"/>
      <c r="GZO745" s="303"/>
      <c r="GZP745" s="303"/>
      <c r="GZQ745" s="303"/>
      <c r="GZR745" s="303"/>
      <c r="GZS745" s="303"/>
      <c r="GZT745" s="303"/>
      <c r="GZU745" s="303"/>
      <c r="GZV745" s="303"/>
      <c r="GZW745" s="303"/>
      <c r="GZX745" s="303"/>
      <c r="GZY745" s="303"/>
      <c r="GZZ745" s="303"/>
      <c r="HAA745" s="303"/>
      <c r="HAB745" s="303"/>
      <c r="HAC745" s="303"/>
      <c r="HAD745" s="303"/>
      <c r="HAE745" s="303"/>
      <c r="HAF745" s="303"/>
      <c r="HAG745" s="303"/>
      <c r="HAH745" s="303"/>
      <c r="HAI745" s="303"/>
      <c r="HAJ745" s="303"/>
      <c r="HAK745" s="303"/>
      <c r="HAL745" s="303"/>
      <c r="HAM745" s="303"/>
      <c r="HAN745" s="303"/>
      <c r="HAO745" s="303"/>
      <c r="HAP745" s="303"/>
      <c r="HAQ745" s="303"/>
      <c r="HAR745" s="303"/>
      <c r="HAS745" s="303"/>
      <c r="HAT745" s="303"/>
      <c r="HAU745" s="303"/>
      <c r="HAV745" s="303"/>
      <c r="HAW745" s="303"/>
      <c r="HAX745" s="303"/>
      <c r="HAY745" s="303"/>
      <c r="HAZ745" s="303"/>
      <c r="HBA745" s="303"/>
      <c r="HBB745" s="303"/>
      <c r="HBC745" s="303"/>
      <c r="HBD745" s="303"/>
      <c r="HBE745" s="303"/>
      <c r="HBF745" s="303"/>
      <c r="HBG745" s="303"/>
      <c r="HBH745" s="303"/>
      <c r="HBI745" s="303"/>
      <c r="HBJ745" s="303"/>
      <c r="HBK745" s="303"/>
      <c r="HBL745" s="303"/>
      <c r="HBM745" s="303"/>
      <c r="HBN745" s="303"/>
      <c r="HBO745" s="303"/>
      <c r="HBP745" s="303"/>
      <c r="HBQ745" s="303"/>
      <c r="HBR745" s="303"/>
      <c r="HBS745" s="303"/>
      <c r="HBT745" s="303"/>
      <c r="HBU745" s="303"/>
      <c r="HBV745" s="303"/>
      <c r="HBW745" s="303"/>
      <c r="HBX745" s="303"/>
      <c r="HBY745" s="303"/>
      <c r="HBZ745" s="303"/>
      <c r="HCA745" s="303"/>
      <c r="HCB745" s="303"/>
      <c r="HCC745" s="303"/>
      <c r="HCD745" s="303"/>
      <c r="HCE745" s="303"/>
      <c r="HCF745" s="303"/>
      <c r="HCG745" s="303"/>
      <c r="HCH745" s="303"/>
      <c r="HCI745" s="303"/>
      <c r="HCJ745" s="303"/>
      <c r="HCK745" s="303"/>
      <c r="HCL745" s="303"/>
      <c r="HCM745" s="303"/>
      <c r="HCN745" s="303"/>
      <c r="HCO745" s="303"/>
      <c r="HCP745" s="303"/>
      <c r="HCQ745" s="303"/>
      <c r="HCR745" s="303"/>
      <c r="HCS745" s="303"/>
      <c r="HCT745" s="303"/>
      <c r="HCU745" s="303"/>
      <c r="HCV745" s="303"/>
      <c r="HCW745" s="303"/>
      <c r="HCX745" s="303"/>
      <c r="HCY745" s="303"/>
      <c r="HCZ745" s="303"/>
      <c r="HDA745" s="303"/>
      <c r="HDB745" s="303"/>
      <c r="HDC745" s="303"/>
      <c r="HDD745" s="303"/>
      <c r="HDE745" s="303"/>
      <c r="HDF745" s="303"/>
      <c r="HDG745" s="303"/>
      <c r="HDH745" s="303"/>
      <c r="HDI745" s="303"/>
      <c r="HDJ745" s="303"/>
      <c r="HDK745" s="303"/>
      <c r="HDL745" s="303"/>
      <c r="HDM745" s="303"/>
      <c r="HDN745" s="303"/>
      <c r="HDO745" s="303"/>
      <c r="HDP745" s="303"/>
      <c r="HDQ745" s="303"/>
      <c r="HDR745" s="303"/>
      <c r="HDS745" s="303"/>
      <c r="HDT745" s="303"/>
      <c r="HDU745" s="303"/>
      <c r="HDV745" s="303"/>
      <c r="HDW745" s="303"/>
      <c r="HDX745" s="303"/>
      <c r="HDY745" s="303"/>
      <c r="HDZ745" s="303"/>
      <c r="HEA745" s="303"/>
      <c r="HEB745" s="303"/>
      <c r="HEC745" s="303"/>
      <c r="HED745" s="303"/>
      <c r="HEE745" s="303"/>
      <c r="HEF745" s="303"/>
      <c r="HEG745" s="303"/>
      <c r="HEH745" s="303"/>
      <c r="HEI745" s="303"/>
      <c r="HEJ745" s="303"/>
      <c r="HEK745" s="303"/>
      <c r="HEL745" s="303"/>
      <c r="HEM745" s="303"/>
      <c r="HEN745" s="303"/>
      <c r="HEO745" s="303"/>
      <c r="HEP745" s="303"/>
      <c r="HEQ745" s="303"/>
      <c r="HER745" s="303"/>
      <c r="HES745" s="303"/>
      <c r="HET745" s="303"/>
      <c r="HEU745" s="303"/>
      <c r="HEV745" s="303"/>
      <c r="HEW745" s="303"/>
      <c r="HEX745" s="303"/>
      <c r="HEY745" s="303"/>
      <c r="HEZ745" s="303"/>
      <c r="HFA745" s="303"/>
      <c r="HFB745" s="303"/>
      <c r="HFC745" s="303"/>
      <c r="HFD745" s="303"/>
      <c r="HFE745" s="303"/>
      <c r="HFF745" s="303"/>
      <c r="HFG745" s="303"/>
      <c r="HFH745" s="303"/>
      <c r="HFI745" s="303"/>
      <c r="HFJ745" s="303"/>
      <c r="HFK745" s="303"/>
      <c r="HFL745" s="303"/>
      <c r="HFM745" s="303"/>
      <c r="HFN745" s="303"/>
      <c r="HFO745" s="303"/>
      <c r="HFP745" s="303"/>
      <c r="HFQ745" s="303"/>
      <c r="HFR745" s="303"/>
      <c r="HFS745" s="303"/>
      <c r="HFT745" s="303"/>
      <c r="HFU745" s="303"/>
      <c r="HFV745" s="303"/>
      <c r="HFW745" s="303"/>
      <c r="HFX745" s="303"/>
      <c r="HFY745" s="303"/>
      <c r="HFZ745" s="303"/>
      <c r="HGA745" s="303"/>
      <c r="HGB745" s="303"/>
      <c r="HGC745" s="303"/>
      <c r="HGD745" s="303"/>
      <c r="HGE745" s="303"/>
      <c r="HGF745" s="303"/>
      <c r="HGG745" s="303"/>
      <c r="HGH745" s="303"/>
      <c r="HGI745" s="303"/>
      <c r="HGJ745" s="303"/>
      <c r="HGK745" s="303"/>
      <c r="HGL745" s="303"/>
      <c r="HGM745" s="303"/>
      <c r="HGN745" s="303"/>
      <c r="HGO745" s="303"/>
      <c r="HGP745" s="303"/>
      <c r="HGQ745" s="303"/>
      <c r="HGR745" s="303"/>
      <c r="HGS745" s="303"/>
      <c r="HGT745" s="303"/>
      <c r="HGU745" s="303"/>
      <c r="HGV745" s="303"/>
      <c r="HGW745" s="303"/>
      <c r="HGX745" s="303"/>
      <c r="HGY745" s="303"/>
      <c r="HGZ745" s="303"/>
      <c r="HHA745" s="303"/>
      <c r="HHB745" s="303"/>
      <c r="HHC745" s="303"/>
      <c r="HHD745" s="303"/>
      <c r="HHE745" s="303"/>
      <c r="HHF745" s="303"/>
      <c r="HHG745" s="303"/>
      <c r="HHH745" s="303"/>
      <c r="HHI745" s="303"/>
      <c r="HHJ745" s="303"/>
      <c r="HHK745" s="303"/>
      <c r="HHL745" s="303"/>
      <c r="HHM745" s="303"/>
      <c r="HHN745" s="303"/>
      <c r="HHO745" s="303"/>
      <c r="HHP745" s="303"/>
      <c r="HHQ745" s="303"/>
      <c r="HHR745" s="303"/>
      <c r="HHS745" s="303"/>
      <c r="HHT745" s="303"/>
      <c r="HHU745" s="303"/>
      <c r="HHV745" s="303"/>
      <c r="HHW745" s="303"/>
      <c r="HHX745" s="303"/>
      <c r="HHY745" s="303"/>
      <c r="HHZ745" s="303"/>
      <c r="HIA745" s="303"/>
      <c r="HIB745" s="303"/>
      <c r="HIC745" s="303"/>
      <c r="HID745" s="303"/>
      <c r="HIE745" s="303"/>
      <c r="HIF745" s="303"/>
      <c r="HIG745" s="303"/>
      <c r="HIH745" s="303"/>
      <c r="HII745" s="303"/>
      <c r="HIJ745" s="303"/>
      <c r="HIK745" s="303"/>
      <c r="HIL745" s="303"/>
      <c r="HIM745" s="303"/>
      <c r="HIN745" s="303"/>
      <c r="HIO745" s="303"/>
      <c r="HIP745" s="303"/>
      <c r="HIQ745" s="303"/>
      <c r="HIR745" s="303"/>
      <c r="HIS745" s="303"/>
      <c r="HIT745" s="303"/>
      <c r="HIU745" s="303"/>
      <c r="HIV745" s="303"/>
      <c r="HIW745" s="303"/>
      <c r="HIX745" s="303"/>
      <c r="HIY745" s="303"/>
      <c r="HIZ745" s="303"/>
      <c r="HJA745" s="303"/>
      <c r="HJB745" s="303"/>
      <c r="HJC745" s="303"/>
      <c r="HJD745" s="303"/>
      <c r="HJE745" s="303"/>
      <c r="HJF745" s="303"/>
      <c r="HJG745" s="303"/>
      <c r="HJH745" s="303"/>
      <c r="HJI745" s="303"/>
      <c r="HJJ745" s="303"/>
      <c r="HJK745" s="303"/>
      <c r="HJL745" s="303"/>
      <c r="HJM745" s="303"/>
      <c r="HJN745" s="303"/>
      <c r="HJO745" s="303"/>
      <c r="HJP745" s="303"/>
      <c r="HJQ745" s="303"/>
      <c r="HJR745" s="303"/>
      <c r="HJS745" s="303"/>
      <c r="HJT745" s="303"/>
      <c r="HJU745" s="303"/>
      <c r="HJV745" s="303"/>
      <c r="HJW745" s="303"/>
      <c r="HJX745" s="303"/>
      <c r="HJY745" s="303"/>
      <c r="HJZ745" s="303"/>
      <c r="HKA745" s="303"/>
      <c r="HKB745" s="303"/>
      <c r="HKC745" s="303"/>
      <c r="HKD745" s="303"/>
      <c r="HKE745" s="303"/>
      <c r="HKF745" s="303"/>
      <c r="HKG745" s="303"/>
      <c r="HKH745" s="303"/>
      <c r="HKI745" s="303"/>
      <c r="HKJ745" s="303"/>
      <c r="HKK745" s="303"/>
      <c r="HKL745" s="303"/>
      <c r="HKM745" s="303"/>
      <c r="HKN745" s="303"/>
      <c r="HKO745" s="303"/>
      <c r="HKP745" s="303"/>
      <c r="HKQ745" s="303"/>
      <c r="HKR745" s="303"/>
      <c r="HKS745" s="303"/>
      <c r="HKT745" s="303"/>
      <c r="HKU745" s="303"/>
      <c r="HKV745" s="303"/>
      <c r="HKW745" s="303"/>
      <c r="HKX745" s="303"/>
      <c r="HKY745" s="303"/>
      <c r="HKZ745" s="303"/>
      <c r="HLA745" s="303"/>
      <c r="HLB745" s="303"/>
      <c r="HLC745" s="303"/>
      <c r="HLD745" s="303"/>
      <c r="HLE745" s="303"/>
      <c r="HLF745" s="303"/>
      <c r="HLG745" s="303"/>
      <c r="HLH745" s="303"/>
      <c r="HLI745" s="303"/>
      <c r="HLJ745" s="303"/>
      <c r="HLK745" s="303"/>
      <c r="HLL745" s="303"/>
      <c r="HLM745" s="303"/>
      <c r="HLN745" s="303"/>
      <c r="HLO745" s="303"/>
      <c r="HLP745" s="303"/>
      <c r="HLQ745" s="303"/>
      <c r="HLR745" s="303"/>
      <c r="HLS745" s="303"/>
      <c r="HLT745" s="303"/>
      <c r="HLU745" s="303"/>
      <c r="HLV745" s="303"/>
      <c r="HLW745" s="303"/>
      <c r="HLX745" s="303"/>
      <c r="HLY745" s="303"/>
      <c r="HLZ745" s="303"/>
      <c r="HMA745" s="303"/>
      <c r="HMB745" s="303"/>
      <c r="HMC745" s="303"/>
      <c r="HMD745" s="303"/>
      <c r="HME745" s="303"/>
      <c r="HMF745" s="303"/>
      <c r="HMG745" s="303"/>
      <c r="HMH745" s="303"/>
      <c r="HMI745" s="303"/>
      <c r="HMJ745" s="303"/>
      <c r="HMK745" s="303"/>
      <c r="HML745" s="303"/>
      <c r="HMM745" s="303"/>
      <c r="HMN745" s="303"/>
      <c r="HMO745" s="303"/>
      <c r="HMP745" s="303"/>
      <c r="HMQ745" s="303"/>
      <c r="HMR745" s="303"/>
      <c r="HMS745" s="303"/>
      <c r="HMT745" s="303"/>
      <c r="HMU745" s="303"/>
      <c r="HMV745" s="303"/>
      <c r="HMW745" s="303"/>
      <c r="HMX745" s="303"/>
      <c r="HMY745" s="303"/>
      <c r="HMZ745" s="303"/>
      <c r="HNA745" s="303"/>
      <c r="HNB745" s="303"/>
      <c r="HNC745" s="303"/>
      <c r="HND745" s="303"/>
      <c r="HNE745" s="303"/>
      <c r="HNF745" s="303"/>
      <c r="HNG745" s="303"/>
      <c r="HNH745" s="303"/>
      <c r="HNI745" s="303"/>
      <c r="HNJ745" s="303"/>
      <c r="HNK745" s="303"/>
      <c r="HNL745" s="303"/>
      <c r="HNM745" s="303"/>
      <c r="HNN745" s="303"/>
      <c r="HNO745" s="303"/>
      <c r="HNP745" s="303"/>
      <c r="HNQ745" s="303"/>
      <c r="HNR745" s="303"/>
      <c r="HNS745" s="303"/>
      <c r="HNT745" s="303"/>
      <c r="HNU745" s="303"/>
      <c r="HNV745" s="303"/>
      <c r="HNW745" s="303"/>
      <c r="HNX745" s="303"/>
      <c r="HNY745" s="303"/>
      <c r="HNZ745" s="303"/>
      <c r="HOA745" s="303"/>
      <c r="HOB745" s="303"/>
      <c r="HOC745" s="303"/>
      <c r="HOD745" s="303"/>
      <c r="HOE745" s="303"/>
      <c r="HOF745" s="303"/>
      <c r="HOG745" s="303"/>
      <c r="HOH745" s="303"/>
      <c r="HOI745" s="303"/>
      <c r="HOJ745" s="303"/>
      <c r="HOK745" s="303"/>
      <c r="HOL745" s="303"/>
      <c r="HOM745" s="303"/>
      <c r="HON745" s="303"/>
      <c r="HOO745" s="303"/>
      <c r="HOP745" s="303"/>
      <c r="HOQ745" s="303"/>
      <c r="HOR745" s="303"/>
      <c r="HOS745" s="303"/>
      <c r="HOT745" s="303"/>
      <c r="HOU745" s="303"/>
      <c r="HOV745" s="303"/>
      <c r="HOW745" s="303"/>
      <c r="HOX745" s="303"/>
      <c r="HOY745" s="303"/>
      <c r="HOZ745" s="303"/>
      <c r="HPA745" s="303"/>
      <c r="HPB745" s="303"/>
      <c r="HPC745" s="303"/>
      <c r="HPD745" s="303"/>
      <c r="HPE745" s="303"/>
      <c r="HPF745" s="303"/>
      <c r="HPG745" s="303"/>
      <c r="HPH745" s="303"/>
      <c r="HPI745" s="303"/>
      <c r="HPJ745" s="303"/>
      <c r="HPK745" s="303"/>
      <c r="HPL745" s="303"/>
      <c r="HPM745" s="303"/>
      <c r="HPN745" s="303"/>
      <c r="HPO745" s="303"/>
      <c r="HPP745" s="303"/>
      <c r="HPQ745" s="303"/>
      <c r="HPR745" s="303"/>
      <c r="HPS745" s="303"/>
      <c r="HPT745" s="303"/>
      <c r="HPU745" s="303"/>
      <c r="HPV745" s="303"/>
      <c r="HPW745" s="303"/>
      <c r="HPX745" s="303"/>
      <c r="HPY745" s="303"/>
      <c r="HPZ745" s="303"/>
      <c r="HQA745" s="303"/>
      <c r="HQB745" s="303"/>
      <c r="HQC745" s="303"/>
      <c r="HQD745" s="303"/>
      <c r="HQE745" s="303"/>
      <c r="HQF745" s="303"/>
      <c r="HQG745" s="303"/>
      <c r="HQH745" s="303"/>
      <c r="HQI745" s="303"/>
      <c r="HQJ745" s="303"/>
      <c r="HQK745" s="303"/>
      <c r="HQL745" s="303"/>
      <c r="HQM745" s="303"/>
      <c r="HQN745" s="303"/>
      <c r="HQO745" s="303"/>
      <c r="HQP745" s="303"/>
      <c r="HQQ745" s="303"/>
      <c r="HQR745" s="303"/>
      <c r="HQS745" s="303"/>
      <c r="HQT745" s="303"/>
      <c r="HQU745" s="303"/>
      <c r="HQV745" s="303"/>
      <c r="HQW745" s="303"/>
      <c r="HQX745" s="303"/>
      <c r="HQY745" s="303"/>
      <c r="HQZ745" s="303"/>
      <c r="HRA745" s="303"/>
      <c r="HRB745" s="303"/>
      <c r="HRC745" s="303"/>
      <c r="HRD745" s="303"/>
      <c r="HRE745" s="303"/>
      <c r="HRF745" s="303"/>
      <c r="HRG745" s="303"/>
      <c r="HRH745" s="303"/>
      <c r="HRI745" s="303"/>
      <c r="HRJ745" s="303"/>
      <c r="HRK745" s="303"/>
      <c r="HRL745" s="303"/>
      <c r="HRM745" s="303"/>
      <c r="HRN745" s="303"/>
      <c r="HRO745" s="303"/>
      <c r="HRP745" s="303"/>
      <c r="HRQ745" s="303"/>
      <c r="HRR745" s="303"/>
      <c r="HRS745" s="303"/>
      <c r="HRT745" s="303"/>
      <c r="HRU745" s="303"/>
      <c r="HRV745" s="303"/>
      <c r="HRW745" s="303"/>
      <c r="HRX745" s="303"/>
      <c r="HRY745" s="303"/>
      <c r="HRZ745" s="303"/>
      <c r="HSA745" s="303"/>
      <c r="HSB745" s="303"/>
      <c r="HSC745" s="303"/>
      <c r="HSD745" s="303"/>
      <c r="HSE745" s="303"/>
      <c r="HSF745" s="303"/>
      <c r="HSG745" s="303"/>
      <c r="HSH745" s="303"/>
      <c r="HSI745" s="303"/>
      <c r="HSJ745" s="303"/>
      <c r="HSK745" s="303"/>
      <c r="HSL745" s="303"/>
      <c r="HSM745" s="303"/>
      <c r="HSN745" s="303"/>
      <c r="HSO745" s="303"/>
      <c r="HSP745" s="303"/>
      <c r="HSQ745" s="303"/>
      <c r="HSR745" s="303"/>
      <c r="HSS745" s="303"/>
      <c r="HST745" s="303"/>
      <c r="HSU745" s="303"/>
      <c r="HSV745" s="303"/>
      <c r="HSW745" s="303"/>
      <c r="HSX745" s="303"/>
      <c r="HSY745" s="303"/>
      <c r="HSZ745" s="303"/>
      <c r="HTA745" s="303"/>
      <c r="HTB745" s="303"/>
      <c r="HTC745" s="303"/>
      <c r="HTD745" s="303"/>
      <c r="HTE745" s="303"/>
      <c r="HTF745" s="303"/>
      <c r="HTG745" s="303"/>
      <c r="HTH745" s="303"/>
      <c r="HTI745" s="303"/>
      <c r="HTJ745" s="303"/>
      <c r="HTK745" s="303"/>
      <c r="HTL745" s="303"/>
      <c r="HTM745" s="303"/>
      <c r="HTN745" s="303"/>
      <c r="HTO745" s="303"/>
      <c r="HTP745" s="303"/>
      <c r="HTQ745" s="303"/>
      <c r="HTR745" s="303"/>
      <c r="HTS745" s="303"/>
      <c r="HTT745" s="303"/>
      <c r="HTU745" s="303"/>
      <c r="HTV745" s="303"/>
      <c r="HTW745" s="303"/>
      <c r="HTX745" s="303"/>
      <c r="HTY745" s="303"/>
      <c r="HTZ745" s="303"/>
      <c r="HUA745" s="303"/>
      <c r="HUB745" s="303"/>
      <c r="HUC745" s="303"/>
      <c r="HUD745" s="303"/>
      <c r="HUE745" s="303"/>
      <c r="HUF745" s="303"/>
      <c r="HUG745" s="303"/>
      <c r="HUH745" s="303"/>
      <c r="HUI745" s="303"/>
      <c r="HUJ745" s="303"/>
      <c r="HUK745" s="303"/>
      <c r="HUL745" s="303"/>
      <c r="HUM745" s="303"/>
      <c r="HUN745" s="303"/>
      <c r="HUO745" s="303"/>
      <c r="HUP745" s="303"/>
      <c r="HUQ745" s="303"/>
      <c r="HUR745" s="303"/>
      <c r="HUS745" s="303"/>
      <c r="HUT745" s="303"/>
      <c r="HUU745" s="303"/>
      <c r="HUV745" s="303"/>
      <c r="HUW745" s="303"/>
      <c r="HUX745" s="303"/>
      <c r="HUY745" s="303"/>
      <c r="HUZ745" s="303"/>
      <c r="HVA745" s="303"/>
      <c r="HVB745" s="303"/>
      <c r="HVC745" s="303"/>
      <c r="HVD745" s="303"/>
      <c r="HVE745" s="303"/>
      <c r="HVF745" s="303"/>
      <c r="HVG745" s="303"/>
      <c r="HVH745" s="303"/>
      <c r="HVI745" s="303"/>
      <c r="HVJ745" s="303"/>
      <c r="HVK745" s="303"/>
      <c r="HVL745" s="303"/>
      <c r="HVM745" s="303"/>
      <c r="HVN745" s="303"/>
      <c r="HVO745" s="303"/>
      <c r="HVP745" s="303"/>
      <c r="HVQ745" s="303"/>
      <c r="HVR745" s="303"/>
      <c r="HVS745" s="303"/>
      <c r="HVT745" s="303"/>
      <c r="HVU745" s="303"/>
      <c r="HVV745" s="303"/>
      <c r="HVW745" s="303"/>
      <c r="HVX745" s="303"/>
      <c r="HVY745" s="303"/>
      <c r="HVZ745" s="303"/>
      <c r="HWA745" s="303"/>
      <c r="HWB745" s="303"/>
      <c r="HWC745" s="303"/>
      <c r="HWD745" s="303"/>
      <c r="HWE745" s="303"/>
      <c r="HWF745" s="303"/>
      <c r="HWG745" s="303"/>
      <c r="HWH745" s="303"/>
      <c r="HWI745" s="303"/>
      <c r="HWJ745" s="303"/>
      <c r="HWK745" s="303"/>
      <c r="HWL745" s="303"/>
      <c r="HWM745" s="303"/>
      <c r="HWN745" s="303"/>
      <c r="HWO745" s="303"/>
      <c r="HWP745" s="303"/>
      <c r="HWQ745" s="303"/>
      <c r="HWR745" s="303"/>
      <c r="HWS745" s="303"/>
      <c r="HWT745" s="303"/>
      <c r="HWU745" s="303"/>
      <c r="HWV745" s="303"/>
      <c r="HWW745" s="303"/>
      <c r="HWX745" s="303"/>
      <c r="HWY745" s="303"/>
      <c r="HWZ745" s="303"/>
      <c r="HXA745" s="303"/>
      <c r="HXB745" s="303"/>
      <c r="HXC745" s="303"/>
      <c r="HXD745" s="303"/>
      <c r="HXE745" s="303"/>
      <c r="HXF745" s="303"/>
      <c r="HXG745" s="303"/>
      <c r="HXH745" s="303"/>
      <c r="HXI745" s="303"/>
      <c r="HXJ745" s="303"/>
      <c r="HXK745" s="303"/>
      <c r="HXL745" s="303"/>
      <c r="HXM745" s="303"/>
      <c r="HXN745" s="303"/>
      <c r="HXO745" s="303"/>
      <c r="HXP745" s="303"/>
      <c r="HXQ745" s="303"/>
      <c r="HXR745" s="303"/>
      <c r="HXS745" s="303"/>
      <c r="HXT745" s="303"/>
      <c r="HXU745" s="303"/>
      <c r="HXV745" s="303"/>
      <c r="HXW745" s="303"/>
      <c r="HXX745" s="303"/>
      <c r="HXY745" s="303"/>
      <c r="HXZ745" s="303"/>
      <c r="HYA745" s="303"/>
      <c r="HYB745" s="303"/>
      <c r="HYC745" s="303"/>
      <c r="HYD745" s="303"/>
      <c r="HYE745" s="303"/>
      <c r="HYF745" s="303"/>
      <c r="HYG745" s="303"/>
      <c r="HYH745" s="303"/>
      <c r="HYI745" s="303"/>
      <c r="HYJ745" s="303"/>
      <c r="HYK745" s="303"/>
      <c r="HYL745" s="303"/>
      <c r="HYM745" s="303"/>
      <c r="HYN745" s="303"/>
      <c r="HYO745" s="303"/>
      <c r="HYP745" s="303"/>
      <c r="HYQ745" s="303"/>
      <c r="HYR745" s="303"/>
      <c r="HYS745" s="303"/>
      <c r="HYT745" s="303"/>
      <c r="HYU745" s="303"/>
      <c r="HYV745" s="303"/>
      <c r="HYW745" s="303"/>
      <c r="HYX745" s="303"/>
      <c r="HYY745" s="303"/>
      <c r="HYZ745" s="303"/>
      <c r="HZA745" s="303"/>
      <c r="HZB745" s="303"/>
      <c r="HZC745" s="303"/>
      <c r="HZD745" s="303"/>
      <c r="HZE745" s="303"/>
      <c r="HZF745" s="303"/>
      <c r="HZG745" s="303"/>
      <c r="HZH745" s="303"/>
      <c r="HZI745" s="303"/>
      <c r="HZJ745" s="303"/>
      <c r="HZK745" s="303"/>
      <c r="HZL745" s="303"/>
      <c r="HZM745" s="303"/>
      <c r="HZN745" s="303"/>
      <c r="HZO745" s="303"/>
      <c r="HZP745" s="303"/>
      <c r="HZQ745" s="303"/>
      <c r="HZR745" s="303"/>
      <c r="HZS745" s="303"/>
      <c r="HZT745" s="303"/>
      <c r="HZU745" s="303"/>
      <c r="HZV745" s="303"/>
      <c r="HZW745" s="303"/>
      <c r="HZX745" s="303"/>
      <c r="HZY745" s="303"/>
      <c r="HZZ745" s="303"/>
      <c r="IAA745" s="303"/>
      <c r="IAB745" s="303"/>
      <c r="IAC745" s="303"/>
      <c r="IAD745" s="303"/>
      <c r="IAE745" s="303"/>
      <c r="IAF745" s="303"/>
      <c r="IAG745" s="303"/>
      <c r="IAH745" s="303"/>
      <c r="IAI745" s="303"/>
      <c r="IAJ745" s="303"/>
      <c r="IAK745" s="303"/>
      <c r="IAL745" s="303"/>
      <c r="IAM745" s="303"/>
      <c r="IAN745" s="303"/>
      <c r="IAO745" s="303"/>
      <c r="IAP745" s="303"/>
      <c r="IAQ745" s="303"/>
      <c r="IAR745" s="303"/>
      <c r="IAS745" s="303"/>
      <c r="IAT745" s="303"/>
      <c r="IAU745" s="303"/>
      <c r="IAV745" s="303"/>
      <c r="IAW745" s="303"/>
      <c r="IAX745" s="303"/>
      <c r="IAY745" s="303"/>
      <c r="IAZ745" s="303"/>
      <c r="IBA745" s="303"/>
      <c r="IBB745" s="303"/>
      <c r="IBC745" s="303"/>
      <c r="IBD745" s="303"/>
      <c r="IBE745" s="303"/>
      <c r="IBF745" s="303"/>
      <c r="IBG745" s="303"/>
      <c r="IBH745" s="303"/>
      <c r="IBI745" s="303"/>
      <c r="IBJ745" s="303"/>
      <c r="IBK745" s="303"/>
      <c r="IBL745" s="303"/>
      <c r="IBM745" s="303"/>
      <c r="IBN745" s="303"/>
      <c r="IBO745" s="303"/>
      <c r="IBP745" s="303"/>
      <c r="IBQ745" s="303"/>
      <c r="IBR745" s="303"/>
      <c r="IBS745" s="303"/>
      <c r="IBT745" s="303"/>
      <c r="IBU745" s="303"/>
      <c r="IBV745" s="303"/>
      <c r="IBW745" s="303"/>
      <c r="IBX745" s="303"/>
      <c r="IBY745" s="303"/>
      <c r="IBZ745" s="303"/>
      <c r="ICA745" s="303"/>
      <c r="ICB745" s="303"/>
      <c r="ICC745" s="303"/>
      <c r="ICD745" s="303"/>
      <c r="ICE745" s="303"/>
      <c r="ICF745" s="303"/>
      <c r="ICG745" s="303"/>
      <c r="ICH745" s="303"/>
      <c r="ICI745" s="303"/>
      <c r="ICJ745" s="303"/>
      <c r="ICK745" s="303"/>
      <c r="ICL745" s="303"/>
      <c r="ICM745" s="303"/>
      <c r="ICN745" s="303"/>
      <c r="ICO745" s="303"/>
      <c r="ICP745" s="303"/>
      <c r="ICQ745" s="303"/>
      <c r="ICR745" s="303"/>
      <c r="ICS745" s="303"/>
      <c r="ICT745" s="303"/>
      <c r="ICU745" s="303"/>
      <c r="ICV745" s="303"/>
      <c r="ICW745" s="303"/>
      <c r="ICX745" s="303"/>
      <c r="ICY745" s="303"/>
      <c r="ICZ745" s="303"/>
      <c r="IDA745" s="303"/>
      <c r="IDB745" s="303"/>
      <c r="IDC745" s="303"/>
      <c r="IDD745" s="303"/>
      <c r="IDE745" s="303"/>
      <c r="IDF745" s="303"/>
      <c r="IDG745" s="303"/>
      <c r="IDH745" s="303"/>
      <c r="IDI745" s="303"/>
      <c r="IDJ745" s="303"/>
      <c r="IDK745" s="303"/>
      <c r="IDL745" s="303"/>
      <c r="IDM745" s="303"/>
      <c r="IDN745" s="303"/>
      <c r="IDO745" s="303"/>
      <c r="IDP745" s="303"/>
      <c r="IDQ745" s="303"/>
      <c r="IDR745" s="303"/>
      <c r="IDS745" s="303"/>
      <c r="IDT745" s="303"/>
      <c r="IDU745" s="303"/>
      <c r="IDV745" s="303"/>
      <c r="IDW745" s="303"/>
      <c r="IDX745" s="303"/>
      <c r="IDY745" s="303"/>
      <c r="IDZ745" s="303"/>
      <c r="IEA745" s="303"/>
      <c r="IEB745" s="303"/>
      <c r="IEC745" s="303"/>
      <c r="IED745" s="303"/>
      <c r="IEE745" s="303"/>
      <c r="IEF745" s="303"/>
      <c r="IEG745" s="303"/>
      <c r="IEH745" s="303"/>
      <c r="IEI745" s="303"/>
      <c r="IEJ745" s="303"/>
      <c r="IEK745" s="303"/>
      <c r="IEL745" s="303"/>
      <c r="IEM745" s="303"/>
      <c r="IEN745" s="303"/>
      <c r="IEO745" s="303"/>
      <c r="IEP745" s="303"/>
      <c r="IEQ745" s="303"/>
      <c r="IER745" s="303"/>
      <c r="IES745" s="303"/>
      <c r="IET745" s="303"/>
      <c r="IEU745" s="303"/>
      <c r="IEV745" s="303"/>
      <c r="IEW745" s="303"/>
      <c r="IEX745" s="303"/>
      <c r="IEY745" s="303"/>
      <c r="IEZ745" s="303"/>
      <c r="IFA745" s="303"/>
      <c r="IFB745" s="303"/>
      <c r="IFC745" s="303"/>
      <c r="IFD745" s="303"/>
      <c r="IFE745" s="303"/>
      <c r="IFF745" s="303"/>
      <c r="IFG745" s="303"/>
      <c r="IFH745" s="303"/>
      <c r="IFI745" s="303"/>
      <c r="IFJ745" s="303"/>
      <c r="IFK745" s="303"/>
      <c r="IFL745" s="303"/>
      <c r="IFM745" s="303"/>
      <c r="IFN745" s="303"/>
      <c r="IFO745" s="303"/>
      <c r="IFP745" s="303"/>
      <c r="IFQ745" s="303"/>
      <c r="IFR745" s="303"/>
      <c r="IFS745" s="303"/>
      <c r="IFT745" s="303"/>
      <c r="IFU745" s="303"/>
      <c r="IFV745" s="303"/>
      <c r="IFW745" s="303"/>
      <c r="IFX745" s="303"/>
      <c r="IFY745" s="303"/>
      <c r="IFZ745" s="303"/>
      <c r="IGA745" s="303"/>
      <c r="IGB745" s="303"/>
      <c r="IGC745" s="303"/>
      <c r="IGD745" s="303"/>
      <c r="IGE745" s="303"/>
      <c r="IGF745" s="303"/>
      <c r="IGG745" s="303"/>
      <c r="IGH745" s="303"/>
      <c r="IGI745" s="303"/>
      <c r="IGJ745" s="303"/>
      <c r="IGK745" s="303"/>
      <c r="IGL745" s="303"/>
      <c r="IGM745" s="303"/>
      <c r="IGN745" s="303"/>
      <c r="IGO745" s="303"/>
      <c r="IGP745" s="303"/>
      <c r="IGQ745" s="303"/>
      <c r="IGR745" s="303"/>
      <c r="IGS745" s="303"/>
      <c r="IGT745" s="303"/>
      <c r="IGU745" s="303"/>
      <c r="IGV745" s="303"/>
      <c r="IGW745" s="303"/>
      <c r="IGX745" s="303"/>
      <c r="IGY745" s="303"/>
      <c r="IGZ745" s="303"/>
      <c r="IHA745" s="303"/>
      <c r="IHB745" s="303"/>
      <c r="IHC745" s="303"/>
      <c r="IHD745" s="303"/>
      <c r="IHE745" s="303"/>
      <c r="IHF745" s="303"/>
      <c r="IHG745" s="303"/>
      <c r="IHH745" s="303"/>
      <c r="IHI745" s="303"/>
      <c r="IHJ745" s="303"/>
      <c r="IHK745" s="303"/>
      <c r="IHL745" s="303"/>
      <c r="IHM745" s="303"/>
      <c r="IHN745" s="303"/>
      <c r="IHO745" s="303"/>
      <c r="IHP745" s="303"/>
      <c r="IHQ745" s="303"/>
      <c r="IHR745" s="303"/>
      <c r="IHS745" s="303"/>
      <c r="IHT745" s="303"/>
      <c r="IHU745" s="303"/>
      <c r="IHV745" s="303"/>
      <c r="IHW745" s="303"/>
      <c r="IHX745" s="303"/>
      <c r="IHY745" s="303"/>
      <c r="IHZ745" s="303"/>
      <c r="IIA745" s="303"/>
      <c r="IIB745" s="303"/>
      <c r="IIC745" s="303"/>
      <c r="IID745" s="303"/>
      <c r="IIE745" s="303"/>
      <c r="IIF745" s="303"/>
      <c r="IIG745" s="303"/>
      <c r="IIH745" s="303"/>
      <c r="III745" s="303"/>
      <c r="IIJ745" s="303"/>
      <c r="IIK745" s="303"/>
      <c r="IIL745" s="303"/>
      <c r="IIM745" s="303"/>
      <c r="IIN745" s="303"/>
      <c r="IIO745" s="303"/>
      <c r="IIP745" s="303"/>
      <c r="IIQ745" s="303"/>
      <c r="IIR745" s="303"/>
      <c r="IIS745" s="303"/>
      <c r="IIT745" s="303"/>
      <c r="IIU745" s="303"/>
      <c r="IIV745" s="303"/>
      <c r="IIW745" s="303"/>
      <c r="IIX745" s="303"/>
      <c r="IIY745" s="303"/>
      <c r="IIZ745" s="303"/>
      <c r="IJA745" s="303"/>
      <c r="IJB745" s="303"/>
      <c r="IJC745" s="303"/>
      <c r="IJD745" s="303"/>
      <c r="IJE745" s="303"/>
      <c r="IJF745" s="303"/>
      <c r="IJG745" s="303"/>
      <c r="IJH745" s="303"/>
      <c r="IJI745" s="303"/>
      <c r="IJJ745" s="303"/>
      <c r="IJK745" s="303"/>
      <c r="IJL745" s="303"/>
      <c r="IJM745" s="303"/>
      <c r="IJN745" s="303"/>
      <c r="IJO745" s="303"/>
      <c r="IJP745" s="303"/>
      <c r="IJQ745" s="303"/>
      <c r="IJR745" s="303"/>
      <c r="IJS745" s="303"/>
      <c r="IJT745" s="303"/>
      <c r="IJU745" s="303"/>
      <c r="IJV745" s="303"/>
      <c r="IJW745" s="303"/>
      <c r="IJX745" s="303"/>
      <c r="IJY745" s="303"/>
      <c r="IJZ745" s="303"/>
      <c r="IKA745" s="303"/>
      <c r="IKB745" s="303"/>
      <c r="IKC745" s="303"/>
      <c r="IKD745" s="303"/>
      <c r="IKE745" s="303"/>
      <c r="IKF745" s="303"/>
      <c r="IKG745" s="303"/>
      <c r="IKH745" s="303"/>
      <c r="IKI745" s="303"/>
      <c r="IKJ745" s="303"/>
      <c r="IKK745" s="303"/>
      <c r="IKL745" s="303"/>
      <c r="IKM745" s="303"/>
      <c r="IKN745" s="303"/>
      <c r="IKO745" s="303"/>
      <c r="IKP745" s="303"/>
      <c r="IKQ745" s="303"/>
      <c r="IKR745" s="303"/>
      <c r="IKS745" s="303"/>
      <c r="IKT745" s="303"/>
      <c r="IKU745" s="303"/>
      <c r="IKV745" s="303"/>
      <c r="IKW745" s="303"/>
      <c r="IKX745" s="303"/>
      <c r="IKY745" s="303"/>
      <c r="IKZ745" s="303"/>
      <c r="ILA745" s="303"/>
      <c r="ILB745" s="303"/>
      <c r="ILC745" s="303"/>
      <c r="ILD745" s="303"/>
      <c r="ILE745" s="303"/>
      <c r="ILF745" s="303"/>
      <c r="ILG745" s="303"/>
      <c r="ILH745" s="303"/>
      <c r="ILI745" s="303"/>
      <c r="ILJ745" s="303"/>
      <c r="ILK745" s="303"/>
      <c r="ILL745" s="303"/>
      <c r="ILM745" s="303"/>
      <c r="ILN745" s="303"/>
      <c r="ILO745" s="303"/>
      <c r="ILP745" s="303"/>
      <c r="ILQ745" s="303"/>
      <c r="ILR745" s="303"/>
      <c r="ILS745" s="303"/>
      <c r="ILT745" s="303"/>
      <c r="ILU745" s="303"/>
      <c r="ILV745" s="303"/>
      <c r="ILW745" s="303"/>
      <c r="ILX745" s="303"/>
      <c r="ILY745" s="303"/>
      <c r="ILZ745" s="303"/>
      <c r="IMA745" s="303"/>
      <c r="IMB745" s="303"/>
      <c r="IMC745" s="303"/>
      <c r="IMD745" s="303"/>
      <c r="IME745" s="303"/>
      <c r="IMF745" s="303"/>
      <c r="IMG745" s="303"/>
      <c r="IMH745" s="303"/>
      <c r="IMI745" s="303"/>
      <c r="IMJ745" s="303"/>
      <c r="IMK745" s="303"/>
      <c r="IML745" s="303"/>
      <c r="IMM745" s="303"/>
      <c r="IMN745" s="303"/>
      <c r="IMO745" s="303"/>
      <c r="IMP745" s="303"/>
      <c r="IMQ745" s="303"/>
      <c r="IMR745" s="303"/>
      <c r="IMS745" s="303"/>
      <c r="IMT745" s="303"/>
      <c r="IMU745" s="303"/>
      <c r="IMV745" s="303"/>
      <c r="IMW745" s="303"/>
      <c r="IMX745" s="303"/>
      <c r="IMY745" s="303"/>
      <c r="IMZ745" s="303"/>
      <c r="INA745" s="303"/>
      <c r="INB745" s="303"/>
      <c r="INC745" s="303"/>
      <c r="IND745" s="303"/>
      <c r="INE745" s="303"/>
      <c r="INF745" s="303"/>
      <c r="ING745" s="303"/>
      <c r="INH745" s="303"/>
      <c r="INI745" s="303"/>
      <c r="INJ745" s="303"/>
      <c r="INK745" s="303"/>
      <c r="INL745" s="303"/>
      <c r="INM745" s="303"/>
      <c r="INN745" s="303"/>
      <c r="INO745" s="303"/>
      <c r="INP745" s="303"/>
      <c r="INQ745" s="303"/>
      <c r="INR745" s="303"/>
      <c r="INS745" s="303"/>
      <c r="INT745" s="303"/>
      <c r="INU745" s="303"/>
      <c r="INV745" s="303"/>
      <c r="INW745" s="303"/>
      <c r="INX745" s="303"/>
      <c r="INY745" s="303"/>
      <c r="INZ745" s="303"/>
      <c r="IOA745" s="303"/>
      <c r="IOB745" s="303"/>
      <c r="IOC745" s="303"/>
      <c r="IOD745" s="303"/>
      <c r="IOE745" s="303"/>
      <c r="IOF745" s="303"/>
      <c r="IOG745" s="303"/>
      <c r="IOH745" s="303"/>
      <c r="IOI745" s="303"/>
      <c r="IOJ745" s="303"/>
      <c r="IOK745" s="303"/>
      <c r="IOL745" s="303"/>
      <c r="IOM745" s="303"/>
      <c r="ION745" s="303"/>
      <c r="IOO745" s="303"/>
      <c r="IOP745" s="303"/>
      <c r="IOQ745" s="303"/>
      <c r="IOR745" s="303"/>
      <c r="IOS745" s="303"/>
      <c r="IOT745" s="303"/>
      <c r="IOU745" s="303"/>
      <c r="IOV745" s="303"/>
      <c r="IOW745" s="303"/>
      <c r="IOX745" s="303"/>
      <c r="IOY745" s="303"/>
      <c r="IOZ745" s="303"/>
      <c r="IPA745" s="303"/>
      <c r="IPB745" s="303"/>
      <c r="IPC745" s="303"/>
      <c r="IPD745" s="303"/>
      <c r="IPE745" s="303"/>
      <c r="IPF745" s="303"/>
      <c r="IPG745" s="303"/>
      <c r="IPH745" s="303"/>
      <c r="IPI745" s="303"/>
      <c r="IPJ745" s="303"/>
      <c r="IPK745" s="303"/>
      <c r="IPL745" s="303"/>
      <c r="IPM745" s="303"/>
      <c r="IPN745" s="303"/>
      <c r="IPO745" s="303"/>
      <c r="IPP745" s="303"/>
      <c r="IPQ745" s="303"/>
      <c r="IPR745" s="303"/>
      <c r="IPS745" s="303"/>
      <c r="IPT745" s="303"/>
      <c r="IPU745" s="303"/>
      <c r="IPV745" s="303"/>
      <c r="IPW745" s="303"/>
      <c r="IPX745" s="303"/>
      <c r="IPY745" s="303"/>
      <c r="IPZ745" s="303"/>
      <c r="IQA745" s="303"/>
      <c r="IQB745" s="303"/>
      <c r="IQC745" s="303"/>
      <c r="IQD745" s="303"/>
      <c r="IQE745" s="303"/>
      <c r="IQF745" s="303"/>
      <c r="IQG745" s="303"/>
      <c r="IQH745" s="303"/>
      <c r="IQI745" s="303"/>
      <c r="IQJ745" s="303"/>
      <c r="IQK745" s="303"/>
      <c r="IQL745" s="303"/>
      <c r="IQM745" s="303"/>
      <c r="IQN745" s="303"/>
      <c r="IQO745" s="303"/>
      <c r="IQP745" s="303"/>
      <c r="IQQ745" s="303"/>
      <c r="IQR745" s="303"/>
      <c r="IQS745" s="303"/>
      <c r="IQT745" s="303"/>
      <c r="IQU745" s="303"/>
      <c r="IQV745" s="303"/>
      <c r="IQW745" s="303"/>
      <c r="IQX745" s="303"/>
      <c r="IQY745" s="303"/>
      <c r="IQZ745" s="303"/>
      <c r="IRA745" s="303"/>
      <c r="IRB745" s="303"/>
      <c r="IRC745" s="303"/>
      <c r="IRD745" s="303"/>
      <c r="IRE745" s="303"/>
      <c r="IRF745" s="303"/>
      <c r="IRG745" s="303"/>
      <c r="IRH745" s="303"/>
      <c r="IRI745" s="303"/>
      <c r="IRJ745" s="303"/>
      <c r="IRK745" s="303"/>
      <c r="IRL745" s="303"/>
      <c r="IRM745" s="303"/>
      <c r="IRN745" s="303"/>
      <c r="IRO745" s="303"/>
      <c r="IRP745" s="303"/>
      <c r="IRQ745" s="303"/>
      <c r="IRR745" s="303"/>
      <c r="IRS745" s="303"/>
      <c r="IRT745" s="303"/>
      <c r="IRU745" s="303"/>
      <c r="IRV745" s="303"/>
      <c r="IRW745" s="303"/>
      <c r="IRX745" s="303"/>
      <c r="IRY745" s="303"/>
      <c r="IRZ745" s="303"/>
      <c r="ISA745" s="303"/>
      <c r="ISB745" s="303"/>
      <c r="ISC745" s="303"/>
      <c r="ISD745" s="303"/>
      <c r="ISE745" s="303"/>
      <c r="ISF745" s="303"/>
      <c r="ISG745" s="303"/>
      <c r="ISH745" s="303"/>
      <c r="ISI745" s="303"/>
      <c r="ISJ745" s="303"/>
      <c r="ISK745" s="303"/>
      <c r="ISL745" s="303"/>
      <c r="ISM745" s="303"/>
      <c r="ISN745" s="303"/>
      <c r="ISO745" s="303"/>
      <c r="ISP745" s="303"/>
      <c r="ISQ745" s="303"/>
      <c r="ISR745" s="303"/>
      <c r="ISS745" s="303"/>
      <c r="IST745" s="303"/>
      <c r="ISU745" s="303"/>
      <c r="ISV745" s="303"/>
      <c r="ISW745" s="303"/>
      <c r="ISX745" s="303"/>
      <c r="ISY745" s="303"/>
      <c r="ISZ745" s="303"/>
      <c r="ITA745" s="303"/>
      <c r="ITB745" s="303"/>
      <c r="ITC745" s="303"/>
      <c r="ITD745" s="303"/>
      <c r="ITE745" s="303"/>
      <c r="ITF745" s="303"/>
      <c r="ITG745" s="303"/>
      <c r="ITH745" s="303"/>
      <c r="ITI745" s="303"/>
      <c r="ITJ745" s="303"/>
      <c r="ITK745" s="303"/>
      <c r="ITL745" s="303"/>
      <c r="ITM745" s="303"/>
      <c r="ITN745" s="303"/>
      <c r="ITO745" s="303"/>
      <c r="ITP745" s="303"/>
      <c r="ITQ745" s="303"/>
      <c r="ITR745" s="303"/>
      <c r="ITS745" s="303"/>
      <c r="ITT745" s="303"/>
      <c r="ITU745" s="303"/>
      <c r="ITV745" s="303"/>
      <c r="ITW745" s="303"/>
      <c r="ITX745" s="303"/>
      <c r="ITY745" s="303"/>
      <c r="ITZ745" s="303"/>
      <c r="IUA745" s="303"/>
      <c r="IUB745" s="303"/>
      <c r="IUC745" s="303"/>
      <c r="IUD745" s="303"/>
      <c r="IUE745" s="303"/>
      <c r="IUF745" s="303"/>
      <c r="IUG745" s="303"/>
      <c r="IUH745" s="303"/>
      <c r="IUI745" s="303"/>
      <c r="IUJ745" s="303"/>
      <c r="IUK745" s="303"/>
      <c r="IUL745" s="303"/>
      <c r="IUM745" s="303"/>
      <c r="IUN745" s="303"/>
      <c r="IUO745" s="303"/>
      <c r="IUP745" s="303"/>
      <c r="IUQ745" s="303"/>
      <c r="IUR745" s="303"/>
      <c r="IUS745" s="303"/>
      <c r="IUT745" s="303"/>
      <c r="IUU745" s="303"/>
      <c r="IUV745" s="303"/>
      <c r="IUW745" s="303"/>
      <c r="IUX745" s="303"/>
      <c r="IUY745" s="303"/>
      <c r="IUZ745" s="303"/>
      <c r="IVA745" s="303"/>
      <c r="IVB745" s="303"/>
      <c r="IVC745" s="303"/>
      <c r="IVD745" s="303"/>
      <c r="IVE745" s="303"/>
      <c r="IVF745" s="303"/>
      <c r="IVG745" s="303"/>
      <c r="IVH745" s="303"/>
      <c r="IVI745" s="303"/>
      <c r="IVJ745" s="303"/>
      <c r="IVK745" s="303"/>
      <c r="IVL745" s="303"/>
      <c r="IVM745" s="303"/>
      <c r="IVN745" s="303"/>
      <c r="IVO745" s="303"/>
      <c r="IVP745" s="303"/>
      <c r="IVQ745" s="303"/>
      <c r="IVR745" s="303"/>
      <c r="IVS745" s="303"/>
      <c r="IVT745" s="303"/>
      <c r="IVU745" s="303"/>
      <c r="IVV745" s="303"/>
      <c r="IVW745" s="303"/>
      <c r="IVX745" s="303"/>
      <c r="IVY745" s="303"/>
      <c r="IVZ745" s="303"/>
      <c r="IWA745" s="303"/>
      <c r="IWB745" s="303"/>
      <c r="IWC745" s="303"/>
      <c r="IWD745" s="303"/>
      <c r="IWE745" s="303"/>
      <c r="IWF745" s="303"/>
      <c r="IWG745" s="303"/>
      <c r="IWH745" s="303"/>
      <c r="IWI745" s="303"/>
      <c r="IWJ745" s="303"/>
      <c r="IWK745" s="303"/>
      <c r="IWL745" s="303"/>
      <c r="IWM745" s="303"/>
      <c r="IWN745" s="303"/>
      <c r="IWO745" s="303"/>
      <c r="IWP745" s="303"/>
      <c r="IWQ745" s="303"/>
      <c r="IWR745" s="303"/>
      <c r="IWS745" s="303"/>
      <c r="IWT745" s="303"/>
      <c r="IWU745" s="303"/>
      <c r="IWV745" s="303"/>
      <c r="IWW745" s="303"/>
      <c r="IWX745" s="303"/>
      <c r="IWY745" s="303"/>
      <c r="IWZ745" s="303"/>
      <c r="IXA745" s="303"/>
      <c r="IXB745" s="303"/>
      <c r="IXC745" s="303"/>
      <c r="IXD745" s="303"/>
      <c r="IXE745" s="303"/>
      <c r="IXF745" s="303"/>
      <c r="IXG745" s="303"/>
      <c r="IXH745" s="303"/>
      <c r="IXI745" s="303"/>
      <c r="IXJ745" s="303"/>
      <c r="IXK745" s="303"/>
      <c r="IXL745" s="303"/>
      <c r="IXM745" s="303"/>
      <c r="IXN745" s="303"/>
      <c r="IXO745" s="303"/>
      <c r="IXP745" s="303"/>
      <c r="IXQ745" s="303"/>
      <c r="IXR745" s="303"/>
      <c r="IXS745" s="303"/>
      <c r="IXT745" s="303"/>
      <c r="IXU745" s="303"/>
      <c r="IXV745" s="303"/>
      <c r="IXW745" s="303"/>
      <c r="IXX745" s="303"/>
      <c r="IXY745" s="303"/>
      <c r="IXZ745" s="303"/>
      <c r="IYA745" s="303"/>
      <c r="IYB745" s="303"/>
      <c r="IYC745" s="303"/>
      <c r="IYD745" s="303"/>
      <c r="IYE745" s="303"/>
      <c r="IYF745" s="303"/>
      <c r="IYG745" s="303"/>
      <c r="IYH745" s="303"/>
      <c r="IYI745" s="303"/>
      <c r="IYJ745" s="303"/>
      <c r="IYK745" s="303"/>
      <c r="IYL745" s="303"/>
      <c r="IYM745" s="303"/>
      <c r="IYN745" s="303"/>
      <c r="IYO745" s="303"/>
      <c r="IYP745" s="303"/>
      <c r="IYQ745" s="303"/>
      <c r="IYR745" s="303"/>
      <c r="IYS745" s="303"/>
      <c r="IYT745" s="303"/>
      <c r="IYU745" s="303"/>
      <c r="IYV745" s="303"/>
      <c r="IYW745" s="303"/>
      <c r="IYX745" s="303"/>
      <c r="IYY745" s="303"/>
      <c r="IYZ745" s="303"/>
      <c r="IZA745" s="303"/>
      <c r="IZB745" s="303"/>
      <c r="IZC745" s="303"/>
      <c r="IZD745" s="303"/>
      <c r="IZE745" s="303"/>
      <c r="IZF745" s="303"/>
      <c r="IZG745" s="303"/>
      <c r="IZH745" s="303"/>
      <c r="IZI745" s="303"/>
      <c r="IZJ745" s="303"/>
      <c r="IZK745" s="303"/>
      <c r="IZL745" s="303"/>
      <c r="IZM745" s="303"/>
      <c r="IZN745" s="303"/>
      <c r="IZO745" s="303"/>
      <c r="IZP745" s="303"/>
      <c r="IZQ745" s="303"/>
      <c r="IZR745" s="303"/>
      <c r="IZS745" s="303"/>
      <c r="IZT745" s="303"/>
      <c r="IZU745" s="303"/>
      <c r="IZV745" s="303"/>
      <c r="IZW745" s="303"/>
      <c r="IZX745" s="303"/>
      <c r="IZY745" s="303"/>
      <c r="IZZ745" s="303"/>
      <c r="JAA745" s="303"/>
      <c r="JAB745" s="303"/>
      <c r="JAC745" s="303"/>
      <c r="JAD745" s="303"/>
      <c r="JAE745" s="303"/>
      <c r="JAF745" s="303"/>
      <c r="JAG745" s="303"/>
      <c r="JAH745" s="303"/>
      <c r="JAI745" s="303"/>
      <c r="JAJ745" s="303"/>
      <c r="JAK745" s="303"/>
      <c r="JAL745" s="303"/>
      <c r="JAM745" s="303"/>
      <c r="JAN745" s="303"/>
      <c r="JAO745" s="303"/>
      <c r="JAP745" s="303"/>
      <c r="JAQ745" s="303"/>
      <c r="JAR745" s="303"/>
      <c r="JAS745" s="303"/>
      <c r="JAT745" s="303"/>
      <c r="JAU745" s="303"/>
      <c r="JAV745" s="303"/>
      <c r="JAW745" s="303"/>
      <c r="JAX745" s="303"/>
      <c r="JAY745" s="303"/>
      <c r="JAZ745" s="303"/>
      <c r="JBA745" s="303"/>
      <c r="JBB745" s="303"/>
      <c r="JBC745" s="303"/>
      <c r="JBD745" s="303"/>
      <c r="JBE745" s="303"/>
      <c r="JBF745" s="303"/>
      <c r="JBG745" s="303"/>
      <c r="JBH745" s="303"/>
      <c r="JBI745" s="303"/>
      <c r="JBJ745" s="303"/>
      <c r="JBK745" s="303"/>
      <c r="JBL745" s="303"/>
      <c r="JBM745" s="303"/>
      <c r="JBN745" s="303"/>
      <c r="JBO745" s="303"/>
      <c r="JBP745" s="303"/>
      <c r="JBQ745" s="303"/>
      <c r="JBR745" s="303"/>
      <c r="JBS745" s="303"/>
      <c r="JBT745" s="303"/>
      <c r="JBU745" s="303"/>
      <c r="JBV745" s="303"/>
      <c r="JBW745" s="303"/>
      <c r="JBX745" s="303"/>
      <c r="JBY745" s="303"/>
      <c r="JBZ745" s="303"/>
      <c r="JCA745" s="303"/>
      <c r="JCB745" s="303"/>
      <c r="JCC745" s="303"/>
      <c r="JCD745" s="303"/>
      <c r="JCE745" s="303"/>
      <c r="JCF745" s="303"/>
      <c r="JCG745" s="303"/>
      <c r="JCH745" s="303"/>
      <c r="JCI745" s="303"/>
      <c r="JCJ745" s="303"/>
      <c r="JCK745" s="303"/>
      <c r="JCL745" s="303"/>
      <c r="JCM745" s="303"/>
      <c r="JCN745" s="303"/>
      <c r="JCO745" s="303"/>
      <c r="JCP745" s="303"/>
      <c r="JCQ745" s="303"/>
      <c r="JCR745" s="303"/>
      <c r="JCS745" s="303"/>
      <c r="JCT745" s="303"/>
      <c r="JCU745" s="303"/>
      <c r="JCV745" s="303"/>
      <c r="JCW745" s="303"/>
      <c r="JCX745" s="303"/>
      <c r="JCY745" s="303"/>
      <c r="JCZ745" s="303"/>
      <c r="JDA745" s="303"/>
      <c r="JDB745" s="303"/>
      <c r="JDC745" s="303"/>
      <c r="JDD745" s="303"/>
      <c r="JDE745" s="303"/>
      <c r="JDF745" s="303"/>
      <c r="JDG745" s="303"/>
      <c r="JDH745" s="303"/>
      <c r="JDI745" s="303"/>
      <c r="JDJ745" s="303"/>
      <c r="JDK745" s="303"/>
      <c r="JDL745" s="303"/>
      <c r="JDM745" s="303"/>
      <c r="JDN745" s="303"/>
      <c r="JDO745" s="303"/>
      <c r="JDP745" s="303"/>
      <c r="JDQ745" s="303"/>
      <c r="JDR745" s="303"/>
      <c r="JDS745" s="303"/>
      <c r="JDT745" s="303"/>
      <c r="JDU745" s="303"/>
      <c r="JDV745" s="303"/>
      <c r="JDW745" s="303"/>
      <c r="JDX745" s="303"/>
      <c r="JDY745" s="303"/>
      <c r="JDZ745" s="303"/>
      <c r="JEA745" s="303"/>
      <c r="JEB745" s="303"/>
      <c r="JEC745" s="303"/>
      <c r="JED745" s="303"/>
      <c r="JEE745" s="303"/>
      <c r="JEF745" s="303"/>
      <c r="JEG745" s="303"/>
      <c r="JEH745" s="303"/>
      <c r="JEI745" s="303"/>
      <c r="JEJ745" s="303"/>
      <c r="JEK745" s="303"/>
      <c r="JEL745" s="303"/>
      <c r="JEM745" s="303"/>
      <c r="JEN745" s="303"/>
      <c r="JEO745" s="303"/>
      <c r="JEP745" s="303"/>
      <c r="JEQ745" s="303"/>
      <c r="JER745" s="303"/>
      <c r="JES745" s="303"/>
      <c r="JET745" s="303"/>
      <c r="JEU745" s="303"/>
      <c r="JEV745" s="303"/>
      <c r="JEW745" s="303"/>
      <c r="JEX745" s="303"/>
      <c r="JEY745" s="303"/>
      <c r="JEZ745" s="303"/>
      <c r="JFA745" s="303"/>
      <c r="JFB745" s="303"/>
      <c r="JFC745" s="303"/>
      <c r="JFD745" s="303"/>
      <c r="JFE745" s="303"/>
      <c r="JFF745" s="303"/>
      <c r="JFG745" s="303"/>
      <c r="JFH745" s="303"/>
      <c r="JFI745" s="303"/>
      <c r="JFJ745" s="303"/>
      <c r="JFK745" s="303"/>
      <c r="JFL745" s="303"/>
      <c r="JFM745" s="303"/>
      <c r="JFN745" s="303"/>
      <c r="JFO745" s="303"/>
      <c r="JFP745" s="303"/>
      <c r="JFQ745" s="303"/>
      <c r="JFR745" s="303"/>
      <c r="JFS745" s="303"/>
      <c r="JFT745" s="303"/>
      <c r="JFU745" s="303"/>
      <c r="JFV745" s="303"/>
      <c r="JFW745" s="303"/>
      <c r="JFX745" s="303"/>
      <c r="JFY745" s="303"/>
      <c r="JFZ745" s="303"/>
      <c r="JGA745" s="303"/>
      <c r="JGB745" s="303"/>
      <c r="JGC745" s="303"/>
      <c r="JGD745" s="303"/>
      <c r="JGE745" s="303"/>
      <c r="JGF745" s="303"/>
      <c r="JGG745" s="303"/>
      <c r="JGH745" s="303"/>
      <c r="JGI745" s="303"/>
      <c r="JGJ745" s="303"/>
      <c r="JGK745" s="303"/>
      <c r="JGL745" s="303"/>
      <c r="JGM745" s="303"/>
      <c r="JGN745" s="303"/>
      <c r="JGO745" s="303"/>
      <c r="JGP745" s="303"/>
      <c r="JGQ745" s="303"/>
      <c r="JGR745" s="303"/>
      <c r="JGS745" s="303"/>
      <c r="JGT745" s="303"/>
      <c r="JGU745" s="303"/>
      <c r="JGV745" s="303"/>
      <c r="JGW745" s="303"/>
      <c r="JGX745" s="303"/>
      <c r="JGY745" s="303"/>
      <c r="JGZ745" s="303"/>
      <c r="JHA745" s="303"/>
      <c r="JHB745" s="303"/>
      <c r="JHC745" s="303"/>
      <c r="JHD745" s="303"/>
      <c r="JHE745" s="303"/>
      <c r="JHF745" s="303"/>
      <c r="JHG745" s="303"/>
      <c r="JHH745" s="303"/>
      <c r="JHI745" s="303"/>
      <c r="JHJ745" s="303"/>
      <c r="JHK745" s="303"/>
      <c r="JHL745" s="303"/>
      <c r="JHM745" s="303"/>
      <c r="JHN745" s="303"/>
      <c r="JHO745" s="303"/>
      <c r="JHP745" s="303"/>
      <c r="JHQ745" s="303"/>
      <c r="JHR745" s="303"/>
      <c r="JHS745" s="303"/>
      <c r="JHT745" s="303"/>
      <c r="JHU745" s="303"/>
      <c r="JHV745" s="303"/>
      <c r="JHW745" s="303"/>
      <c r="JHX745" s="303"/>
      <c r="JHY745" s="303"/>
      <c r="JHZ745" s="303"/>
      <c r="JIA745" s="303"/>
      <c r="JIB745" s="303"/>
      <c r="JIC745" s="303"/>
      <c r="JID745" s="303"/>
      <c r="JIE745" s="303"/>
      <c r="JIF745" s="303"/>
      <c r="JIG745" s="303"/>
      <c r="JIH745" s="303"/>
      <c r="JII745" s="303"/>
      <c r="JIJ745" s="303"/>
      <c r="JIK745" s="303"/>
      <c r="JIL745" s="303"/>
      <c r="JIM745" s="303"/>
      <c r="JIN745" s="303"/>
      <c r="JIO745" s="303"/>
      <c r="JIP745" s="303"/>
      <c r="JIQ745" s="303"/>
      <c r="JIR745" s="303"/>
      <c r="JIS745" s="303"/>
      <c r="JIT745" s="303"/>
      <c r="JIU745" s="303"/>
      <c r="JIV745" s="303"/>
      <c r="JIW745" s="303"/>
      <c r="JIX745" s="303"/>
      <c r="JIY745" s="303"/>
      <c r="JIZ745" s="303"/>
      <c r="JJA745" s="303"/>
      <c r="JJB745" s="303"/>
      <c r="JJC745" s="303"/>
      <c r="JJD745" s="303"/>
      <c r="JJE745" s="303"/>
      <c r="JJF745" s="303"/>
      <c r="JJG745" s="303"/>
      <c r="JJH745" s="303"/>
      <c r="JJI745" s="303"/>
      <c r="JJJ745" s="303"/>
      <c r="JJK745" s="303"/>
      <c r="JJL745" s="303"/>
      <c r="JJM745" s="303"/>
      <c r="JJN745" s="303"/>
      <c r="JJO745" s="303"/>
      <c r="JJP745" s="303"/>
      <c r="JJQ745" s="303"/>
      <c r="JJR745" s="303"/>
      <c r="JJS745" s="303"/>
      <c r="JJT745" s="303"/>
      <c r="JJU745" s="303"/>
      <c r="JJV745" s="303"/>
      <c r="JJW745" s="303"/>
      <c r="JJX745" s="303"/>
      <c r="JJY745" s="303"/>
      <c r="JJZ745" s="303"/>
      <c r="JKA745" s="303"/>
      <c r="JKB745" s="303"/>
      <c r="JKC745" s="303"/>
      <c r="JKD745" s="303"/>
      <c r="JKE745" s="303"/>
      <c r="JKF745" s="303"/>
      <c r="JKG745" s="303"/>
      <c r="JKH745" s="303"/>
      <c r="JKI745" s="303"/>
      <c r="JKJ745" s="303"/>
      <c r="JKK745" s="303"/>
      <c r="JKL745" s="303"/>
      <c r="JKM745" s="303"/>
      <c r="JKN745" s="303"/>
      <c r="JKO745" s="303"/>
      <c r="JKP745" s="303"/>
      <c r="JKQ745" s="303"/>
      <c r="JKR745" s="303"/>
      <c r="JKS745" s="303"/>
      <c r="JKT745" s="303"/>
      <c r="JKU745" s="303"/>
      <c r="JKV745" s="303"/>
      <c r="JKW745" s="303"/>
      <c r="JKX745" s="303"/>
      <c r="JKY745" s="303"/>
      <c r="JKZ745" s="303"/>
      <c r="JLA745" s="303"/>
      <c r="JLB745" s="303"/>
      <c r="JLC745" s="303"/>
      <c r="JLD745" s="303"/>
      <c r="JLE745" s="303"/>
      <c r="JLF745" s="303"/>
      <c r="JLG745" s="303"/>
      <c r="JLH745" s="303"/>
      <c r="JLI745" s="303"/>
      <c r="JLJ745" s="303"/>
      <c r="JLK745" s="303"/>
      <c r="JLL745" s="303"/>
      <c r="JLM745" s="303"/>
      <c r="JLN745" s="303"/>
      <c r="JLO745" s="303"/>
      <c r="JLP745" s="303"/>
      <c r="JLQ745" s="303"/>
      <c r="JLR745" s="303"/>
      <c r="JLS745" s="303"/>
      <c r="JLT745" s="303"/>
      <c r="JLU745" s="303"/>
      <c r="JLV745" s="303"/>
      <c r="JLW745" s="303"/>
      <c r="JLX745" s="303"/>
      <c r="JLY745" s="303"/>
      <c r="JLZ745" s="303"/>
      <c r="JMA745" s="303"/>
      <c r="JMB745" s="303"/>
      <c r="JMC745" s="303"/>
      <c r="JMD745" s="303"/>
      <c r="JME745" s="303"/>
      <c r="JMF745" s="303"/>
      <c r="JMG745" s="303"/>
      <c r="JMH745" s="303"/>
      <c r="JMI745" s="303"/>
      <c r="JMJ745" s="303"/>
      <c r="JMK745" s="303"/>
      <c r="JML745" s="303"/>
      <c r="JMM745" s="303"/>
      <c r="JMN745" s="303"/>
      <c r="JMO745" s="303"/>
      <c r="JMP745" s="303"/>
      <c r="JMQ745" s="303"/>
      <c r="JMR745" s="303"/>
      <c r="JMS745" s="303"/>
      <c r="JMT745" s="303"/>
      <c r="JMU745" s="303"/>
      <c r="JMV745" s="303"/>
      <c r="JMW745" s="303"/>
      <c r="JMX745" s="303"/>
      <c r="JMY745" s="303"/>
      <c r="JMZ745" s="303"/>
      <c r="JNA745" s="303"/>
      <c r="JNB745" s="303"/>
      <c r="JNC745" s="303"/>
      <c r="JND745" s="303"/>
      <c r="JNE745" s="303"/>
      <c r="JNF745" s="303"/>
      <c r="JNG745" s="303"/>
      <c r="JNH745" s="303"/>
      <c r="JNI745" s="303"/>
      <c r="JNJ745" s="303"/>
      <c r="JNK745" s="303"/>
      <c r="JNL745" s="303"/>
      <c r="JNM745" s="303"/>
      <c r="JNN745" s="303"/>
      <c r="JNO745" s="303"/>
      <c r="JNP745" s="303"/>
      <c r="JNQ745" s="303"/>
      <c r="JNR745" s="303"/>
      <c r="JNS745" s="303"/>
      <c r="JNT745" s="303"/>
      <c r="JNU745" s="303"/>
      <c r="JNV745" s="303"/>
      <c r="JNW745" s="303"/>
      <c r="JNX745" s="303"/>
      <c r="JNY745" s="303"/>
      <c r="JNZ745" s="303"/>
      <c r="JOA745" s="303"/>
      <c r="JOB745" s="303"/>
      <c r="JOC745" s="303"/>
      <c r="JOD745" s="303"/>
      <c r="JOE745" s="303"/>
      <c r="JOF745" s="303"/>
      <c r="JOG745" s="303"/>
      <c r="JOH745" s="303"/>
      <c r="JOI745" s="303"/>
      <c r="JOJ745" s="303"/>
      <c r="JOK745" s="303"/>
      <c r="JOL745" s="303"/>
      <c r="JOM745" s="303"/>
      <c r="JON745" s="303"/>
      <c r="JOO745" s="303"/>
      <c r="JOP745" s="303"/>
      <c r="JOQ745" s="303"/>
      <c r="JOR745" s="303"/>
      <c r="JOS745" s="303"/>
      <c r="JOT745" s="303"/>
      <c r="JOU745" s="303"/>
      <c r="JOV745" s="303"/>
      <c r="JOW745" s="303"/>
      <c r="JOX745" s="303"/>
      <c r="JOY745" s="303"/>
      <c r="JOZ745" s="303"/>
      <c r="JPA745" s="303"/>
      <c r="JPB745" s="303"/>
      <c r="JPC745" s="303"/>
      <c r="JPD745" s="303"/>
      <c r="JPE745" s="303"/>
      <c r="JPF745" s="303"/>
      <c r="JPG745" s="303"/>
      <c r="JPH745" s="303"/>
      <c r="JPI745" s="303"/>
      <c r="JPJ745" s="303"/>
      <c r="JPK745" s="303"/>
      <c r="JPL745" s="303"/>
      <c r="JPM745" s="303"/>
      <c r="JPN745" s="303"/>
      <c r="JPO745" s="303"/>
      <c r="JPP745" s="303"/>
      <c r="JPQ745" s="303"/>
      <c r="JPR745" s="303"/>
      <c r="JPS745" s="303"/>
      <c r="JPT745" s="303"/>
      <c r="JPU745" s="303"/>
      <c r="JPV745" s="303"/>
      <c r="JPW745" s="303"/>
      <c r="JPX745" s="303"/>
      <c r="JPY745" s="303"/>
      <c r="JPZ745" s="303"/>
      <c r="JQA745" s="303"/>
      <c r="JQB745" s="303"/>
      <c r="JQC745" s="303"/>
      <c r="JQD745" s="303"/>
      <c r="JQE745" s="303"/>
      <c r="JQF745" s="303"/>
      <c r="JQG745" s="303"/>
      <c r="JQH745" s="303"/>
      <c r="JQI745" s="303"/>
      <c r="JQJ745" s="303"/>
      <c r="JQK745" s="303"/>
      <c r="JQL745" s="303"/>
      <c r="JQM745" s="303"/>
      <c r="JQN745" s="303"/>
      <c r="JQO745" s="303"/>
      <c r="JQP745" s="303"/>
      <c r="JQQ745" s="303"/>
      <c r="JQR745" s="303"/>
      <c r="JQS745" s="303"/>
      <c r="JQT745" s="303"/>
      <c r="JQU745" s="303"/>
      <c r="JQV745" s="303"/>
      <c r="JQW745" s="303"/>
      <c r="JQX745" s="303"/>
      <c r="JQY745" s="303"/>
      <c r="JQZ745" s="303"/>
      <c r="JRA745" s="303"/>
      <c r="JRB745" s="303"/>
      <c r="JRC745" s="303"/>
      <c r="JRD745" s="303"/>
      <c r="JRE745" s="303"/>
      <c r="JRF745" s="303"/>
      <c r="JRG745" s="303"/>
      <c r="JRH745" s="303"/>
      <c r="JRI745" s="303"/>
      <c r="JRJ745" s="303"/>
      <c r="JRK745" s="303"/>
      <c r="JRL745" s="303"/>
      <c r="JRM745" s="303"/>
      <c r="JRN745" s="303"/>
      <c r="JRO745" s="303"/>
      <c r="JRP745" s="303"/>
      <c r="JRQ745" s="303"/>
      <c r="JRR745" s="303"/>
      <c r="JRS745" s="303"/>
      <c r="JRT745" s="303"/>
      <c r="JRU745" s="303"/>
      <c r="JRV745" s="303"/>
      <c r="JRW745" s="303"/>
      <c r="JRX745" s="303"/>
      <c r="JRY745" s="303"/>
      <c r="JRZ745" s="303"/>
      <c r="JSA745" s="303"/>
      <c r="JSB745" s="303"/>
      <c r="JSC745" s="303"/>
      <c r="JSD745" s="303"/>
      <c r="JSE745" s="303"/>
      <c r="JSF745" s="303"/>
      <c r="JSG745" s="303"/>
      <c r="JSH745" s="303"/>
      <c r="JSI745" s="303"/>
      <c r="JSJ745" s="303"/>
      <c r="JSK745" s="303"/>
      <c r="JSL745" s="303"/>
      <c r="JSM745" s="303"/>
      <c r="JSN745" s="303"/>
      <c r="JSO745" s="303"/>
      <c r="JSP745" s="303"/>
      <c r="JSQ745" s="303"/>
      <c r="JSR745" s="303"/>
      <c r="JSS745" s="303"/>
      <c r="JST745" s="303"/>
      <c r="JSU745" s="303"/>
      <c r="JSV745" s="303"/>
      <c r="JSW745" s="303"/>
      <c r="JSX745" s="303"/>
      <c r="JSY745" s="303"/>
      <c r="JSZ745" s="303"/>
      <c r="JTA745" s="303"/>
      <c r="JTB745" s="303"/>
      <c r="JTC745" s="303"/>
      <c r="JTD745" s="303"/>
      <c r="JTE745" s="303"/>
      <c r="JTF745" s="303"/>
      <c r="JTG745" s="303"/>
      <c r="JTH745" s="303"/>
      <c r="JTI745" s="303"/>
      <c r="JTJ745" s="303"/>
      <c r="JTK745" s="303"/>
      <c r="JTL745" s="303"/>
      <c r="JTM745" s="303"/>
      <c r="JTN745" s="303"/>
      <c r="JTO745" s="303"/>
      <c r="JTP745" s="303"/>
      <c r="JTQ745" s="303"/>
      <c r="JTR745" s="303"/>
      <c r="JTS745" s="303"/>
      <c r="JTT745" s="303"/>
      <c r="JTU745" s="303"/>
      <c r="JTV745" s="303"/>
      <c r="JTW745" s="303"/>
      <c r="JTX745" s="303"/>
      <c r="JTY745" s="303"/>
      <c r="JTZ745" s="303"/>
      <c r="JUA745" s="303"/>
      <c r="JUB745" s="303"/>
      <c r="JUC745" s="303"/>
      <c r="JUD745" s="303"/>
      <c r="JUE745" s="303"/>
      <c r="JUF745" s="303"/>
      <c r="JUG745" s="303"/>
      <c r="JUH745" s="303"/>
      <c r="JUI745" s="303"/>
      <c r="JUJ745" s="303"/>
      <c r="JUK745" s="303"/>
      <c r="JUL745" s="303"/>
      <c r="JUM745" s="303"/>
      <c r="JUN745" s="303"/>
      <c r="JUO745" s="303"/>
      <c r="JUP745" s="303"/>
      <c r="JUQ745" s="303"/>
      <c r="JUR745" s="303"/>
      <c r="JUS745" s="303"/>
      <c r="JUT745" s="303"/>
      <c r="JUU745" s="303"/>
      <c r="JUV745" s="303"/>
      <c r="JUW745" s="303"/>
      <c r="JUX745" s="303"/>
      <c r="JUY745" s="303"/>
      <c r="JUZ745" s="303"/>
      <c r="JVA745" s="303"/>
      <c r="JVB745" s="303"/>
      <c r="JVC745" s="303"/>
      <c r="JVD745" s="303"/>
      <c r="JVE745" s="303"/>
      <c r="JVF745" s="303"/>
      <c r="JVG745" s="303"/>
      <c r="JVH745" s="303"/>
      <c r="JVI745" s="303"/>
      <c r="JVJ745" s="303"/>
      <c r="JVK745" s="303"/>
      <c r="JVL745" s="303"/>
      <c r="JVM745" s="303"/>
      <c r="JVN745" s="303"/>
      <c r="JVO745" s="303"/>
      <c r="JVP745" s="303"/>
      <c r="JVQ745" s="303"/>
      <c r="JVR745" s="303"/>
      <c r="JVS745" s="303"/>
      <c r="JVT745" s="303"/>
      <c r="JVU745" s="303"/>
      <c r="JVV745" s="303"/>
      <c r="JVW745" s="303"/>
      <c r="JVX745" s="303"/>
      <c r="JVY745" s="303"/>
      <c r="JVZ745" s="303"/>
      <c r="JWA745" s="303"/>
      <c r="JWB745" s="303"/>
      <c r="JWC745" s="303"/>
      <c r="JWD745" s="303"/>
      <c r="JWE745" s="303"/>
      <c r="JWF745" s="303"/>
      <c r="JWG745" s="303"/>
      <c r="JWH745" s="303"/>
      <c r="JWI745" s="303"/>
      <c r="JWJ745" s="303"/>
      <c r="JWK745" s="303"/>
      <c r="JWL745" s="303"/>
      <c r="JWM745" s="303"/>
      <c r="JWN745" s="303"/>
      <c r="JWO745" s="303"/>
      <c r="JWP745" s="303"/>
      <c r="JWQ745" s="303"/>
      <c r="JWR745" s="303"/>
      <c r="JWS745" s="303"/>
      <c r="JWT745" s="303"/>
      <c r="JWU745" s="303"/>
      <c r="JWV745" s="303"/>
      <c r="JWW745" s="303"/>
      <c r="JWX745" s="303"/>
      <c r="JWY745" s="303"/>
      <c r="JWZ745" s="303"/>
      <c r="JXA745" s="303"/>
      <c r="JXB745" s="303"/>
      <c r="JXC745" s="303"/>
      <c r="JXD745" s="303"/>
      <c r="JXE745" s="303"/>
      <c r="JXF745" s="303"/>
      <c r="JXG745" s="303"/>
      <c r="JXH745" s="303"/>
      <c r="JXI745" s="303"/>
      <c r="JXJ745" s="303"/>
      <c r="JXK745" s="303"/>
      <c r="JXL745" s="303"/>
      <c r="JXM745" s="303"/>
      <c r="JXN745" s="303"/>
      <c r="JXO745" s="303"/>
      <c r="JXP745" s="303"/>
      <c r="JXQ745" s="303"/>
      <c r="JXR745" s="303"/>
      <c r="JXS745" s="303"/>
      <c r="JXT745" s="303"/>
      <c r="JXU745" s="303"/>
      <c r="JXV745" s="303"/>
      <c r="JXW745" s="303"/>
      <c r="JXX745" s="303"/>
      <c r="JXY745" s="303"/>
      <c r="JXZ745" s="303"/>
      <c r="JYA745" s="303"/>
      <c r="JYB745" s="303"/>
      <c r="JYC745" s="303"/>
      <c r="JYD745" s="303"/>
      <c r="JYE745" s="303"/>
      <c r="JYF745" s="303"/>
      <c r="JYG745" s="303"/>
      <c r="JYH745" s="303"/>
      <c r="JYI745" s="303"/>
      <c r="JYJ745" s="303"/>
      <c r="JYK745" s="303"/>
      <c r="JYL745" s="303"/>
      <c r="JYM745" s="303"/>
      <c r="JYN745" s="303"/>
      <c r="JYO745" s="303"/>
      <c r="JYP745" s="303"/>
      <c r="JYQ745" s="303"/>
      <c r="JYR745" s="303"/>
      <c r="JYS745" s="303"/>
      <c r="JYT745" s="303"/>
      <c r="JYU745" s="303"/>
      <c r="JYV745" s="303"/>
      <c r="JYW745" s="303"/>
      <c r="JYX745" s="303"/>
      <c r="JYY745" s="303"/>
      <c r="JYZ745" s="303"/>
      <c r="JZA745" s="303"/>
      <c r="JZB745" s="303"/>
      <c r="JZC745" s="303"/>
      <c r="JZD745" s="303"/>
      <c r="JZE745" s="303"/>
      <c r="JZF745" s="303"/>
      <c r="JZG745" s="303"/>
      <c r="JZH745" s="303"/>
      <c r="JZI745" s="303"/>
      <c r="JZJ745" s="303"/>
      <c r="JZK745" s="303"/>
      <c r="JZL745" s="303"/>
      <c r="JZM745" s="303"/>
      <c r="JZN745" s="303"/>
      <c r="JZO745" s="303"/>
      <c r="JZP745" s="303"/>
      <c r="JZQ745" s="303"/>
      <c r="JZR745" s="303"/>
      <c r="JZS745" s="303"/>
      <c r="JZT745" s="303"/>
      <c r="JZU745" s="303"/>
      <c r="JZV745" s="303"/>
      <c r="JZW745" s="303"/>
      <c r="JZX745" s="303"/>
      <c r="JZY745" s="303"/>
      <c r="JZZ745" s="303"/>
      <c r="KAA745" s="303"/>
      <c r="KAB745" s="303"/>
      <c r="KAC745" s="303"/>
      <c r="KAD745" s="303"/>
      <c r="KAE745" s="303"/>
      <c r="KAF745" s="303"/>
      <c r="KAG745" s="303"/>
      <c r="KAH745" s="303"/>
      <c r="KAI745" s="303"/>
      <c r="KAJ745" s="303"/>
      <c r="KAK745" s="303"/>
      <c r="KAL745" s="303"/>
      <c r="KAM745" s="303"/>
      <c r="KAN745" s="303"/>
      <c r="KAO745" s="303"/>
      <c r="KAP745" s="303"/>
      <c r="KAQ745" s="303"/>
      <c r="KAR745" s="303"/>
      <c r="KAS745" s="303"/>
      <c r="KAT745" s="303"/>
      <c r="KAU745" s="303"/>
      <c r="KAV745" s="303"/>
      <c r="KAW745" s="303"/>
      <c r="KAX745" s="303"/>
      <c r="KAY745" s="303"/>
      <c r="KAZ745" s="303"/>
      <c r="KBA745" s="303"/>
      <c r="KBB745" s="303"/>
      <c r="KBC745" s="303"/>
      <c r="KBD745" s="303"/>
      <c r="KBE745" s="303"/>
      <c r="KBF745" s="303"/>
      <c r="KBG745" s="303"/>
      <c r="KBH745" s="303"/>
      <c r="KBI745" s="303"/>
      <c r="KBJ745" s="303"/>
      <c r="KBK745" s="303"/>
      <c r="KBL745" s="303"/>
      <c r="KBM745" s="303"/>
      <c r="KBN745" s="303"/>
      <c r="KBO745" s="303"/>
      <c r="KBP745" s="303"/>
      <c r="KBQ745" s="303"/>
      <c r="KBR745" s="303"/>
      <c r="KBS745" s="303"/>
      <c r="KBT745" s="303"/>
      <c r="KBU745" s="303"/>
      <c r="KBV745" s="303"/>
      <c r="KBW745" s="303"/>
      <c r="KBX745" s="303"/>
      <c r="KBY745" s="303"/>
      <c r="KBZ745" s="303"/>
      <c r="KCA745" s="303"/>
      <c r="KCB745" s="303"/>
      <c r="KCC745" s="303"/>
      <c r="KCD745" s="303"/>
      <c r="KCE745" s="303"/>
      <c r="KCF745" s="303"/>
      <c r="KCG745" s="303"/>
      <c r="KCH745" s="303"/>
      <c r="KCI745" s="303"/>
      <c r="KCJ745" s="303"/>
      <c r="KCK745" s="303"/>
      <c r="KCL745" s="303"/>
      <c r="KCM745" s="303"/>
      <c r="KCN745" s="303"/>
      <c r="KCO745" s="303"/>
      <c r="KCP745" s="303"/>
      <c r="KCQ745" s="303"/>
      <c r="KCR745" s="303"/>
      <c r="KCS745" s="303"/>
      <c r="KCT745" s="303"/>
      <c r="KCU745" s="303"/>
      <c r="KCV745" s="303"/>
      <c r="KCW745" s="303"/>
      <c r="KCX745" s="303"/>
      <c r="KCY745" s="303"/>
      <c r="KCZ745" s="303"/>
      <c r="KDA745" s="303"/>
      <c r="KDB745" s="303"/>
      <c r="KDC745" s="303"/>
      <c r="KDD745" s="303"/>
      <c r="KDE745" s="303"/>
      <c r="KDF745" s="303"/>
      <c r="KDG745" s="303"/>
      <c r="KDH745" s="303"/>
      <c r="KDI745" s="303"/>
      <c r="KDJ745" s="303"/>
      <c r="KDK745" s="303"/>
      <c r="KDL745" s="303"/>
      <c r="KDM745" s="303"/>
      <c r="KDN745" s="303"/>
      <c r="KDO745" s="303"/>
      <c r="KDP745" s="303"/>
      <c r="KDQ745" s="303"/>
      <c r="KDR745" s="303"/>
      <c r="KDS745" s="303"/>
      <c r="KDT745" s="303"/>
      <c r="KDU745" s="303"/>
      <c r="KDV745" s="303"/>
      <c r="KDW745" s="303"/>
      <c r="KDX745" s="303"/>
      <c r="KDY745" s="303"/>
      <c r="KDZ745" s="303"/>
      <c r="KEA745" s="303"/>
      <c r="KEB745" s="303"/>
      <c r="KEC745" s="303"/>
      <c r="KED745" s="303"/>
      <c r="KEE745" s="303"/>
      <c r="KEF745" s="303"/>
      <c r="KEG745" s="303"/>
      <c r="KEH745" s="303"/>
      <c r="KEI745" s="303"/>
      <c r="KEJ745" s="303"/>
      <c r="KEK745" s="303"/>
      <c r="KEL745" s="303"/>
      <c r="KEM745" s="303"/>
      <c r="KEN745" s="303"/>
      <c r="KEO745" s="303"/>
      <c r="KEP745" s="303"/>
      <c r="KEQ745" s="303"/>
      <c r="KER745" s="303"/>
      <c r="KES745" s="303"/>
      <c r="KET745" s="303"/>
      <c r="KEU745" s="303"/>
      <c r="KEV745" s="303"/>
      <c r="KEW745" s="303"/>
      <c r="KEX745" s="303"/>
      <c r="KEY745" s="303"/>
      <c r="KEZ745" s="303"/>
      <c r="KFA745" s="303"/>
      <c r="KFB745" s="303"/>
      <c r="KFC745" s="303"/>
      <c r="KFD745" s="303"/>
      <c r="KFE745" s="303"/>
      <c r="KFF745" s="303"/>
      <c r="KFG745" s="303"/>
      <c r="KFH745" s="303"/>
      <c r="KFI745" s="303"/>
      <c r="KFJ745" s="303"/>
      <c r="KFK745" s="303"/>
      <c r="KFL745" s="303"/>
      <c r="KFM745" s="303"/>
      <c r="KFN745" s="303"/>
      <c r="KFO745" s="303"/>
      <c r="KFP745" s="303"/>
      <c r="KFQ745" s="303"/>
      <c r="KFR745" s="303"/>
      <c r="KFS745" s="303"/>
      <c r="KFT745" s="303"/>
      <c r="KFU745" s="303"/>
      <c r="KFV745" s="303"/>
      <c r="KFW745" s="303"/>
      <c r="KFX745" s="303"/>
      <c r="KFY745" s="303"/>
      <c r="KFZ745" s="303"/>
      <c r="KGA745" s="303"/>
      <c r="KGB745" s="303"/>
      <c r="KGC745" s="303"/>
      <c r="KGD745" s="303"/>
      <c r="KGE745" s="303"/>
      <c r="KGF745" s="303"/>
      <c r="KGG745" s="303"/>
      <c r="KGH745" s="303"/>
      <c r="KGI745" s="303"/>
      <c r="KGJ745" s="303"/>
      <c r="KGK745" s="303"/>
      <c r="KGL745" s="303"/>
      <c r="KGM745" s="303"/>
      <c r="KGN745" s="303"/>
      <c r="KGO745" s="303"/>
      <c r="KGP745" s="303"/>
      <c r="KGQ745" s="303"/>
      <c r="KGR745" s="303"/>
      <c r="KGS745" s="303"/>
      <c r="KGT745" s="303"/>
      <c r="KGU745" s="303"/>
      <c r="KGV745" s="303"/>
      <c r="KGW745" s="303"/>
      <c r="KGX745" s="303"/>
      <c r="KGY745" s="303"/>
      <c r="KGZ745" s="303"/>
      <c r="KHA745" s="303"/>
      <c r="KHB745" s="303"/>
      <c r="KHC745" s="303"/>
      <c r="KHD745" s="303"/>
      <c r="KHE745" s="303"/>
      <c r="KHF745" s="303"/>
      <c r="KHG745" s="303"/>
      <c r="KHH745" s="303"/>
      <c r="KHI745" s="303"/>
      <c r="KHJ745" s="303"/>
      <c r="KHK745" s="303"/>
      <c r="KHL745" s="303"/>
      <c r="KHM745" s="303"/>
      <c r="KHN745" s="303"/>
      <c r="KHO745" s="303"/>
      <c r="KHP745" s="303"/>
      <c r="KHQ745" s="303"/>
      <c r="KHR745" s="303"/>
      <c r="KHS745" s="303"/>
      <c r="KHT745" s="303"/>
      <c r="KHU745" s="303"/>
      <c r="KHV745" s="303"/>
      <c r="KHW745" s="303"/>
      <c r="KHX745" s="303"/>
      <c r="KHY745" s="303"/>
      <c r="KHZ745" s="303"/>
      <c r="KIA745" s="303"/>
      <c r="KIB745" s="303"/>
      <c r="KIC745" s="303"/>
      <c r="KID745" s="303"/>
      <c r="KIE745" s="303"/>
      <c r="KIF745" s="303"/>
      <c r="KIG745" s="303"/>
      <c r="KIH745" s="303"/>
      <c r="KII745" s="303"/>
      <c r="KIJ745" s="303"/>
      <c r="KIK745" s="303"/>
      <c r="KIL745" s="303"/>
      <c r="KIM745" s="303"/>
      <c r="KIN745" s="303"/>
      <c r="KIO745" s="303"/>
      <c r="KIP745" s="303"/>
      <c r="KIQ745" s="303"/>
      <c r="KIR745" s="303"/>
      <c r="KIS745" s="303"/>
      <c r="KIT745" s="303"/>
      <c r="KIU745" s="303"/>
      <c r="KIV745" s="303"/>
      <c r="KIW745" s="303"/>
      <c r="KIX745" s="303"/>
      <c r="KIY745" s="303"/>
      <c r="KIZ745" s="303"/>
      <c r="KJA745" s="303"/>
      <c r="KJB745" s="303"/>
      <c r="KJC745" s="303"/>
      <c r="KJD745" s="303"/>
      <c r="KJE745" s="303"/>
      <c r="KJF745" s="303"/>
      <c r="KJG745" s="303"/>
      <c r="KJH745" s="303"/>
      <c r="KJI745" s="303"/>
      <c r="KJJ745" s="303"/>
      <c r="KJK745" s="303"/>
      <c r="KJL745" s="303"/>
      <c r="KJM745" s="303"/>
      <c r="KJN745" s="303"/>
      <c r="KJO745" s="303"/>
      <c r="KJP745" s="303"/>
      <c r="KJQ745" s="303"/>
      <c r="KJR745" s="303"/>
      <c r="KJS745" s="303"/>
      <c r="KJT745" s="303"/>
      <c r="KJU745" s="303"/>
      <c r="KJV745" s="303"/>
      <c r="KJW745" s="303"/>
      <c r="KJX745" s="303"/>
      <c r="KJY745" s="303"/>
      <c r="KJZ745" s="303"/>
      <c r="KKA745" s="303"/>
      <c r="KKB745" s="303"/>
      <c r="KKC745" s="303"/>
      <c r="KKD745" s="303"/>
      <c r="KKE745" s="303"/>
      <c r="KKF745" s="303"/>
      <c r="KKG745" s="303"/>
      <c r="KKH745" s="303"/>
      <c r="KKI745" s="303"/>
      <c r="KKJ745" s="303"/>
      <c r="KKK745" s="303"/>
      <c r="KKL745" s="303"/>
      <c r="KKM745" s="303"/>
      <c r="KKN745" s="303"/>
      <c r="KKO745" s="303"/>
      <c r="KKP745" s="303"/>
      <c r="KKQ745" s="303"/>
      <c r="KKR745" s="303"/>
      <c r="KKS745" s="303"/>
      <c r="KKT745" s="303"/>
      <c r="KKU745" s="303"/>
      <c r="KKV745" s="303"/>
      <c r="KKW745" s="303"/>
      <c r="KKX745" s="303"/>
      <c r="KKY745" s="303"/>
      <c r="KKZ745" s="303"/>
      <c r="KLA745" s="303"/>
      <c r="KLB745" s="303"/>
      <c r="KLC745" s="303"/>
      <c r="KLD745" s="303"/>
      <c r="KLE745" s="303"/>
      <c r="KLF745" s="303"/>
      <c r="KLG745" s="303"/>
      <c r="KLH745" s="303"/>
      <c r="KLI745" s="303"/>
      <c r="KLJ745" s="303"/>
      <c r="KLK745" s="303"/>
      <c r="KLL745" s="303"/>
      <c r="KLM745" s="303"/>
      <c r="KLN745" s="303"/>
      <c r="KLO745" s="303"/>
      <c r="KLP745" s="303"/>
      <c r="KLQ745" s="303"/>
      <c r="KLR745" s="303"/>
      <c r="KLS745" s="303"/>
      <c r="KLT745" s="303"/>
      <c r="KLU745" s="303"/>
      <c r="KLV745" s="303"/>
      <c r="KLW745" s="303"/>
      <c r="KLX745" s="303"/>
      <c r="KLY745" s="303"/>
      <c r="KLZ745" s="303"/>
      <c r="KMA745" s="303"/>
      <c r="KMB745" s="303"/>
      <c r="KMC745" s="303"/>
      <c r="KMD745" s="303"/>
      <c r="KME745" s="303"/>
      <c r="KMF745" s="303"/>
      <c r="KMG745" s="303"/>
      <c r="KMH745" s="303"/>
      <c r="KMI745" s="303"/>
      <c r="KMJ745" s="303"/>
      <c r="KMK745" s="303"/>
      <c r="KML745" s="303"/>
      <c r="KMM745" s="303"/>
      <c r="KMN745" s="303"/>
      <c r="KMO745" s="303"/>
      <c r="KMP745" s="303"/>
      <c r="KMQ745" s="303"/>
      <c r="KMR745" s="303"/>
      <c r="KMS745" s="303"/>
      <c r="KMT745" s="303"/>
      <c r="KMU745" s="303"/>
      <c r="KMV745" s="303"/>
      <c r="KMW745" s="303"/>
      <c r="KMX745" s="303"/>
      <c r="KMY745" s="303"/>
      <c r="KMZ745" s="303"/>
      <c r="KNA745" s="303"/>
      <c r="KNB745" s="303"/>
      <c r="KNC745" s="303"/>
      <c r="KND745" s="303"/>
      <c r="KNE745" s="303"/>
      <c r="KNF745" s="303"/>
      <c r="KNG745" s="303"/>
      <c r="KNH745" s="303"/>
      <c r="KNI745" s="303"/>
      <c r="KNJ745" s="303"/>
      <c r="KNK745" s="303"/>
      <c r="KNL745" s="303"/>
      <c r="KNM745" s="303"/>
      <c r="KNN745" s="303"/>
      <c r="KNO745" s="303"/>
      <c r="KNP745" s="303"/>
      <c r="KNQ745" s="303"/>
      <c r="KNR745" s="303"/>
      <c r="KNS745" s="303"/>
      <c r="KNT745" s="303"/>
      <c r="KNU745" s="303"/>
      <c r="KNV745" s="303"/>
      <c r="KNW745" s="303"/>
      <c r="KNX745" s="303"/>
      <c r="KNY745" s="303"/>
      <c r="KNZ745" s="303"/>
      <c r="KOA745" s="303"/>
      <c r="KOB745" s="303"/>
      <c r="KOC745" s="303"/>
      <c r="KOD745" s="303"/>
      <c r="KOE745" s="303"/>
      <c r="KOF745" s="303"/>
      <c r="KOG745" s="303"/>
      <c r="KOH745" s="303"/>
      <c r="KOI745" s="303"/>
      <c r="KOJ745" s="303"/>
      <c r="KOK745" s="303"/>
      <c r="KOL745" s="303"/>
      <c r="KOM745" s="303"/>
      <c r="KON745" s="303"/>
      <c r="KOO745" s="303"/>
      <c r="KOP745" s="303"/>
      <c r="KOQ745" s="303"/>
      <c r="KOR745" s="303"/>
      <c r="KOS745" s="303"/>
      <c r="KOT745" s="303"/>
      <c r="KOU745" s="303"/>
      <c r="KOV745" s="303"/>
      <c r="KOW745" s="303"/>
      <c r="KOX745" s="303"/>
      <c r="KOY745" s="303"/>
      <c r="KOZ745" s="303"/>
      <c r="KPA745" s="303"/>
      <c r="KPB745" s="303"/>
      <c r="KPC745" s="303"/>
      <c r="KPD745" s="303"/>
      <c r="KPE745" s="303"/>
      <c r="KPF745" s="303"/>
      <c r="KPG745" s="303"/>
      <c r="KPH745" s="303"/>
      <c r="KPI745" s="303"/>
      <c r="KPJ745" s="303"/>
      <c r="KPK745" s="303"/>
      <c r="KPL745" s="303"/>
      <c r="KPM745" s="303"/>
      <c r="KPN745" s="303"/>
      <c r="KPO745" s="303"/>
      <c r="KPP745" s="303"/>
      <c r="KPQ745" s="303"/>
      <c r="KPR745" s="303"/>
      <c r="KPS745" s="303"/>
      <c r="KPT745" s="303"/>
      <c r="KPU745" s="303"/>
      <c r="KPV745" s="303"/>
      <c r="KPW745" s="303"/>
      <c r="KPX745" s="303"/>
      <c r="KPY745" s="303"/>
      <c r="KPZ745" s="303"/>
      <c r="KQA745" s="303"/>
      <c r="KQB745" s="303"/>
      <c r="KQC745" s="303"/>
      <c r="KQD745" s="303"/>
      <c r="KQE745" s="303"/>
      <c r="KQF745" s="303"/>
      <c r="KQG745" s="303"/>
      <c r="KQH745" s="303"/>
      <c r="KQI745" s="303"/>
      <c r="KQJ745" s="303"/>
      <c r="KQK745" s="303"/>
      <c r="KQL745" s="303"/>
      <c r="KQM745" s="303"/>
      <c r="KQN745" s="303"/>
      <c r="KQO745" s="303"/>
      <c r="KQP745" s="303"/>
      <c r="KQQ745" s="303"/>
      <c r="KQR745" s="303"/>
      <c r="KQS745" s="303"/>
      <c r="KQT745" s="303"/>
      <c r="KQU745" s="303"/>
      <c r="KQV745" s="303"/>
      <c r="KQW745" s="303"/>
      <c r="KQX745" s="303"/>
      <c r="KQY745" s="303"/>
      <c r="KQZ745" s="303"/>
      <c r="KRA745" s="303"/>
      <c r="KRB745" s="303"/>
      <c r="KRC745" s="303"/>
      <c r="KRD745" s="303"/>
      <c r="KRE745" s="303"/>
      <c r="KRF745" s="303"/>
      <c r="KRG745" s="303"/>
      <c r="KRH745" s="303"/>
      <c r="KRI745" s="303"/>
      <c r="KRJ745" s="303"/>
      <c r="KRK745" s="303"/>
      <c r="KRL745" s="303"/>
      <c r="KRM745" s="303"/>
      <c r="KRN745" s="303"/>
      <c r="KRO745" s="303"/>
      <c r="KRP745" s="303"/>
      <c r="KRQ745" s="303"/>
      <c r="KRR745" s="303"/>
      <c r="KRS745" s="303"/>
      <c r="KRT745" s="303"/>
      <c r="KRU745" s="303"/>
      <c r="KRV745" s="303"/>
      <c r="KRW745" s="303"/>
      <c r="KRX745" s="303"/>
      <c r="KRY745" s="303"/>
      <c r="KRZ745" s="303"/>
      <c r="KSA745" s="303"/>
      <c r="KSB745" s="303"/>
      <c r="KSC745" s="303"/>
      <c r="KSD745" s="303"/>
      <c r="KSE745" s="303"/>
      <c r="KSF745" s="303"/>
      <c r="KSG745" s="303"/>
      <c r="KSH745" s="303"/>
      <c r="KSI745" s="303"/>
      <c r="KSJ745" s="303"/>
      <c r="KSK745" s="303"/>
      <c r="KSL745" s="303"/>
      <c r="KSM745" s="303"/>
      <c r="KSN745" s="303"/>
      <c r="KSO745" s="303"/>
      <c r="KSP745" s="303"/>
      <c r="KSQ745" s="303"/>
      <c r="KSR745" s="303"/>
      <c r="KSS745" s="303"/>
      <c r="KST745" s="303"/>
      <c r="KSU745" s="303"/>
      <c r="KSV745" s="303"/>
      <c r="KSW745" s="303"/>
      <c r="KSX745" s="303"/>
      <c r="KSY745" s="303"/>
      <c r="KSZ745" s="303"/>
      <c r="KTA745" s="303"/>
      <c r="KTB745" s="303"/>
      <c r="KTC745" s="303"/>
      <c r="KTD745" s="303"/>
      <c r="KTE745" s="303"/>
      <c r="KTF745" s="303"/>
      <c r="KTG745" s="303"/>
      <c r="KTH745" s="303"/>
      <c r="KTI745" s="303"/>
      <c r="KTJ745" s="303"/>
      <c r="KTK745" s="303"/>
      <c r="KTL745" s="303"/>
      <c r="KTM745" s="303"/>
      <c r="KTN745" s="303"/>
      <c r="KTO745" s="303"/>
      <c r="KTP745" s="303"/>
      <c r="KTQ745" s="303"/>
      <c r="KTR745" s="303"/>
      <c r="KTS745" s="303"/>
      <c r="KTT745" s="303"/>
      <c r="KTU745" s="303"/>
      <c r="KTV745" s="303"/>
      <c r="KTW745" s="303"/>
      <c r="KTX745" s="303"/>
      <c r="KTY745" s="303"/>
      <c r="KTZ745" s="303"/>
      <c r="KUA745" s="303"/>
      <c r="KUB745" s="303"/>
      <c r="KUC745" s="303"/>
      <c r="KUD745" s="303"/>
      <c r="KUE745" s="303"/>
      <c r="KUF745" s="303"/>
      <c r="KUG745" s="303"/>
      <c r="KUH745" s="303"/>
      <c r="KUI745" s="303"/>
      <c r="KUJ745" s="303"/>
      <c r="KUK745" s="303"/>
      <c r="KUL745" s="303"/>
      <c r="KUM745" s="303"/>
      <c r="KUN745" s="303"/>
      <c r="KUO745" s="303"/>
      <c r="KUP745" s="303"/>
      <c r="KUQ745" s="303"/>
      <c r="KUR745" s="303"/>
      <c r="KUS745" s="303"/>
      <c r="KUT745" s="303"/>
      <c r="KUU745" s="303"/>
      <c r="KUV745" s="303"/>
      <c r="KUW745" s="303"/>
      <c r="KUX745" s="303"/>
      <c r="KUY745" s="303"/>
      <c r="KUZ745" s="303"/>
      <c r="KVA745" s="303"/>
      <c r="KVB745" s="303"/>
      <c r="KVC745" s="303"/>
      <c r="KVD745" s="303"/>
      <c r="KVE745" s="303"/>
      <c r="KVF745" s="303"/>
      <c r="KVG745" s="303"/>
      <c r="KVH745" s="303"/>
      <c r="KVI745" s="303"/>
      <c r="KVJ745" s="303"/>
      <c r="KVK745" s="303"/>
      <c r="KVL745" s="303"/>
      <c r="KVM745" s="303"/>
      <c r="KVN745" s="303"/>
      <c r="KVO745" s="303"/>
      <c r="KVP745" s="303"/>
      <c r="KVQ745" s="303"/>
      <c r="KVR745" s="303"/>
      <c r="KVS745" s="303"/>
      <c r="KVT745" s="303"/>
      <c r="KVU745" s="303"/>
      <c r="KVV745" s="303"/>
      <c r="KVW745" s="303"/>
      <c r="KVX745" s="303"/>
      <c r="KVY745" s="303"/>
      <c r="KVZ745" s="303"/>
      <c r="KWA745" s="303"/>
      <c r="KWB745" s="303"/>
      <c r="KWC745" s="303"/>
      <c r="KWD745" s="303"/>
      <c r="KWE745" s="303"/>
      <c r="KWF745" s="303"/>
      <c r="KWG745" s="303"/>
      <c r="KWH745" s="303"/>
      <c r="KWI745" s="303"/>
      <c r="KWJ745" s="303"/>
      <c r="KWK745" s="303"/>
      <c r="KWL745" s="303"/>
      <c r="KWM745" s="303"/>
      <c r="KWN745" s="303"/>
      <c r="KWO745" s="303"/>
      <c r="KWP745" s="303"/>
      <c r="KWQ745" s="303"/>
      <c r="KWR745" s="303"/>
      <c r="KWS745" s="303"/>
      <c r="KWT745" s="303"/>
      <c r="KWU745" s="303"/>
      <c r="KWV745" s="303"/>
      <c r="KWW745" s="303"/>
      <c r="KWX745" s="303"/>
      <c r="KWY745" s="303"/>
      <c r="KWZ745" s="303"/>
      <c r="KXA745" s="303"/>
      <c r="KXB745" s="303"/>
      <c r="KXC745" s="303"/>
      <c r="KXD745" s="303"/>
      <c r="KXE745" s="303"/>
      <c r="KXF745" s="303"/>
      <c r="KXG745" s="303"/>
      <c r="KXH745" s="303"/>
      <c r="KXI745" s="303"/>
      <c r="KXJ745" s="303"/>
      <c r="KXK745" s="303"/>
      <c r="KXL745" s="303"/>
      <c r="KXM745" s="303"/>
      <c r="KXN745" s="303"/>
      <c r="KXO745" s="303"/>
      <c r="KXP745" s="303"/>
      <c r="KXQ745" s="303"/>
      <c r="KXR745" s="303"/>
      <c r="KXS745" s="303"/>
      <c r="KXT745" s="303"/>
      <c r="KXU745" s="303"/>
      <c r="KXV745" s="303"/>
      <c r="KXW745" s="303"/>
      <c r="KXX745" s="303"/>
      <c r="KXY745" s="303"/>
      <c r="KXZ745" s="303"/>
      <c r="KYA745" s="303"/>
      <c r="KYB745" s="303"/>
      <c r="KYC745" s="303"/>
      <c r="KYD745" s="303"/>
      <c r="KYE745" s="303"/>
      <c r="KYF745" s="303"/>
      <c r="KYG745" s="303"/>
      <c r="KYH745" s="303"/>
      <c r="KYI745" s="303"/>
      <c r="KYJ745" s="303"/>
      <c r="KYK745" s="303"/>
      <c r="KYL745" s="303"/>
      <c r="KYM745" s="303"/>
      <c r="KYN745" s="303"/>
      <c r="KYO745" s="303"/>
      <c r="KYP745" s="303"/>
      <c r="KYQ745" s="303"/>
      <c r="KYR745" s="303"/>
      <c r="KYS745" s="303"/>
      <c r="KYT745" s="303"/>
      <c r="KYU745" s="303"/>
      <c r="KYV745" s="303"/>
      <c r="KYW745" s="303"/>
      <c r="KYX745" s="303"/>
      <c r="KYY745" s="303"/>
      <c r="KYZ745" s="303"/>
      <c r="KZA745" s="303"/>
      <c r="KZB745" s="303"/>
      <c r="KZC745" s="303"/>
      <c r="KZD745" s="303"/>
      <c r="KZE745" s="303"/>
      <c r="KZF745" s="303"/>
      <c r="KZG745" s="303"/>
      <c r="KZH745" s="303"/>
      <c r="KZI745" s="303"/>
      <c r="KZJ745" s="303"/>
      <c r="KZK745" s="303"/>
      <c r="KZL745" s="303"/>
      <c r="KZM745" s="303"/>
      <c r="KZN745" s="303"/>
      <c r="KZO745" s="303"/>
      <c r="KZP745" s="303"/>
      <c r="KZQ745" s="303"/>
      <c r="KZR745" s="303"/>
      <c r="KZS745" s="303"/>
      <c r="KZT745" s="303"/>
      <c r="KZU745" s="303"/>
      <c r="KZV745" s="303"/>
      <c r="KZW745" s="303"/>
      <c r="KZX745" s="303"/>
      <c r="KZY745" s="303"/>
      <c r="KZZ745" s="303"/>
      <c r="LAA745" s="303"/>
      <c r="LAB745" s="303"/>
      <c r="LAC745" s="303"/>
      <c r="LAD745" s="303"/>
      <c r="LAE745" s="303"/>
      <c r="LAF745" s="303"/>
      <c r="LAG745" s="303"/>
      <c r="LAH745" s="303"/>
      <c r="LAI745" s="303"/>
      <c r="LAJ745" s="303"/>
      <c r="LAK745" s="303"/>
      <c r="LAL745" s="303"/>
      <c r="LAM745" s="303"/>
      <c r="LAN745" s="303"/>
      <c r="LAO745" s="303"/>
      <c r="LAP745" s="303"/>
      <c r="LAQ745" s="303"/>
      <c r="LAR745" s="303"/>
      <c r="LAS745" s="303"/>
      <c r="LAT745" s="303"/>
      <c r="LAU745" s="303"/>
      <c r="LAV745" s="303"/>
      <c r="LAW745" s="303"/>
      <c r="LAX745" s="303"/>
      <c r="LAY745" s="303"/>
      <c r="LAZ745" s="303"/>
      <c r="LBA745" s="303"/>
      <c r="LBB745" s="303"/>
      <c r="LBC745" s="303"/>
      <c r="LBD745" s="303"/>
      <c r="LBE745" s="303"/>
      <c r="LBF745" s="303"/>
      <c r="LBG745" s="303"/>
      <c r="LBH745" s="303"/>
      <c r="LBI745" s="303"/>
      <c r="LBJ745" s="303"/>
      <c r="LBK745" s="303"/>
      <c r="LBL745" s="303"/>
      <c r="LBM745" s="303"/>
      <c r="LBN745" s="303"/>
      <c r="LBO745" s="303"/>
      <c r="LBP745" s="303"/>
      <c r="LBQ745" s="303"/>
      <c r="LBR745" s="303"/>
      <c r="LBS745" s="303"/>
      <c r="LBT745" s="303"/>
      <c r="LBU745" s="303"/>
      <c r="LBV745" s="303"/>
      <c r="LBW745" s="303"/>
      <c r="LBX745" s="303"/>
      <c r="LBY745" s="303"/>
      <c r="LBZ745" s="303"/>
      <c r="LCA745" s="303"/>
      <c r="LCB745" s="303"/>
      <c r="LCC745" s="303"/>
      <c r="LCD745" s="303"/>
      <c r="LCE745" s="303"/>
      <c r="LCF745" s="303"/>
      <c r="LCG745" s="303"/>
      <c r="LCH745" s="303"/>
      <c r="LCI745" s="303"/>
      <c r="LCJ745" s="303"/>
      <c r="LCK745" s="303"/>
      <c r="LCL745" s="303"/>
      <c r="LCM745" s="303"/>
      <c r="LCN745" s="303"/>
      <c r="LCO745" s="303"/>
      <c r="LCP745" s="303"/>
      <c r="LCQ745" s="303"/>
      <c r="LCR745" s="303"/>
      <c r="LCS745" s="303"/>
      <c r="LCT745" s="303"/>
      <c r="LCU745" s="303"/>
      <c r="LCV745" s="303"/>
      <c r="LCW745" s="303"/>
      <c r="LCX745" s="303"/>
      <c r="LCY745" s="303"/>
      <c r="LCZ745" s="303"/>
      <c r="LDA745" s="303"/>
      <c r="LDB745" s="303"/>
      <c r="LDC745" s="303"/>
      <c r="LDD745" s="303"/>
      <c r="LDE745" s="303"/>
      <c r="LDF745" s="303"/>
      <c r="LDG745" s="303"/>
      <c r="LDH745" s="303"/>
      <c r="LDI745" s="303"/>
      <c r="LDJ745" s="303"/>
      <c r="LDK745" s="303"/>
      <c r="LDL745" s="303"/>
      <c r="LDM745" s="303"/>
      <c r="LDN745" s="303"/>
      <c r="LDO745" s="303"/>
      <c r="LDP745" s="303"/>
      <c r="LDQ745" s="303"/>
      <c r="LDR745" s="303"/>
      <c r="LDS745" s="303"/>
      <c r="LDT745" s="303"/>
      <c r="LDU745" s="303"/>
      <c r="LDV745" s="303"/>
      <c r="LDW745" s="303"/>
      <c r="LDX745" s="303"/>
      <c r="LDY745" s="303"/>
      <c r="LDZ745" s="303"/>
      <c r="LEA745" s="303"/>
      <c r="LEB745" s="303"/>
      <c r="LEC745" s="303"/>
      <c r="LED745" s="303"/>
      <c r="LEE745" s="303"/>
      <c r="LEF745" s="303"/>
      <c r="LEG745" s="303"/>
      <c r="LEH745" s="303"/>
      <c r="LEI745" s="303"/>
      <c r="LEJ745" s="303"/>
      <c r="LEK745" s="303"/>
      <c r="LEL745" s="303"/>
      <c r="LEM745" s="303"/>
      <c r="LEN745" s="303"/>
      <c r="LEO745" s="303"/>
      <c r="LEP745" s="303"/>
      <c r="LEQ745" s="303"/>
      <c r="LER745" s="303"/>
      <c r="LES745" s="303"/>
      <c r="LET745" s="303"/>
      <c r="LEU745" s="303"/>
      <c r="LEV745" s="303"/>
      <c r="LEW745" s="303"/>
      <c r="LEX745" s="303"/>
      <c r="LEY745" s="303"/>
      <c r="LEZ745" s="303"/>
      <c r="LFA745" s="303"/>
      <c r="LFB745" s="303"/>
      <c r="LFC745" s="303"/>
      <c r="LFD745" s="303"/>
      <c r="LFE745" s="303"/>
      <c r="LFF745" s="303"/>
      <c r="LFG745" s="303"/>
      <c r="LFH745" s="303"/>
      <c r="LFI745" s="303"/>
      <c r="LFJ745" s="303"/>
      <c r="LFK745" s="303"/>
      <c r="LFL745" s="303"/>
      <c r="LFM745" s="303"/>
      <c r="LFN745" s="303"/>
      <c r="LFO745" s="303"/>
      <c r="LFP745" s="303"/>
      <c r="LFQ745" s="303"/>
      <c r="LFR745" s="303"/>
      <c r="LFS745" s="303"/>
      <c r="LFT745" s="303"/>
      <c r="LFU745" s="303"/>
      <c r="LFV745" s="303"/>
      <c r="LFW745" s="303"/>
      <c r="LFX745" s="303"/>
      <c r="LFY745" s="303"/>
      <c r="LFZ745" s="303"/>
      <c r="LGA745" s="303"/>
      <c r="LGB745" s="303"/>
      <c r="LGC745" s="303"/>
      <c r="LGD745" s="303"/>
      <c r="LGE745" s="303"/>
      <c r="LGF745" s="303"/>
      <c r="LGG745" s="303"/>
      <c r="LGH745" s="303"/>
      <c r="LGI745" s="303"/>
      <c r="LGJ745" s="303"/>
      <c r="LGK745" s="303"/>
      <c r="LGL745" s="303"/>
      <c r="LGM745" s="303"/>
      <c r="LGN745" s="303"/>
      <c r="LGO745" s="303"/>
      <c r="LGP745" s="303"/>
      <c r="LGQ745" s="303"/>
      <c r="LGR745" s="303"/>
      <c r="LGS745" s="303"/>
      <c r="LGT745" s="303"/>
      <c r="LGU745" s="303"/>
      <c r="LGV745" s="303"/>
      <c r="LGW745" s="303"/>
      <c r="LGX745" s="303"/>
      <c r="LGY745" s="303"/>
      <c r="LGZ745" s="303"/>
      <c r="LHA745" s="303"/>
      <c r="LHB745" s="303"/>
      <c r="LHC745" s="303"/>
      <c r="LHD745" s="303"/>
      <c r="LHE745" s="303"/>
      <c r="LHF745" s="303"/>
      <c r="LHG745" s="303"/>
      <c r="LHH745" s="303"/>
      <c r="LHI745" s="303"/>
      <c r="LHJ745" s="303"/>
      <c r="LHK745" s="303"/>
      <c r="LHL745" s="303"/>
      <c r="LHM745" s="303"/>
      <c r="LHN745" s="303"/>
      <c r="LHO745" s="303"/>
      <c r="LHP745" s="303"/>
      <c r="LHQ745" s="303"/>
      <c r="LHR745" s="303"/>
      <c r="LHS745" s="303"/>
      <c r="LHT745" s="303"/>
      <c r="LHU745" s="303"/>
      <c r="LHV745" s="303"/>
      <c r="LHW745" s="303"/>
      <c r="LHX745" s="303"/>
      <c r="LHY745" s="303"/>
      <c r="LHZ745" s="303"/>
      <c r="LIA745" s="303"/>
      <c r="LIB745" s="303"/>
      <c r="LIC745" s="303"/>
      <c r="LID745" s="303"/>
      <c r="LIE745" s="303"/>
      <c r="LIF745" s="303"/>
      <c r="LIG745" s="303"/>
      <c r="LIH745" s="303"/>
      <c r="LII745" s="303"/>
      <c r="LIJ745" s="303"/>
      <c r="LIK745" s="303"/>
      <c r="LIL745" s="303"/>
      <c r="LIM745" s="303"/>
      <c r="LIN745" s="303"/>
      <c r="LIO745" s="303"/>
      <c r="LIP745" s="303"/>
      <c r="LIQ745" s="303"/>
      <c r="LIR745" s="303"/>
      <c r="LIS745" s="303"/>
      <c r="LIT745" s="303"/>
      <c r="LIU745" s="303"/>
      <c r="LIV745" s="303"/>
      <c r="LIW745" s="303"/>
      <c r="LIX745" s="303"/>
      <c r="LIY745" s="303"/>
      <c r="LIZ745" s="303"/>
      <c r="LJA745" s="303"/>
      <c r="LJB745" s="303"/>
      <c r="LJC745" s="303"/>
      <c r="LJD745" s="303"/>
      <c r="LJE745" s="303"/>
      <c r="LJF745" s="303"/>
      <c r="LJG745" s="303"/>
      <c r="LJH745" s="303"/>
      <c r="LJI745" s="303"/>
      <c r="LJJ745" s="303"/>
      <c r="LJK745" s="303"/>
      <c r="LJL745" s="303"/>
      <c r="LJM745" s="303"/>
      <c r="LJN745" s="303"/>
      <c r="LJO745" s="303"/>
      <c r="LJP745" s="303"/>
      <c r="LJQ745" s="303"/>
      <c r="LJR745" s="303"/>
      <c r="LJS745" s="303"/>
      <c r="LJT745" s="303"/>
      <c r="LJU745" s="303"/>
      <c r="LJV745" s="303"/>
      <c r="LJW745" s="303"/>
      <c r="LJX745" s="303"/>
      <c r="LJY745" s="303"/>
      <c r="LJZ745" s="303"/>
      <c r="LKA745" s="303"/>
      <c r="LKB745" s="303"/>
      <c r="LKC745" s="303"/>
      <c r="LKD745" s="303"/>
      <c r="LKE745" s="303"/>
      <c r="LKF745" s="303"/>
      <c r="LKG745" s="303"/>
      <c r="LKH745" s="303"/>
      <c r="LKI745" s="303"/>
      <c r="LKJ745" s="303"/>
      <c r="LKK745" s="303"/>
      <c r="LKL745" s="303"/>
      <c r="LKM745" s="303"/>
      <c r="LKN745" s="303"/>
      <c r="LKO745" s="303"/>
      <c r="LKP745" s="303"/>
      <c r="LKQ745" s="303"/>
      <c r="LKR745" s="303"/>
      <c r="LKS745" s="303"/>
      <c r="LKT745" s="303"/>
      <c r="LKU745" s="303"/>
      <c r="LKV745" s="303"/>
      <c r="LKW745" s="303"/>
      <c r="LKX745" s="303"/>
      <c r="LKY745" s="303"/>
      <c r="LKZ745" s="303"/>
      <c r="LLA745" s="303"/>
      <c r="LLB745" s="303"/>
      <c r="LLC745" s="303"/>
      <c r="LLD745" s="303"/>
      <c r="LLE745" s="303"/>
      <c r="LLF745" s="303"/>
      <c r="LLG745" s="303"/>
      <c r="LLH745" s="303"/>
      <c r="LLI745" s="303"/>
      <c r="LLJ745" s="303"/>
      <c r="LLK745" s="303"/>
      <c r="LLL745" s="303"/>
      <c r="LLM745" s="303"/>
      <c r="LLN745" s="303"/>
      <c r="LLO745" s="303"/>
      <c r="LLP745" s="303"/>
      <c r="LLQ745" s="303"/>
      <c r="LLR745" s="303"/>
      <c r="LLS745" s="303"/>
      <c r="LLT745" s="303"/>
      <c r="LLU745" s="303"/>
      <c r="LLV745" s="303"/>
      <c r="LLW745" s="303"/>
      <c r="LLX745" s="303"/>
      <c r="LLY745" s="303"/>
      <c r="LLZ745" s="303"/>
      <c r="LMA745" s="303"/>
      <c r="LMB745" s="303"/>
      <c r="LMC745" s="303"/>
      <c r="LMD745" s="303"/>
      <c r="LME745" s="303"/>
      <c r="LMF745" s="303"/>
      <c r="LMG745" s="303"/>
      <c r="LMH745" s="303"/>
      <c r="LMI745" s="303"/>
      <c r="LMJ745" s="303"/>
      <c r="LMK745" s="303"/>
      <c r="LML745" s="303"/>
      <c r="LMM745" s="303"/>
      <c r="LMN745" s="303"/>
      <c r="LMO745" s="303"/>
      <c r="LMP745" s="303"/>
      <c r="LMQ745" s="303"/>
      <c r="LMR745" s="303"/>
      <c r="LMS745" s="303"/>
      <c r="LMT745" s="303"/>
      <c r="LMU745" s="303"/>
      <c r="LMV745" s="303"/>
      <c r="LMW745" s="303"/>
      <c r="LMX745" s="303"/>
      <c r="LMY745" s="303"/>
      <c r="LMZ745" s="303"/>
      <c r="LNA745" s="303"/>
      <c r="LNB745" s="303"/>
      <c r="LNC745" s="303"/>
      <c r="LND745" s="303"/>
      <c r="LNE745" s="303"/>
      <c r="LNF745" s="303"/>
      <c r="LNG745" s="303"/>
      <c r="LNH745" s="303"/>
      <c r="LNI745" s="303"/>
      <c r="LNJ745" s="303"/>
      <c r="LNK745" s="303"/>
      <c r="LNL745" s="303"/>
      <c r="LNM745" s="303"/>
      <c r="LNN745" s="303"/>
      <c r="LNO745" s="303"/>
      <c r="LNP745" s="303"/>
      <c r="LNQ745" s="303"/>
      <c r="LNR745" s="303"/>
      <c r="LNS745" s="303"/>
      <c r="LNT745" s="303"/>
      <c r="LNU745" s="303"/>
      <c r="LNV745" s="303"/>
      <c r="LNW745" s="303"/>
      <c r="LNX745" s="303"/>
      <c r="LNY745" s="303"/>
      <c r="LNZ745" s="303"/>
      <c r="LOA745" s="303"/>
      <c r="LOB745" s="303"/>
      <c r="LOC745" s="303"/>
      <c r="LOD745" s="303"/>
      <c r="LOE745" s="303"/>
      <c r="LOF745" s="303"/>
      <c r="LOG745" s="303"/>
      <c r="LOH745" s="303"/>
      <c r="LOI745" s="303"/>
      <c r="LOJ745" s="303"/>
      <c r="LOK745" s="303"/>
      <c r="LOL745" s="303"/>
      <c r="LOM745" s="303"/>
      <c r="LON745" s="303"/>
      <c r="LOO745" s="303"/>
      <c r="LOP745" s="303"/>
      <c r="LOQ745" s="303"/>
      <c r="LOR745" s="303"/>
      <c r="LOS745" s="303"/>
      <c r="LOT745" s="303"/>
      <c r="LOU745" s="303"/>
      <c r="LOV745" s="303"/>
      <c r="LOW745" s="303"/>
      <c r="LOX745" s="303"/>
      <c r="LOY745" s="303"/>
      <c r="LOZ745" s="303"/>
      <c r="LPA745" s="303"/>
      <c r="LPB745" s="303"/>
      <c r="LPC745" s="303"/>
      <c r="LPD745" s="303"/>
      <c r="LPE745" s="303"/>
      <c r="LPF745" s="303"/>
      <c r="LPG745" s="303"/>
      <c r="LPH745" s="303"/>
      <c r="LPI745" s="303"/>
      <c r="LPJ745" s="303"/>
      <c r="LPK745" s="303"/>
      <c r="LPL745" s="303"/>
      <c r="LPM745" s="303"/>
      <c r="LPN745" s="303"/>
      <c r="LPO745" s="303"/>
      <c r="LPP745" s="303"/>
      <c r="LPQ745" s="303"/>
      <c r="LPR745" s="303"/>
      <c r="LPS745" s="303"/>
      <c r="LPT745" s="303"/>
      <c r="LPU745" s="303"/>
      <c r="LPV745" s="303"/>
      <c r="LPW745" s="303"/>
      <c r="LPX745" s="303"/>
      <c r="LPY745" s="303"/>
      <c r="LPZ745" s="303"/>
      <c r="LQA745" s="303"/>
      <c r="LQB745" s="303"/>
      <c r="LQC745" s="303"/>
      <c r="LQD745" s="303"/>
      <c r="LQE745" s="303"/>
      <c r="LQF745" s="303"/>
      <c r="LQG745" s="303"/>
      <c r="LQH745" s="303"/>
      <c r="LQI745" s="303"/>
      <c r="LQJ745" s="303"/>
      <c r="LQK745" s="303"/>
      <c r="LQL745" s="303"/>
      <c r="LQM745" s="303"/>
      <c r="LQN745" s="303"/>
      <c r="LQO745" s="303"/>
      <c r="LQP745" s="303"/>
      <c r="LQQ745" s="303"/>
      <c r="LQR745" s="303"/>
      <c r="LQS745" s="303"/>
      <c r="LQT745" s="303"/>
      <c r="LQU745" s="303"/>
      <c r="LQV745" s="303"/>
      <c r="LQW745" s="303"/>
      <c r="LQX745" s="303"/>
      <c r="LQY745" s="303"/>
      <c r="LQZ745" s="303"/>
      <c r="LRA745" s="303"/>
      <c r="LRB745" s="303"/>
      <c r="LRC745" s="303"/>
      <c r="LRD745" s="303"/>
      <c r="LRE745" s="303"/>
      <c r="LRF745" s="303"/>
      <c r="LRG745" s="303"/>
      <c r="LRH745" s="303"/>
      <c r="LRI745" s="303"/>
      <c r="LRJ745" s="303"/>
      <c r="LRK745" s="303"/>
      <c r="LRL745" s="303"/>
      <c r="LRM745" s="303"/>
      <c r="LRN745" s="303"/>
      <c r="LRO745" s="303"/>
      <c r="LRP745" s="303"/>
      <c r="LRQ745" s="303"/>
      <c r="LRR745" s="303"/>
      <c r="LRS745" s="303"/>
      <c r="LRT745" s="303"/>
      <c r="LRU745" s="303"/>
      <c r="LRV745" s="303"/>
      <c r="LRW745" s="303"/>
      <c r="LRX745" s="303"/>
      <c r="LRY745" s="303"/>
      <c r="LRZ745" s="303"/>
      <c r="LSA745" s="303"/>
      <c r="LSB745" s="303"/>
      <c r="LSC745" s="303"/>
      <c r="LSD745" s="303"/>
      <c r="LSE745" s="303"/>
      <c r="LSF745" s="303"/>
      <c r="LSG745" s="303"/>
      <c r="LSH745" s="303"/>
      <c r="LSI745" s="303"/>
      <c r="LSJ745" s="303"/>
      <c r="LSK745" s="303"/>
      <c r="LSL745" s="303"/>
      <c r="LSM745" s="303"/>
      <c r="LSN745" s="303"/>
      <c r="LSO745" s="303"/>
      <c r="LSP745" s="303"/>
      <c r="LSQ745" s="303"/>
      <c r="LSR745" s="303"/>
      <c r="LSS745" s="303"/>
      <c r="LST745" s="303"/>
      <c r="LSU745" s="303"/>
      <c r="LSV745" s="303"/>
      <c r="LSW745" s="303"/>
      <c r="LSX745" s="303"/>
      <c r="LSY745" s="303"/>
      <c r="LSZ745" s="303"/>
      <c r="LTA745" s="303"/>
      <c r="LTB745" s="303"/>
      <c r="LTC745" s="303"/>
      <c r="LTD745" s="303"/>
      <c r="LTE745" s="303"/>
      <c r="LTF745" s="303"/>
      <c r="LTG745" s="303"/>
      <c r="LTH745" s="303"/>
      <c r="LTI745" s="303"/>
      <c r="LTJ745" s="303"/>
      <c r="LTK745" s="303"/>
      <c r="LTL745" s="303"/>
      <c r="LTM745" s="303"/>
      <c r="LTN745" s="303"/>
      <c r="LTO745" s="303"/>
      <c r="LTP745" s="303"/>
      <c r="LTQ745" s="303"/>
      <c r="LTR745" s="303"/>
      <c r="LTS745" s="303"/>
      <c r="LTT745" s="303"/>
      <c r="LTU745" s="303"/>
      <c r="LTV745" s="303"/>
      <c r="LTW745" s="303"/>
      <c r="LTX745" s="303"/>
      <c r="LTY745" s="303"/>
      <c r="LTZ745" s="303"/>
      <c r="LUA745" s="303"/>
      <c r="LUB745" s="303"/>
      <c r="LUC745" s="303"/>
      <c r="LUD745" s="303"/>
      <c r="LUE745" s="303"/>
      <c r="LUF745" s="303"/>
      <c r="LUG745" s="303"/>
      <c r="LUH745" s="303"/>
      <c r="LUI745" s="303"/>
      <c r="LUJ745" s="303"/>
      <c r="LUK745" s="303"/>
      <c r="LUL745" s="303"/>
      <c r="LUM745" s="303"/>
      <c r="LUN745" s="303"/>
      <c r="LUO745" s="303"/>
      <c r="LUP745" s="303"/>
      <c r="LUQ745" s="303"/>
      <c r="LUR745" s="303"/>
      <c r="LUS745" s="303"/>
      <c r="LUT745" s="303"/>
      <c r="LUU745" s="303"/>
      <c r="LUV745" s="303"/>
      <c r="LUW745" s="303"/>
      <c r="LUX745" s="303"/>
      <c r="LUY745" s="303"/>
      <c r="LUZ745" s="303"/>
      <c r="LVA745" s="303"/>
      <c r="LVB745" s="303"/>
      <c r="LVC745" s="303"/>
      <c r="LVD745" s="303"/>
      <c r="LVE745" s="303"/>
      <c r="LVF745" s="303"/>
      <c r="LVG745" s="303"/>
      <c r="LVH745" s="303"/>
      <c r="LVI745" s="303"/>
      <c r="LVJ745" s="303"/>
      <c r="LVK745" s="303"/>
      <c r="LVL745" s="303"/>
      <c r="LVM745" s="303"/>
      <c r="LVN745" s="303"/>
      <c r="LVO745" s="303"/>
      <c r="LVP745" s="303"/>
      <c r="LVQ745" s="303"/>
      <c r="LVR745" s="303"/>
      <c r="LVS745" s="303"/>
      <c r="LVT745" s="303"/>
      <c r="LVU745" s="303"/>
      <c r="LVV745" s="303"/>
      <c r="LVW745" s="303"/>
      <c r="LVX745" s="303"/>
      <c r="LVY745" s="303"/>
      <c r="LVZ745" s="303"/>
      <c r="LWA745" s="303"/>
      <c r="LWB745" s="303"/>
      <c r="LWC745" s="303"/>
      <c r="LWD745" s="303"/>
      <c r="LWE745" s="303"/>
      <c r="LWF745" s="303"/>
      <c r="LWG745" s="303"/>
      <c r="LWH745" s="303"/>
      <c r="LWI745" s="303"/>
      <c r="LWJ745" s="303"/>
      <c r="LWK745" s="303"/>
      <c r="LWL745" s="303"/>
      <c r="LWM745" s="303"/>
      <c r="LWN745" s="303"/>
      <c r="LWO745" s="303"/>
      <c r="LWP745" s="303"/>
      <c r="LWQ745" s="303"/>
      <c r="LWR745" s="303"/>
      <c r="LWS745" s="303"/>
      <c r="LWT745" s="303"/>
      <c r="LWU745" s="303"/>
      <c r="LWV745" s="303"/>
      <c r="LWW745" s="303"/>
      <c r="LWX745" s="303"/>
      <c r="LWY745" s="303"/>
      <c r="LWZ745" s="303"/>
      <c r="LXA745" s="303"/>
      <c r="LXB745" s="303"/>
      <c r="LXC745" s="303"/>
      <c r="LXD745" s="303"/>
      <c r="LXE745" s="303"/>
      <c r="LXF745" s="303"/>
      <c r="LXG745" s="303"/>
      <c r="LXH745" s="303"/>
      <c r="LXI745" s="303"/>
      <c r="LXJ745" s="303"/>
      <c r="LXK745" s="303"/>
      <c r="LXL745" s="303"/>
      <c r="LXM745" s="303"/>
      <c r="LXN745" s="303"/>
      <c r="LXO745" s="303"/>
      <c r="LXP745" s="303"/>
      <c r="LXQ745" s="303"/>
      <c r="LXR745" s="303"/>
      <c r="LXS745" s="303"/>
      <c r="LXT745" s="303"/>
      <c r="LXU745" s="303"/>
      <c r="LXV745" s="303"/>
      <c r="LXW745" s="303"/>
      <c r="LXX745" s="303"/>
      <c r="LXY745" s="303"/>
      <c r="LXZ745" s="303"/>
      <c r="LYA745" s="303"/>
      <c r="LYB745" s="303"/>
      <c r="LYC745" s="303"/>
      <c r="LYD745" s="303"/>
      <c r="LYE745" s="303"/>
      <c r="LYF745" s="303"/>
      <c r="LYG745" s="303"/>
      <c r="LYH745" s="303"/>
      <c r="LYI745" s="303"/>
      <c r="LYJ745" s="303"/>
      <c r="LYK745" s="303"/>
      <c r="LYL745" s="303"/>
      <c r="LYM745" s="303"/>
      <c r="LYN745" s="303"/>
      <c r="LYO745" s="303"/>
      <c r="LYP745" s="303"/>
      <c r="LYQ745" s="303"/>
      <c r="LYR745" s="303"/>
      <c r="LYS745" s="303"/>
      <c r="LYT745" s="303"/>
      <c r="LYU745" s="303"/>
      <c r="LYV745" s="303"/>
      <c r="LYW745" s="303"/>
      <c r="LYX745" s="303"/>
      <c r="LYY745" s="303"/>
      <c r="LYZ745" s="303"/>
      <c r="LZA745" s="303"/>
      <c r="LZB745" s="303"/>
      <c r="LZC745" s="303"/>
      <c r="LZD745" s="303"/>
      <c r="LZE745" s="303"/>
      <c r="LZF745" s="303"/>
      <c r="LZG745" s="303"/>
      <c r="LZH745" s="303"/>
      <c r="LZI745" s="303"/>
      <c r="LZJ745" s="303"/>
      <c r="LZK745" s="303"/>
      <c r="LZL745" s="303"/>
      <c r="LZM745" s="303"/>
      <c r="LZN745" s="303"/>
      <c r="LZO745" s="303"/>
      <c r="LZP745" s="303"/>
      <c r="LZQ745" s="303"/>
      <c r="LZR745" s="303"/>
      <c r="LZS745" s="303"/>
      <c r="LZT745" s="303"/>
      <c r="LZU745" s="303"/>
      <c r="LZV745" s="303"/>
      <c r="LZW745" s="303"/>
      <c r="LZX745" s="303"/>
      <c r="LZY745" s="303"/>
      <c r="LZZ745" s="303"/>
      <c r="MAA745" s="303"/>
      <c r="MAB745" s="303"/>
      <c r="MAC745" s="303"/>
      <c r="MAD745" s="303"/>
      <c r="MAE745" s="303"/>
      <c r="MAF745" s="303"/>
      <c r="MAG745" s="303"/>
      <c r="MAH745" s="303"/>
      <c r="MAI745" s="303"/>
      <c r="MAJ745" s="303"/>
      <c r="MAK745" s="303"/>
      <c r="MAL745" s="303"/>
      <c r="MAM745" s="303"/>
      <c r="MAN745" s="303"/>
      <c r="MAO745" s="303"/>
      <c r="MAP745" s="303"/>
      <c r="MAQ745" s="303"/>
      <c r="MAR745" s="303"/>
      <c r="MAS745" s="303"/>
      <c r="MAT745" s="303"/>
      <c r="MAU745" s="303"/>
      <c r="MAV745" s="303"/>
      <c r="MAW745" s="303"/>
      <c r="MAX745" s="303"/>
      <c r="MAY745" s="303"/>
      <c r="MAZ745" s="303"/>
      <c r="MBA745" s="303"/>
      <c r="MBB745" s="303"/>
      <c r="MBC745" s="303"/>
      <c r="MBD745" s="303"/>
      <c r="MBE745" s="303"/>
      <c r="MBF745" s="303"/>
      <c r="MBG745" s="303"/>
      <c r="MBH745" s="303"/>
      <c r="MBI745" s="303"/>
      <c r="MBJ745" s="303"/>
      <c r="MBK745" s="303"/>
      <c r="MBL745" s="303"/>
      <c r="MBM745" s="303"/>
      <c r="MBN745" s="303"/>
      <c r="MBO745" s="303"/>
      <c r="MBP745" s="303"/>
      <c r="MBQ745" s="303"/>
      <c r="MBR745" s="303"/>
      <c r="MBS745" s="303"/>
      <c r="MBT745" s="303"/>
      <c r="MBU745" s="303"/>
      <c r="MBV745" s="303"/>
      <c r="MBW745" s="303"/>
      <c r="MBX745" s="303"/>
      <c r="MBY745" s="303"/>
      <c r="MBZ745" s="303"/>
      <c r="MCA745" s="303"/>
      <c r="MCB745" s="303"/>
      <c r="MCC745" s="303"/>
      <c r="MCD745" s="303"/>
      <c r="MCE745" s="303"/>
      <c r="MCF745" s="303"/>
      <c r="MCG745" s="303"/>
      <c r="MCH745" s="303"/>
      <c r="MCI745" s="303"/>
      <c r="MCJ745" s="303"/>
      <c r="MCK745" s="303"/>
      <c r="MCL745" s="303"/>
      <c r="MCM745" s="303"/>
      <c r="MCN745" s="303"/>
      <c r="MCO745" s="303"/>
      <c r="MCP745" s="303"/>
      <c r="MCQ745" s="303"/>
      <c r="MCR745" s="303"/>
      <c r="MCS745" s="303"/>
      <c r="MCT745" s="303"/>
      <c r="MCU745" s="303"/>
      <c r="MCV745" s="303"/>
      <c r="MCW745" s="303"/>
      <c r="MCX745" s="303"/>
      <c r="MCY745" s="303"/>
      <c r="MCZ745" s="303"/>
      <c r="MDA745" s="303"/>
      <c r="MDB745" s="303"/>
      <c r="MDC745" s="303"/>
      <c r="MDD745" s="303"/>
      <c r="MDE745" s="303"/>
      <c r="MDF745" s="303"/>
      <c r="MDG745" s="303"/>
      <c r="MDH745" s="303"/>
      <c r="MDI745" s="303"/>
      <c r="MDJ745" s="303"/>
      <c r="MDK745" s="303"/>
      <c r="MDL745" s="303"/>
      <c r="MDM745" s="303"/>
      <c r="MDN745" s="303"/>
      <c r="MDO745" s="303"/>
      <c r="MDP745" s="303"/>
      <c r="MDQ745" s="303"/>
      <c r="MDR745" s="303"/>
      <c r="MDS745" s="303"/>
      <c r="MDT745" s="303"/>
      <c r="MDU745" s="303"/>
      <c r="MDV745" s="303"/>
      <c r="MDW745" s="303"/>
      <c r="MDX745" s="303"/>
      <c r="MDY745" s="303"/>
      <c r="MDZ745" s="303"/>
      <c r="MEA745" s="303"/>
      <c r="MEB745" s="303"/>
      <c r="MEC745" s="303"/>
      <c r="MED745" s="303"/>
      <c r="MEE745" s="303"/>
      <c r="MEF745" s="303"/>
      <c r="MEG745" s="303"/>
      <c r="MEH745" s="303"/>
      <c r="MEI745" s="303"/>
      <c r="MEJ745" s="303"/>
      <c r="MEK745" s="303"/>
      <c r="MEL745" s="303"/>
      <c r="MEM745" s="303"/>
      <c r="MEN745" s="303"/>
      <c r="MEO745" s="303"/>
      <c r="MEP745" s="303"/>
      <c r="MEQ745" s="303"/>
      <c r="MER745" s="303"/>
      <c r="MES745" s="303"/>
      <c r="MET745" s="303"/>
      <c r="MEU745" s="303"/>
      <c r="MEV745" s="303"/>
      <c r="MEW745" s="303"/>
      <c r="MEX745" s="303"/>
      <c r="MEY745" s="303"/>
      <c r="MEZ745" s="303"/>
      <c r="MFA745" s="303"/>
      <c r="MFB745" s="303"/>
      <c r="MFC745" s="303"/>
      <c r="MFD745" s="303"/>
      <c r="MFE745" s="303"/>
      <c r="MFF745" s="303"/>
      <c r="MFG745" s="303"/>
      <c r="MFH745" s="303"/>
      <c r="MFI745" s="303"/>
      <c r="MFJ745" s="303"/>
      <c r="MFK745" s="303"/>
      <c r="MFL745" s="303"/>
      <c r="MFM745" s="303"/>
      <c r="MFN745" s="303"/>
      <c r="MFO745" s="303"/>
      <c r="MFP745" s="303"/>
      <c r="MFQ745" s="303"/>
      <c r="MFR745" s="303"/>
      <c r="MFS745" s="303"/>
      <c r="MFT745" s="303"/>
      <c r="MFU745" s="303"/>
      <c r="MFV745" s="303"/>
      <c r="MFW745" s="303"/>
      <c r="MFX745" s="303"/>
      <c r="MFY745" s="303"/>
      <c r="MFZ745" s="303"/>
      <c r="MGA745" s="303"/>
      <c r="MGB745" s="303"/>
      <c r="MGC745" s="303"/>
      <c r="MGD745" s="303"/>
      <c r="MGE745" s="303"/>
      <c r="MGF745" s="303"/>
      <c r="MGG745" s="303"/>
      <c r="MGH745" s="303"/>
      <c r="MGI745" s="303"/>
      <c r="MGJ745" s="303"/>
      <c r="MGK745" s="303"/>
      <c r="MGL745" s="303"/>
      <c r="MGM745" s="303"/>
      <c r="MGN745" s="303"/>
      <c r="MGO745" s="303"/>
      <c r="MGP745" s="303"/>
      <c r="MGQ745" s="303"/>
      <c r="MGR745" s="303"/>
      <c r="MGS745" s="303"/>
      <c r="MGT745" s="303"/>
      <c r="MGU745" s="303"/>
      <c r="MGV745" s="303"/>
      <c r="MGW745" s="303"/>
      <c r="MGX745" s="303"/>
      <c r="MGY745" s="303"/>
      <c r="MGZ745" s="303"/>
      <c r="MHA745" s="303"/>
      <c r="MHB745" s="303"/>
      <c r="MHC745" s="303"/>
      <c r="MHD745" s="303"/>
      <c r="MHE745" s="303"/>
      <c r="MHF745" s="303"/>
      <c r="MHG745" s="303"/>
      <c r="MHH745" s="303"/>
      <c r="MHI745" s="303"/>
      <c r="MHJ745" s="303"/>
      <c r="MHK745" s="303"/>
      <c r="MHL745" s="303"/>
      <c r="MHM745" s="303"/>
      <c r="MHN745" s="303"/>
      <c r="MHO745" s="303"/>
      <c r="MHP745" s="303"/>
      <c r="MHQ745" s="303"/>
      <c r="MHR745" s="303"/>
      <c r="MHS745" s="303"/>
      <c r="MHT745" s="303"/>
      <c r="MHU745" s="303"/>
      <c r="MHV745" s="303"/>
      <c r="MHW745" s="303"/>
      <c r="MHX745" s="303"/>
      <c r="MHY745" s="303"/>
      <c r="MHZ745" s="303"/>
      <c r="MIA745" s="303"/>
      <c r="MIB745" s="303"/>
      <c r="MIC745" s="303"/>
      <c r="MID745" s="303"/>
      <c r="MIE745" s="303"/>
      <c r="MIF745" s="303"/>
      <c r="MIG745" s="303"/>
      <c r="MIH745" s="303"/>
      <c r="MII745" s="303"/>
      <c r="MIJ745" s="303"/>
      <c r="MIK745" s="303"/>
      <c r="MIL745" s="303"/>
      <c r="MIM745" s="303"/>
      <c r="MIN745" s="303"/>
      <c r="MIO745" s="303"/>
      <c r="MIP745" s="303"/>
      <c r="MIQ745" s="303"/>
      <c r="MIR745" s="303"/>
      <c r="MIS745" s="303"/>
      <c r="MIT745" s="303"/>
      <c r="MIU745" s="303"/>
      <c r="MIV745" s="303"/>
      <c r="MIW745" s="303"/>
      <c r="MIX745" s="303"/>
      <c r="MIY745" s="303"/>
      <c r="MIZ745" s="303"/>
      <c r="MJA745" s="303"/>
      <c r="MJB745" s="303"/>
      <c r="MJC745" s="303"/>
      <c r="MJD745" s="303"/>
      <c r="MJE745" s="303"/>
      <c r="MJF745" s="303"/>
      <c r="MJG745" s="303"/>
      <c r="MJH745" s="303"/>
      <c r="MJI745" s="303"/>
      <c r="MJJ745" s="303"/>
      <c r="MJK745" s="303"/>
      <c r="MJL745" s="303"/>
      <c r="MJM745" s="303"/>
      <c r="MJN745" s="303"/>
      <c r="MJO745" s="303"/>
      <c r="MJP745" s="303"/>
      <c r="MJQ745" s="303"/>
      <c r="MJR745" s="303"/>
      <c r="MJS745" s="303"/>
      <c r="MJT745" s="303"/>
      <c r="MJU745" s="303"/>
      <c r="MJV745" s="303"/>
      <c r="MJW745" s="303"/>
      <c r="MJX745" s="303"/>
      <c r="MJY745" s="303"/>
      <c r="MJZ745" s="303"/>
      <c r="MKA745" s="303"/>
      <c r="MKB745" s="303"/>
      <c r="MKC745" s="303"/>
      <c r="MKD745" s="303"/>
      <c r="MKE745" s="303"/>
      <c r="MKF745" s="303"/>
      <c r="MKG745" s="303"/>
      <c r="MKH745" s="303"/>
      <c r="MKI745" s="303"/>
      <c r="MKJ745" s="303"/>
      <c r="MKK745" s="303"/>
      <c r="MKL745" s="303"/>
      <c r="MKM745" s="303"/>
      <c r="MKN745" s="303"/>
      <c r="MKO745" s="303"/>
      <c r="MKP745" s="303"/>
      <c r="MKQ745" s="303"/>
      <c r="MKR745" s="303"/>
      <c r="MKS745" s="303"/>
      <c r="MKT745" s="303"/>
      <c r="MKU745" s="303"/>
      <c r="MKV745" s="303"/>
      <c r="MKW745" s="303"/>
      <c r="MKX745" s="303"/>
      <c r="MKY745" s="303"/>
      <c r="MKZ745" s="303"/>
      <c r="MLA745" s="303"/>
      <c r="MLB745" s="303"/>
      <c r="MLC745" s="303"/>
      <c r="MLD745" s="303"/>
      <c r="MLE745" s="303"/>
      <c r="MLF745" s="303"/>
      <c r="MLG745" s="303"/>
      <c r="MLH745" s="303"/>
      <c r="MLI745" s="303"/>
      <c r="MLJ745" s="303"/>
      <c r="MLK745" s="303"/>
      <c r="MLL745" s="303"/>
      <c r="MLM745" s="303"/>
      <c r="MLN745" s="303"/>
      <c r="MLO745" s="303"/>
      <c r="MLP745" s="303"/>
      <c r="MLQ745" s="303"/>
      <c r="MLR745" s="303"/>
      <c r="MLS745" s="303"/>
      <c r="MLT745" s="303"/>
      <c r="MLU745" s="303"/>
      <c r="MLV745" s="303"/>
      <c r="MLW745" s="303"/>
      <c r="MLX745" s="303"/>
      <c r="MLY745" s="303"/>
      <c r="MLZ745" s="303"/>
      <c r="MMA745" s="303"/>
      <c r="MMB745" s="303"/>
      <c r="MMC745" s="303"/>
      <c r="MMD745" s="303"/>
      <c r="MME745" s="303"/>
      <c r="MMF745" s="303"/>
      <c r="MMG745" s="303"/>
      <c r="MMH745" s="303"/>
      <c r="MMI745" s="303"/>
      <c r="MMJ745" s="303"/>
      <c r="MMK745" s="303"/>
      <c r="MML745" s="303"/>
      <c r="MMM745" s="303"/>
      <c r="MMN745" s="303"/>
      <c r="MMO745" s="303"/>
      <c r="MMP745" s="303"/>
      <c r="MMQ745" s="303"/>
      <c r="MMR745" s="303"/>
      <c r="MMS745" s="303"/>
      <c r="MMT745" s="303"/>
      <c r="MMU745" s="303"/>
      <c r="MMV745" s="303"/>
      <c r="MMW745" s="303"/>
      <c r="MMX745" s="303"/>
      <c r="MMY745" s="303"/>
      <c r="MMZ745" s="303"/>
      <c r="MNA745" s="303"/>
      <c r="MNB745" s="303"/>
      <c r="MNC745" s="303"/>
      <c r="MND745" s="303"/>
      <c r="MNE745" s="303"/>
      <c r="MNF745" s="303"/>
      <c r="MNG745" s="303"/>
      <c r="MNH745" s="303"/>
      <c r="MNI745" s="303"/>
      <c r="MNJ745" s="303"/>
      <c r="MNK745" s="303"/>
      <c r="MNL745" s="303"/>
      <c r="MNM745" s="303"/>
      <c r="MNN745" s="303"/>
      <c r="MNO745" s="303"/>
      <c r="MNP745" s="303"/>
      <c r="MNQ745" s="303"/>
      <c r="MNR745" s="303"/>
      <c r="MNS745" s="303"/>
      <c r="MNT745" s="303"/>
      <c r="MNU745" s="303"/>
      <c r="MNV745" s="303"/>
      <c r="MNW745" s="303"/>
      <c r="MNX745" s="303"/>
      <c r="MNY745" s="303"/>
      <c r="MNZ745" s="303"/>
      <c r="MOA745" s="303"/>
      <c r="MOB745" s="303"/>
      <c r="MOC745" s="303"/>
      <c r="MOD745" s="303"/>
      <c r="MOE745" s="303"/>
      <c r="MOF745" s="303"/>
      <c r="MOG745" s="303"/>
      <c r="MOH745" s="303"/>
      <c r="MOI745" s="303"/>
      <c r="MOJ745" s="303"/>
      <c r="MOK745" s="303"/>
      <c r="MOL745" s="303"/>
      <c r="MOM745" s="303"/>
      <c r="MON745" s="303"/>
      <c r="MOO745" s="303"/>
      <c r="MOP745" s="303"/>
      <c r="MOQ745" s="303"/>
      <c r="MOR745" s="303"/>
      <c r="MOS745" s="303"/>
      <c r="MOT745" s="303"/>
      <c r="MOU745" s="303"/>
      <c r="MOV745" s="303"/>
      <c r="MOW745" s="303"/>
      <c r="MOX745" s="303"/>
      <c r="MOY745" s="303"/>
      <c r="MOZ745" s="303"/>
      <c r="MPA745" s="303"/>
      <c r="MPB745" s="303"/>
      <c r="MPC745" s="303"/>
      <c r="MPD745" s="303"/>
      <c r="MPE745" s="303"/>
      <c r="MPF745" s="303"/>
      <c r="MPG745" s="303"/>
      <c r="MPH745" s="303"/>
      <c r="MPI745" s="303"/>
      <c r="MPJ745" s="303"/>
      <c r="MPK745" s="303"/>
      <c r="MPL745" s="303"/>
      <c r="MPM745" s="303"/>
      <c r="MPN745" s="303"/>
      <c r="MPO745" s="303"/>
      <c r="MPP745" s="303"/>
      <c r="MPQ745" s="303"/>
      <c r="MPR745" s="303"/>
      <c r="MPS745" s="303"/>
      <c r="MPT745" s="303"/>
      <c r="MPU745" s="303"/>
      <c r="MPV745" s="303"/>
      <c r="MPW745" s="303"/>
      <c r="MPX745" s="303"/>
      <c r="MPY745" s="303"/>
      <c r="MPZ745" s="303"/>
      <c r="MQA745" s="303"/>
      <c r="MQB745" s="303"/>
      <c r="MQC745" s="303"/>
      <c r="MQD745" s="303"/>
      <c r="MQE745" s="303"/>
      <c r="MQF745" s="303"/>
      <c r="MQG745" s="303"/>
      <c r="MQH745" s="303"/>
      <c r="MQI745" s="303"/>
      <c r="MQJ745" s="303"/>
      <c r="MQK745" s="303"/>
      <c r="MQL745" s="303"/>
      <c r="MQM745" s="303"/>
      <c r="MQN745" s="303"/>
      <c r="MQO745" s="303"/>
      <c r="MQP745" s="303"/>
      <c r="MQQ745" s="303"/>
      <c r="MQR745" s="303"/>
      <c r="MQS745" s="303"/>
      <c r="MQT745" s="303"/>
      <c r="MQU745" s="303"/>
      <c r="MQV745" s="303"/>
      <c r="MQW745" s="303"/>
      <c r="MQX745" s="303"/>
      <c r="MQY745" s="303"/>
      <c r="MQZ745" s="303"/>
      <c r="MRA745" s="303"/>
      <c r="MRB745" s="303"/>
      <c r="MRC745" s="303"/>
      <c r="MRD745" s="303"/>
      <c r="MRE745" s="303"/>
      <c r="MRF745" s="303"/>
      <c r="MRG745" s="303"/>
      <c r="MRH745" s="303"/>
      <c r="MRI745" s="303"/>
      <c r="MRJ745" s="303"/>
      <c r="MRK745" s="303"/>
      <c r="MRL745" s="303"/>
      <c r="MRM745" s="303"/>
      <c r="MRN745" s="303"/>
      <c r="MRO745" s="303"/>
      <c r="MRP745" s="303"/>
      <c r="MRQ745" s="303"/>
      <c r="MRR745" s="303"/>
      <c r="MRS745" s="303"/>
      <c r="MRT745" s="303"/>
      <c r="MRU745" s="303"/>
      <c r="MRV745" s="303"/>
      <c r="MRW745" s="303"/>
      <c r="MRX745" s="303"/>
      <c r="MRY745" s="303"/>
      <c r="MRZ745" s="303"/>
      <c r="MSA745" s="303"/>
      <c r="MSB745" s="303"/>
      <c r="MSC745" s="303"/>
      <c r="MSD745" s="303"/>
      <c r="MSE745" s="303"/>
      <c r="MSF745" s="303"/>
      <c r="MSG745" s="303"/>
      <c r="MSH745" s="303"/>
      <c r="MSI745" s="303"/>
      <c r="MSJ745" s="303"/>
      <c r="MSK745" s="303"/>
      <c r="MSL745" s="303"/>
      <c r="MSM745" s="303"/>
      <c r="MSN745" s="303"/>
      <c r="MSO745" s="303"/>
      <c r="MSP745" s="303"/>
      <c r="MSQ745" s="303"/>
      <c r="MSR745" s="303"/>
      <c r="MSS745" s="303"/>
      <c r="MST745" s="303"/>
      <c r="MSU745" s="303"/>
      <c r="MSV745" s="303"/>
      <c r="MSW745" s="303"/>
      <c r="MSX745" s="303"/>
      <c r="MSY745" s="303"/>
      <c r="MSZ745" s="303"/>
      <c r="MTA745" s="303"/>
      <c r="MTB745" s="303"/>
      <c r="MTC745" s="303"/>
      <c r="MTD745" s="303"/>
      <c r="MTE745" s="303"/>
      <c r="MTF745" s="303"/>
      <c r="MTG745" s="303"/>
      <c r="MTH745" s="303"/>
      <c r="MTI745" s="303"/>
      <c r="MTJ745" s="303"/>
      <c r="MTK745" s="303"/>
      <c r="MTL745" s="303"/>
      <c r="MTM745" s="303"/>
      <c r="MTN745" s="303"/>
      <c r="MTO745" s="303"/>
      <c r="MTP745" s="303"/>
      <c r="MTQ745" s="303"/>
      <c r="MTR745" s="303"/>
      <c r="MTS745" s="303"/>
      <c r="MTT745" s="303"/>
      <c r="MTU745" s="303"/>
      <c r="MTV745" s="303"/>
      <c r="MTW745" s="303"/>
      <c r="MTX745" s="303"/>
      <c r="MTY745" s="303"/>
      <c r="MTZ745" s="303"/>
      <c r="MUA745" s="303"/>
      <c r="MUB745" s="303"/>
      <c r="MUC745" s="303"/>
      <c r="MUD745" s="303"/>
      <c r="MUE745" s="303"/>
      <c r="MUF745" s="303"/>
      <c r="MUG745" s="303"/>
      <c r="MUH745" s="303"/>
      <c r="MUI745" s="303"/>
      <c r="MUJ745" s="303"/>
      <c r="MUK745" s="303"/>
      <c r="MUL745" s="303"/>
      <c r="MUM745" s="303"/>
      <c r="MUN745" s="303"/>
      <c r="MUO745" s="303"/>
      <c r="MUP745" s="303"/>
      <c r="MUQ745" s="303"/>
      <c r="MUR745" s="303"/>
      <c r="MUS745" s="303"/>
      <c r="MUT745" s="303"/>
      <c r="MUU745" s="303"/>
      <c r="MUV745" s="303"/>
      <c r="MUW745" s="303"/>
      <c r="MUX745" s="303"/>
      <c r="MUY745" s="303"/>
      <c r="MUZ745" s="303"/>
      <c r="MVA745" s="303"/>
      <c r="MVB745" s="303"/>
      <c r="MVC745" s="303"/>
      <c r="MVD745" s="303"/>
      <c r="MVE745" s="303"/>
      <c r="MVF745" s="303"/>
      <c r="MVG745" s="303"/>
      <c r="MVH745" s="303"/>
      <c r="MVI745" s="303"/>
      <c r="MVJ745" s="303"/>
      <c r="MVK745" s="303"/>
      <c r="MVL745" s="303"/>
      <c r="MVM745" s="303"/>
      <c r="MVN745" s="303"/>
      <c r="MVO745" s="303"/>
      <c r="MVP745" s="303"/>
      <c r="MVQ745" s="303"/>
      <c r="MVR745" s="303"/>
      <c r="MVS745" s="303"/>
      <c r="MVT745" s="303"/>
      <c r="MVU745" s="303"/>
      <c r="MVV745" s="303"/>
      <c r="MVW745" s="303"/>
      <c r="MVX745" s="303"/>
      <c r="MVY745" s="303"/>
      <c r="MVZ745" s="303"/>
      <c r="MWA745" s="303"/>
      <c r="MWB745" s="303"/>
      <c r="MWC745" s="303"/>
      <c r="MWD745" s="303"/>
      <c r="MWE745" s="303"/>
      <c r="MWF745" s="303"/>
      <c r="MWG745" s="303"/>
      <c r="MWH745" s="303"/>
      <c r="MWI745" s="303"/>
      <c r="MWJ745" s="303"/>
      <c r="MWK745" s="303"/>
      <c r="MWL745" s="303"/>
      <c r="MWM745" s="303"/>
      <c r="MWN745" s="303"/>
      <c r="MWO745" s="303"/>
      <c r="MWP745" s="303"/>
      <c r="MWQ745" s="303"/>
      <c r="MWR745" s="303"/>
      <c r="MWS745" s="303"/>
      <c r="MWT745" s="303"/>
      <c r="MWU745" s="303"/>
      <c r="MWV745" s="303"/>
      <c r="MWW745" s="303"/>
      <c r="MWX745" s="303"/>
      <c r="MWY745" s="303"/>
      <c r="MWZ745" s="303"/>
      <c r="MXA745" s="303"/>
      <c r="MXB745" s="303"/>
      <c r="MXC745" s="303"/>
      <c r="MXD745" s="303"/>
      <c r="MXE745" s="303"/>
      <c r="MXF745" s="303"/>
      <c r="MXG745" s="303"/>
      <c r="MXH745" s="303"/>
      <c r="MXI745" s="303"/>
      <c r="MXJ745" s="303"/>
      <c r="MXK745" s="303"/>
      <c r="MXL745" s="303"/>
      <c r="MXM745" s="303"/>
      <c r="MXN745" s="303"/>
      <c r="MXO745" s="303"/>
      <c r="MXP745" s="303"/>
      <c r="MXQ745" s="303"/>
      <c r="MXR745" s="303"/>
      <c r="MXS745" s="303"/>
      <c r="MXT745" s="303"/>
      <c r="MXU745" s="303"/>
      <c r="MXV745" s="303"/>
      <c r="MXW745" s="303"/>
      <c r="MXX745" s="303"/>
      <c r="MXY745" s="303"/>
      <c r="MXZ745" s="303"/>
      <c r="MYA745" s="303"/>
      <c r="MYB745" s="303"/>
      <c r="MYC745" s="303"/>
      <c r="MYD745" s="303"/>
      <c r="MYE745" s="303"/>
      <c r="MYF745" s="303"/>
      <c r="MYG745" s="303"/>
      <c r="MYH745" s="303"/>
      <c r="MYI745" s="303"/>
      <c r="MYJ745" s="303"/>
      <c r="MYK745" s="303"/>
      <c r="MYL745" s="303"/>
      <c r="MYM745" s="303"/>
      <c r="MYN745" s="303"/>
      <c r="MYO745" s="303"/>
      <c r="MYP745" s="303"/>
      <c r="MYQ745" s="303"/>
      <c r="MYR745" s="303"/>
      <c r="MYS745" s="303"/>
      <c r="MYT745" s="303"/>
      <c r="MYU745" s="303"/>
      <c r="MYV745" s="303"/>
      <c r="MYW745" s="303"/>
      <c r="MYX745" s="303"/>
      <c r="MYY745" s="303"/>
      <c r="MYZ745" s="303"/>
      <c r="MZA745" s="303"/>
      <c r="MZB745" s="303"/>
      <c r="MZC745" s="303"/>
      <c r="MZD745" s="303"/>
      <c r="MZE745" s="303"/>
      <c r="MZF745" s="303"/>
      <c r="MZG745" s="303"/>
      <c r="MZH745" s="303"/>
      <c r="MZI745" s="303"/>
      <c r="MZJ745" s="303"/>
      <c r="MZK745" s="303"/>
      <c r="MZL745" s="303"/>
      <c r="MZM745" s="303"/>
      <c r="MZN745" s="303"/>
      <c r="MZO745" s="303"/>
      <c r="MZP745" s="303"/>
      <c r="MZQ745" s="303"/>
      <c r="MZR745" s="303"/>
      <c r="MZS745" s="303"/>
      <c r="MZT745" s="303"/>
      <c r="MZU745" s="303"/>
      <c r="MZV745" s="303"/>
      <c r="MZW745" s="303"/>
      <c r="MZX745" s="303"/>
      <c r="MZY745" s="303"/>
      <c r="MZZ745" s="303"/>
      <c r="NAA745" s="303"/>
      <c r="NAB745" s="303"/>
      <c r="NAC745" s="303"/>
      <c r="NAD745" s="303"/>
      <c r="NAE745" s="303"/>
      <c r="NAF745" s="303"/>
      <c r="NAG745" s="303"/>
      <c r="NAH745" s="303"/>
      <c r="NAI745" s="303"/>
      <c r="NAJ745" s="303"/>
      <c r="NAK745" s="303"/>
      <c r="NAL745" s="303"/>
      <c r="NAM745" s="303"/>
      <c r="NAN745" s="303"/>
      <c r="NAO745" s="303"/>
      <c r="NAP745" s="303"/>
      <c r="NAQ745" s="303"/>
      <c r="NAR745" s="303"/>
      <c r="NAS745" s="303"/>
      <c r="NAT745" s="303"/>
      <c r="NAU745" s="303"/>
      <c r="NAV745" s="303"/>
      <c r="NAW745" s="303"/>
      <c r="NAX745" s="303"/>
      <c r="NAY745" s="303"/>
      <c r="NAZ745" s="303"/>
      <c r="NBA745" s="303"/>
      <c r="NBB745" s="303"/>
      <c r="NBC745" s="303"/>
      <c r="NBD745" s="303"/>
      <c r="NBE745" s="303"/>
      <c r="NBF745" s="303"/>
      <c r="NBG745" s="303"/>
      <c r="NBH745" s="303"/>
      <c r="NBI745" s="303"/>
      <c r="NBJ745" s="303"/>
      <c r="NBK745" s="303"/>
      <c r="NBL745" s="303"/>
      <c r="NBM745" s="303"/>
      <c r="NBN745" s="303"/>
      <c r="NBO745" s="303"/>
      <c r="NBP745" s="303"/>
      <c r="NBQ745" s="303"/>
      <c r="NBR745" s="303"/>
      <c r="NBS745" s="303"/>
      <c r="NBT745" s="303"/>
      <c r="NBU745" s="303"/>
      <c r="NBV745" s="303"/>
      <c r="NBW745" s="303"/>
      <c r="NBX745" s="303"/>
      <c r="NBY745" s="303"/>
      <c r="NBZ745" s="303"/>
      <c r="NCA745" s="303"/>
      <c r="NCB745" s="303"/>
      <c r="NCC745" s="303"/>
      <c r="NCD745" s="303"/>
      <c r="NCE745" s="303"/>
      <c r="NCF745" s="303"/>
      <c r="NCG745" s="303"/>
      <c r="NCH745" s="303"/>
      <c r="NCI745" s="303"/>
      <c r="NCJ745" s="303"/>
      <c r="NCK745" s="303"/>
      <c r="NCL745" s="303"/>
      <c r="NCM745" s="303"/>
      <c r="NCN745" s="303"/>
      <c r="NCO745" s="303"/>
      <c r="NCP745" s="303"/>
      <c r="NCQ745" s="303"/>
      <c r="NCR745" s="303"/>
      <c r="NCS745" s="303"/>
      <c r="NCT745" s="303"/>
      <c r="NCU745" s="303"/>
      <c r="NCV745" s="303"/>
      <c r="NCW745" s="303"/>
      <c r="NCX745" s="303"/>
      <c r="NCY745" s="303"/>
      <c r="NCZ745" s="303"/>
      <c r="NDA745" s="303"/>
      <c r="NDB745" s="303"/>
      <c r="NDC745" s="303"/>
      <c r="NDD745" s="303"/>
      <c r="NDE745" s="303"/>
      <c r="NDF745" s="303"/>
      <c r="NDG745" s="303"/>
      <c r="NDH745" s="303"/>
      <c r="NDI745" s="303"/>
      <c r="NDJ745" s="303"/>
      <c r="NDK745" s="303"/>
      <c r="NDL745" s="303"/>
      <c r="NDM745" s="303"/>
      <c r="NDN745" s="303"/>
      <c r="NDO745" s="303"/>
      <c r="NDP745" s="303"/>
      <c r="NDQ745" s="303"/>
      <c r="NDR745" s="303"/>
      <c r="NDS745" s="303"/>
      <c r="NDT745" s="303"/>
      <c r="NDU745" s="303"/>
      <c r="NDV745" s="303"/>
      <c r="NDW745" s="303"/>
      <c r="NDX745" s="303"/>
      <c r="NDY745" s="303"/>
      <c r="NDZ745" s="303"/>
      <c r="NEA745" s="303"/>
      <c r="NEB745" s="303"/>
      <c r="NEC745" s="303"/>
      <c r="NED745" s="303"/>
      <c r="NEE745" s="303"/>
      <c r="NEF745" s="303"/>
      <c r="NEG745" s="303"/>
      <c r="NEH745" s="303"/>
      <c r="NEI745" s="303"/>
      <c r="NEJ745" s="303"/>
      <c r="NEK745" s="303"/>
      <c r="NEL745" s="303"/>
      <c r="NEM745" s="303"/>
      <c r="NEN745" s="303"/>
      <c r="NEO745" s="303"/>
      <c r="NEP745" s="303"/>
      <c r="NEQ745" s="303"/>
      <c r="NER745" s="303"/>
      <c r="NES745" s="303"/>
      <c r="NET745" s="303"/>
      <c r="NEU745" s="303"/>
      <c r="NEV745" s="303"/>
      <c r="NEW745" s="303"/>
      <c r="NEX745" s="303"/>
      <c r="NEY745" s="303"/>
      <c r="NEZ745" s="303"/>
      <c r="NFA745" s="303"/>
      <c r="NFB745" s="303"/>
      <c r="NFC745" s="303"/>
      <c r="NFD745" s="303"/>
      <c r="NFE745" s="303"/>
      <c r="NFF745" s="303"/>
      <c r="NFG745" s="303"/>
      <c r="NFH745" s="303"/>
      <c r="NFI745" s="303"/>
      <c r="NFJ745" s="303"/>
      <c r="NFK745" s="303"/>
      <c r="NFL745" s="303"/>
      <c r="NFM745" s="303"/>
      <c r="NFN745" s="303"/>
      <c r="NFO745" s="303"/>
      <c r="NFP745" s="303"/>
      <c r="NFQ745" s="303"/>
      <c r="NFR745" s="303"/>
      <c r="NFS745" s="303"/>
      <c r="NFT745" s="303"/>
      <c r="NFU745" s="303"/>
      <c r="NFV745" s="303"/>
      <c r="NFW745" s="303"/>
      <c r="NFX745" s="303"/>
      <c r="NFY745" s="303"/>
      <c r="NFZ745" s="303"/>
      <c r="NGA745" s="303"/>
      <c r="NGB745" s="303"/>
      <c r="NGC745" s="303"/>
      <c r="NGD745" s="303"/>
      <c r="NGE745" s="303"/>
      <c r="NGF745" s="303"/>
      <c r="NGG745" s="303"/>
      <c r="NGH745" s="303"/>
      <c r="NGI745" s="303"/>
      <c r="NGJ745" s="303"/>
      <c r="NGK745" s="303"/>
      <c r="NGL745" s="303"/>
      <c r="NGM745" s="303"/>
      <c r="NGN745" s="303"/>
      <c r="NGO745" s="303"/>
      <c r="NGP745" s="303"/>
      <c r="NGQ745" s="303"/>
      <c r="NGR745" s="303"/>
      <c r="NGS745" s="303"/>
      <c r="NGT745" s="303"/>
      <c r="NGU745" s="303"/>
      <c r="NGV745" s="303"/>
      <c r="NGW745" s="303"/>
      <c r="NGX745" s="303"/>
      <c r="NGY745" s="303"/>
      <c r="NGZ745" s="303"/>
      <c r="NHA745" s="303"/>
      <c r="NHB745" s="303"/>
      <c r="NHC745" s="303"/>
      <c r="NHD745" s="303"/>
      <c r="NHE745" s="303"/>
      <c r="NHF745" s="303"/>
      <c r="NHG745" s="303"/>
      <c r="NHH745" s="303"/>
      <c r="NHI745" s="303"/>
      <c r="NHJ745" s="303"/>
      <c r="NHK745" s="303"/>
      <c r="NHL745" s="303"/>
      <c r="NHM745" s="303"/>
      <c r="NHN745" s="303"/>
      <c r="NHO745" s="303"/>
      <c r="NHP745" s="303"/>
      <c r="NHQ745" s="303"/>
      <c r="NHR745" s="303"/>
      <c r="NHS745" s="303"/>
      <c r="NHT745" s="303"/>
      <c r="NHU745" s="303"/>
      <c r="NHV745" s="303"/>
      <c r="NHW745" s="303"/>
      <c r="NHX745" s="303"/>
      <c r="NHY745" s="303"/>
      <c r="NHZ745" s="303"/>
      <c r="NIA745" s="303"/>
      <c r="NIB745" s="303"/>
      <c r="NIC745" s="303"/>
      <c r="NID745" s="303"/>
      <c r="NIE745" s="303"/>
      <c r="NIF745" s="303"/>
      <c r="NIG745" s="303"/>
      <c r="NIH745" s="303"/>
      <c r="NII745" s="303"/>
      <c r="NIJ745" s="303"/>
      <c r="NIK745" s="303"/>
      <c r="NIL745" s="303"/>
      <c r="NIM745" s="303"/>
      <c r="NIN745" s="303"/>
      <c r="NIO745" s="303"/>
      <c r="NIP745" s="303"/>
      <c r="NIQ745" s="303"/>
      <c r="NIR745" s="303"/>
      <c r="NIS745" s="303"/>
      <c r="NIT745" s="303"/>
      <c r="NIU745" s="303"/>
      <c r="NIV745" s="303"/>
      <c r="NIW745" s="303"/>
      <c r="NIX745" s="303"/>
      <c r="NIY745" s="303"/>
      <c r="NIZ745" s="303"/>
      <c r="NJA745" s="303"/>
      <c r="NJB745" s="303"/>
      <c r="NJC745" s="303"/>
      <c r="NJD745" s="303"/>
      <c r="NJE745" s="303"/>
      <c r="NJF745" s="303"/>
      <c r="NJG745" s="303"/>
      <c r="NJH745" s="303"/>
      <c r="NJI745" s="303"/>
      <c r="NJJ745" s="303"/>
      <c r="NJK745" s="303"/>
      <c r="NJL745" s="303"/>
      <c r="NJM745" s="303"/>
      <c r="NJN745" s="303"/>
      <c r="NJO745" s="303"/>
      <c r="NJP745" s="303"/>
      <c r="NJQ745" s="303"/>
      <c r="NJR745" s="303"/>
      <c r="NJS745" s="303"/>
      <c r="NJT745" s="303"/>
      <c r="NJU745" s="303"/>
      <c r="NJV745" s="303"/>
      <c r="NJW745" s="303"/>
      <c r="NJX745" s="303"/>
      <c r="NJY745" s="303"/>
      <c r="NJZ745" s="303"/>
      <c r="NKA745" s="303"/>
      <c r="NKB745" s="303"/>
      <c r="NKC745" s="303"/>
      <c r="NKD745" s="303"/>
      <c r="NKE745" s="303"/>
      <c r="NKF745" s="303"/>
      <c r="NKG745" s="303"/>
      <c r="NKH745" s="303"/>
      <c r="NKI745" s="303"/>
      <c r="NKJ745" s="303"/>
      <c r="NKK745" s="303"/>
      <c r="NKL745" s="303"/>
      <c r="NKM745" s="303"/>
      <c r="NKN745" s="303"/>
      <c r="NKO745" s="303"/>
      <c r="NKP745" s="303"/>
      <c r="NKQ745" s="303"/>
      <c r="NKR745" s="303"/>
      <c r="NKS745" s="303"/>
      <c r="NKT745" s="303"/>
      <c r="NKU745" s="303"/>
      <c r="NKV745" s="303"/>
      <c r="NKW745" s="303"/>
      <c r="NKX745" s="303"/>
      <c r="NKY745" s="303"/>
      <c r="NKZ745" s="303"/>
      <c r="NLA745" s="303"/>
      <c r="NLB745" s="303"/>
      <c r="NLC745" s="303"/>
      <c r="NLD745" s="303"/>
      <c r="NLE745" s="303"/>
      <c r="NLF745" s="303"/>
      <c r="NLG745" s="303"/>
      <c r="NLH745" s="303"/>
      <c r="NLI745" s="303"/>
      <c r="NLJ745" s="303"/>
      <c r="NLK745" s="303"/>
      <c r="NLL745" s="303"/>
      <c r="NLM745" s="303"/>
      <c r="NLN745" s="303"/>
      <c r="NLO745" s="303"/>
      <c r="NLP745" s="303"/>
      <c r="NLQ745" s="303"/>
      <c r="NLR745" s="303"/>
      <c r="NLS745" s="303"/>
      <c r="NLT745" s="303"/>
      <c r="NLU745" s="303"/>
      <c r="NLV745" s="303"/>
      <c r="NLW745" s="303"/>
      <c r="NLX745" s="303"/>
      <c r="NLY745" s="303"/>
      <c r="NLZ745" s="303"/>
      <c r="NMA745" s="303"/>
      <c r="NMB745" s="303"/>
      <c r="NMC745" s="303"/>
      <c r="NMD745" s="303"/>
      <c r="NME745" s="303"/>
      <c r="NMF745" s="303"/>
      <c r="NMG745" s="303"/>
      <c r="NMH745" s="303"/>
      <c r="NMI745" s="303"/>
      <c r="NMJ745" s="303"/>
      <c r="NMK745" s="303"/>
      <c r="NML745" s="303"/>
      <c r="NMM745" s="303"/>
      <c r="NMN745" s="303"/>
      <c r="NMO745" s="303"/>
      <c r="NMP745" s="303"/>
      <c r="NMQ745" s="303"/>
      <c r="NMR745" s="303"/>
      <c r="NMS745" s="303"/>
      <c r="NMT745" s="303"/>
      <c r="NMU745" s="303"/>
      <c r="NMV745" s="303"/>
      <c r="NMW745" s="303"/>
      <c r="NMX745" s="303"/>
      <c r="NMY745" s="303"/>
      <c r="NMZ745" s="303"/>
      <c r="NNA745" s="303"/>
      <c r="NNB745" s="303"/>
      <c r="NNC745" s="303"/>
      <c r="NND745" s="303"/>
      <c r="NNE745" s="303"/>
      <c r="NNF745" s="303"/>
      <c r="NNG745" s="303"/>
      <c r="NNH745" s="303"/>
      <c r="NNI745" s="303"/>
      <c r="NNJ745" s="303"/>
      <c r="NNK745" s="303"/>
      <c r="NNL745" s="303"/>
      <c r="NNM745" s="303"/>
      <c r="NNN745" s="303"/>
      <c r="NNO745" s="303"/>
      <c r="NNP745" s="303"/>
      <c r="NNQ745" s="303"/>
      <c r="NNR745" s="303"/>
      <c r="NNS745" s="303"/>
      <c r="NNT745" s="303"/>
      <c r="NNU745" s="303"/>
      <c r="NNV745" s="303"/>
      <c r="NNW745" s="303"/>
      <c r="NNX745" s="303"/>
      <c r="NNY745" s="303"/>
      <c r="NNZ745" s="303"/>
      <c r="NOA745" s="303"/>
      <c r="NOB745" s="303"/>
      <c r="NOC745" s="303"/>
      <c r="NOD745" s="303"/>
      <c r="NOE745" s="303"/>
      <c r="NOF745" s="303"/>
      <c r="NOG745" s="303"/>
      <c r="NOH745" s="303"/>
      <c r="NOI745" s="303"/>
      <c r="NOJ745" s="303"/>
      <c r="NOK745" s="303"/>
      <c r="NOL745" s="303"/>
      <c r="NOM745" s="303"/>
      <c r="NON745" s="303"/>
      <c r="NOO745" s="303"/>
      <c r="NOP745" s="303"/>
      <c r="NOQ745" s="303"/>
      <c r="NOR745" s="303"/>
      <c r="NOS745" s="303"/>
      <c r="NOT745" s="303"/>
      <c r="NOU745" s="303"/>
      <c r="NOV745" s="303"/>
      <c r="NOW745" s="303"/>
      <c r="NOX745" s="303"/>
      <c r="NOY745" s="303"/>
      <c r="NOZ745" s="303"/>
      <c r="NPA745" s="303"/>
      <c r="NPB745" s="303"/>
      <c r="NPC745" s="303"/>
      <c r="NPD745" s="303"/>
      <c r="NPE745" s="303"/>
      <c r="NPF745" s="303"/>
      <c r="NPG745" s="303"/>
      <c r="NPH745" s="303"/>
      <c r="NPI745" s="303"/>
      <c r="NPJ745" s="303"/>
      <c r="NPK745" s="303"/>
      <c r="NPL745" s="303"/>
      <c r="NPM745" s="303"/>
      <c r="NPN745" s="303"/>
      <c r="NPO745" s="303"/>
      <c r="NPP745" s="303"/>
      <c r="NPQ745" s="303"/>
      <c r="NPR745" s="303"/>
      <c r="NPS745" s="303"/>
      <c r="NPT745" s="303"/>
      <c r="NPU745" s="303"/>
      <c r="NPV745" s="303"/>
      <c r="NPW745" s="303"/>
      <c r="NPX745" s="303"/>
      <c r="NPY745" s="303"/>
      <c r="NPZ745" s="303"/>
      <c r="NQA745" s="303"/>
      <c r="NQB745" s="303"/>
      <c r="NQC745" s="303"/>
      <c r="NQD745" s="303"/>
      <c r="NQE745" s="303"/>
      <c r="NQF745" s="303"/>
      <c r="NQG745" s="303"/>
      <c r="NQH745" s="303"/>
      <c r="NQI745" s="303"/>
      <c r="NQJ745" s="303"/>
      <c r="NQK745" s="303"/>
      <c r="NQL745" s="303"/>
      <c r="NQM745" s="303"/>
      <c r="NQN745" s="303"/>
      <c r="NQO745" s="303"/>
      <c r="NQP745" s="303"/>
      <c r="NQQ745" s="303"/>
      <c r="NQR745" s="303"/>
      <c r="NQS745" s="303"/>
      <c r="NQT745" s="303"/>
      <c r="NQU745" s="303"/>
      <c r="NQV745" s="303"/>
      <c r="NQW745" s="303"/>
      <c r="NQX745" s="303"/>
      <c r="NQY745" s="303"/>
      <c r="NQZ745" s="303"/>
      <c r="NRA745" s="303"/>
      <c r="NRB745" s="303"/>
      <c r="NRC745" s="303"/>
      <c r="NRD745" s="303"/>
      <c r="NRE745" s="303"/>
      <c r="NRF745" s="303"/>
      <c r="NRG745" s="303"/>
      <c r="NRH745" s="303"/>
      <c r="NRI745" s="303"/>
      <c r="NRJ745" s="303"/>
      <c r="NRK745" s="303"/>
      <c r="NRL745" s="303"/>
      <c r="NRM745" s="303"/>
      <c r="NRN745" s="303"/>
      <c r="NRO745" s="303"/>
      <c r="NRP745" s="303"/>
      <c r="NRQ745" s="303"/>
      <c r="NRR745" s="303"/>
      <c r="NRS745" s="303"/>
      <c r="NRT745" s="303"/>
      <c r="NRU745" s="303"/>
      <c r="NRV745" s="303"/>
      <c r="NRW745" s="303"/>
      <c r="NRX745" s="303"/>
      <c r="NRY745" s="303"/>
      <c r="NRZ745" s="303"/>
      <c r="NSA745" s="303"/>
      <c r="NSB745" s="303"/>
      <c r="NSC745" s="303"/>
      <c r="NSD745" s="303"/>
      <c r="NSE745" s="303"/>
      <c r="NSF745" s="303"/>
      <c r="NSG745" s="303"/>
      <c r="NSH745" s="303"/>
      <c r="NSI745" s="303"/>
      <c r="NSJ745" s="303"/>
      <c r="NSK745" s="303"/>
      <c r="NSL745" s="303"/>
      <c r="NSM745" s="303"/>
      <c r="NSN745" s="303"/>
      <c r="NSO745" s="303"/>
      <c r="NSP745" s="303"/>
      <c r="NSQ745" s="303"/>
      <c r="NSR745" s="303"/>
      <c r="NSS745" s="303"/>
      <c r="NST745" s="303"/>
      <c r="NSU745" s="303"/>
      <c r="NSV745" s="303"/>
      <c r="NSW745" s="303"/>
      <c r="NSX745" s="303"/>
      <c r="NSY745" s="303"/>
      <c r="NSZ745" s="303"/>
      <c r="NTA745" s="303"/>
      <c r="NTB745" s="303"/>
      <c r="NTC745" s="303"/>
      <c r="NTD745" s="303"/>
      <c r="NTE745" s="303"/>
      <c r="NTF745" s="303"/>
      <c r="NTG745" s="303"/>
      <c r="NTH745" s="303"/>
      <c r="NTI745" s="303"/>
      <c r="NTJ745" s="303"/>
      <c r="NTK745" s="303"/>
      <c r="NTL745" s="303"/>
      <c r="NTM745" s="303"/>
      <c r="NTN745" s="303"/>
      <c r="NTO745" s="303"/>
      <c r="NTP745" s="303"/>
      <c r="NTQ745" s="303"/>
      <c r="NTR745" s="303"/>
      <c r="NTS745" s="303"/>
      <c r="NTT745" s="303"/>
      <c r="NTU745" s="303"/>
      <c r="NTV745" s="303"/>
      <c r="NTW745" s="303"/>
      <c r="NTX745" s="303"/>
      <c r="NTY745" s="303"/>
      <c r="NTZ745" s="303"/>
      <c r="NUA745" s="303"/>
      <c r="NUB745" s="303"/>
      <c r="NUC745" s="303"/>
      <c r="NUD745" s="303"/>
      <c r="NUE745" s="303"/>
      <c r="NUF745" s="303"/>
      <c r="NUG745" s="303"/>
      <c r="NUH745" s="303"/>
      <c r="NUI745" s="303"/>
      <c r="NUJ745" s="303"/>
      <c r="NUK745" s="303"/>
      <c r="NUL745" s="303"/>
      <c r="NUM745" s="303"/>
      <c r="NUN745" s="303"/>
      <c r="NUO745" s="303"/>
      <c r="NUP745" s="303"/>
      <c r="NUQ745" s="303"/>
      <c r="NUR745" s="303"/>
      <c r="NUS745" s="303"/>
      <c r="NUT745" s="303"/>
      <c r="NUU745" s="303"/>
      <c r="NUV745" s="303"/>
      <c r="NUW745" s="303"/>
      <c r="NUX745" s="303"/>
      <c r="NUY745" s="303"/>
      <c r="NUZ745" s="303"/>
      <c r="NVA745" s="303"/>
      <c r="NVB745" s="303"/>
      <c r="NVC745" s="303"/>
      <c r="NVD745" s="303"/>
      <c r="NVE745" s="303"/>
      <c r="NVF745" s="303"/>
      <c r="NVG745" s="303"/>
      <c r="NVH745" s="303"/>
      <c r="NVI745" s="303"/>
      <c r="NVJ745" s="303"/>
      <c r="NVK745" s="303"/>
      <c r="NVL745" s="303"/>
      <c r="NVM745" s="303"/>
      <c r="NVN745" s="303"/>
      <c r="NVO745" s="303"/>
      <c r="NVP745" s="303"/>
      <c r="NVQ745" s="303"/>
      <c r="NVR745" s="303"/>
      <c r="NVS745" s="303"/>
      <c r="NVT745" s="303"/>
      <c r="NVU745" s="303"/>
      <c r="NVV745" s="303"/>
      <c r="NVW745" s="303"/>
      <c r="NVX745" s="303"/>
      <c r="NVY745" s="303"/>
      <c r="NVZ745" s="303"/>
      <c r="NWA745" s="303"/>
      <c r="NWB745" s="303"/>
      <c r="NWC745" s="303"/>
      <c r="NWD745" s="303"/>
      <c r="NWE745" s="303"/>
      <c r="NWF745" s="303"/>
      <c r="NWG745" s="303"/>
      <c r="NWH745" s="303"/>
      <c r="NWI745" s="303"/>
      <c r="NWJ745" s="303"/>
      <c r="NWK745" s="303"/>
      <c r="NWL745" s="303"/>
      <c r="NWM745" s="303"/>
      <c r="NWN745" s="303"/>
      <c r="NWO745" s="303"/>
      <c r="NWP745" s="303"/>
      <c r="NWQ745" s="303"/>
      <c r="NWR745" s="303"/>
      <c r="NWS745" s="303"/>
      <c r="NWT745" s="303"/>
      <c r="NWU745" s="303"/>
      <c r="NWV745" s="303"/>
      <c r="NWW745" s="303"/>
      <c r="NWX745" s="303"/>
      <c r="NWY745" s="303"/>
      <c r="NWZ745" s="303"/>
      <c r="NXA745" s="303"/>
      <c r="NXB745" s="303"/>
      <c r="NXC745" s="303"/>
      <c r="NXD745" s="303"/>
      <c r="NXE745" s="303"/>
      <c r="NXF745" s="303"/>
      <c r="NXG745" s="303"/>
      <c r="NXH745" s="303"/>
      <c r="NXI745" s="303"/>
      <c r="NXJ745" s="303"/>
      <c r="NXK745" s="303"/>
      <c r="NXL745" s="303"/>
      <c r="NXM745" s="303"/>
      <c r="NXN745" s="303"/>
      <c r="NXO745" s="303"/>
      <c r="NXP745" s="303"/>
      <c r="NXQ745" s="303"/>
      <c r="NXR745" s="303"/>
      <c r="NXS745" s="303"/>
      <c r="NXT745" s="303"/>
      <c r="NXU745" s="303"/>
      <c r="NXV745" s="303"/>
      <c r="NXW745" s="303"/>
      <c r="NXX745" s="303"/>
      <c r="NXY745" s="303"/>
      <c r="NXZ745" s="303"/>
      <c r="NYA745" s="303"/>
      <c r="NYB745" s="303"/>
      <c r="NYC745" s="303"/>
      <c r="NYD745" s="303"/>
      <c r="NYE745" s="303"/>
      <c r="NYF745" s="303"/>
      <c r="NYG745" s="303"/>
      <c r="NYH745" s="303"/>
      <c r="NYI745" s="303"/>
      <c r="NYJ745" s="303"/>
      <c r="NYK745" s="303"/>
      <c r="NYL745" s="303"/>
      <c r="NYM745" s="303"/>
      <c r="NYN745" s="303"/>
      <c r="NYO745" s="303"/>
      <c r="NYP745" s="303"/>
      <c r="NYQ745" s="303"/>
      <c r="NYR745" s="303"/>
      <c r="NYS745" s="303"/>
      <c r="NYT745" s="303"/>
      <c r="NYU745" s="303"/>
      <c r="NYV745" s="303"/>
      <c r="NYW745" s="303"/>
      <c r="NYX745" s="303"/>
      <c r="NYY745" s="303"/>
      <c r="NYZ745" s="303"/>
      <c r="NZA745" s="303"/>
      <c r="NZB745" s="303"/>
      <c r="NZC745" s="303"/>
      <c r="NZD745" s="303"/>
      <c r="NZE745" s="303"/>
      <c r="NZF745" s="303"/>
      <c r="NZG745" s="303"/>
      <c r="NZH745" s="303"/>
      <c r="NZI745" s="303"/>
      <c r="NZJ745" s="303"/>
      <c r="NZK745" s="303"/>
      <c r="NZL745" s="303"/>
      <c r="NZM745" s="303"/>
      <c r="NZN745" s="303"/>
      <c r="NZO745" s="303"/>
      <c r="NZP745" s="303"/>
      <c r="NZQ745" s="303"/>
      <c r="NZR745" s="303"/>
      <c r="NZS745" s="303"/>
      <c r="NZT745" s="303"/>
      <c r="NZU745" s="303"/>
      <c r="NZV745" s="303"/>
      <c r="NZW745" s="303"/>
      <c r="NZX745" s="303"/>
      <c r="NZY745" s="303"/>
      <c r="NZZ745" s="303"/>
      <c r="OAA745" s="303"/>
      <c r="OAB745" s="303"/>
      <c r="OAC745" s="303"/>
      <c r="OAD745" s="303"/>
      <c r="OAE745" s="303"/>
      <c r="OAF745" s="303"/>
      <c r="OAG745" s="303"/>
      <c r="OAH745" s="303"/>
      <c r="OAI745" s="303"/>
      <c r="OAJ745" s="303"/>
      <c r="OAK745" s="303"/>
      <c r="OAL745" s="303"/>
      <c r="OAM745" s="303"/>
      <c r="OAN745" s="303"/>
      <c r="OAO745" s="303"/>
      <c r="OAP745" s="303"/>
      <c r="OAQ745" s="303"/>
      <c r="OAR745" s="303"/>
      <c r="OAS745" s="303"/>
      <c r="OAT745" s="303"/>
      <c r="OAU745" s="303"/>
      <c r="OAV745" s="303"/>
      <c r="OAW745" s="303"/>
      <c r="OAX745" s="303"/>
      <c r="OAY745" s="303"/>
      <c r="OAZ745" s="303"/>
      <c r="OBA745" s="303"/>
      <c r="OBB745" s="303"/>
      <c r="OBC745" s="303"/>
      <c r="OBD745" s="303"/>
      <c r="OBE745" s="303"/>
      <c r="OBF745" s="303"/>
      <c r="OBG745" s="303"/>
      <c r="OBH745" s="303"/>
      <c r="OBI745" s="303"/>
      <c r="OBJ745" s="303"/>
      <c r="OBK745" s="303"/>
      <c r="OBL745" s="303"/>
      <c r="OBM745" s="303"/>
      <c r="OBN745" s="303"/>
      <c r="OBO745" s="303"/>
      <c r="OBP745" s="303"/>
      <c r="OBQ745" s="303"/>
      <c r="OBR745" s="303"/>
      <c r="OBS745" s="303"/>
      <c r="OBT745" s="303"/>
      <c r="OBU745" s="303"/>
      <c r="OBV745" s="303"/>
      <c r="OBW745" s="303"/>
      <c r="OBX745" s="303"/>
      <c r="OBY745" s="303"/>
      <c r="OBZ745" s="303"/>
      <c r="OCA745" s="303"/>
      <c r="OCB745" s="303"/>
      <c r="OCC745" s="303"/>
      <c r="OCD745" s="303"/>
      <c r="OCE745" s="303"/>
      <c r="OCF745" s="303"/>
      <c r="OCG745" s="303"/>
      <c r="OCH745" s="303"/>
      <c r="OCI745" s="303"/>
      <c r="OCJ745" s="303"/>
      <c r="OCK745" s="303"/>
      <c r="OCL745" s="303"/>
      <c r="OCM745" s="303"/>
      <c r="OCN745" s="303"/>
      <c r="OCO745" s="303"/>
      <c r="OCP745" s="303"/>
      <c r="OCQ745" s="303"/>
      <c r="OCR745" s="303"/>
      <c r="OCS745" s="303"/>
      <c r="OCT745" s="303"/>
      <c r="OCU745" s="303"/>
      <c r="OCV745" s="303"/>
      <c r="OCW745" s="303"/>
      <c r="OCX745" s="303"/>
      <c r="OCY745" s="303"/>
      <c r="OCZ745" s="303"/>
      <c r="ODA745" s="303"/>
      <c r="ODB745" s="303"/>
      <c r="ODC745" s="303"/>
      <c r="ODD745" s="303"/>
      <c r="ODE745" s="303"/>
      <c r="ODF745" s="303"/>
      <c r="ODG745" s="303"/>
      <c r="ODH745" s="303"/>
      <c r="ODI745" s="303"/>
      <c r="ODJ745" s="303"/>
      <c r="ODK745" s="303"/>
      <c r="ODL745" s="303"/>
      <c r="ODM745" s="303"/>
      <c r="ODN745" s="303"/>
      <c r="ODO745" s="303"/>
      <c r="ODP745" s="303"/>
      <c r="ODQ745" s="303"/>
      <c r="ODR745" s="303"/>
      <c r="ODS745" s="303"/>
      <c r="ODT745" s="303"/>
      <c r="ODU745" s="303"/>
      <c r="ODV745" s="303"/>
      <c r="ODW745" s="303"/>
      <c r="ODX745" s="303"/>
      <c r="ODY745" s="303"/>
      <c r="ODZ745" s="303"/>
      <c r="OEA745" s="303"/>
      <c r="OEB745" s="303"/>
      <c r="OEC745" s="303"/>
      <c r="OED745" s="303"/>
      <c r="OEE745" s="303"/>
      <c r="OEF745" s="303"/>
      <c r="OEG745" s="303"/>
      <c r="OEH745" s="303"/>
      <c r="OEI745" s="303"/>
      <c r="OEJ745" s="303"/>
      <c r="OEK745" s="303"/>
      <c r="OEL745" s="303"/>
      <c r="OEM745" s="303"/>
      <c r="OEN745" s="303"/>
      <c r="OEO745" s="303"/>
      <c r="OEP745" s="303"/>
      <c r="OEQ745" s="303"/>
      <c r="OER745" s="303"/>
      <c r="OES745" s="303"/>
      <c r="OET745" s="303"/>
      <c r="OEU745" s="303"/>
      <c r="OEV745" s="303"/>
      <c r="OEW745" s="303"/>
      <c r="OEX745" s="303"/>
      <c r="OEY745" s="303"/>
      <c r="OEZ745" s="303"/>
      <c r="OFA745" s="303"/>
      <c r="OFB745" s="303"/>
      <c r="OFC745" s="303"/>
      <c r="OFD745" s="303"/>
      <c r="OFE745" s="303"/>
      <c r="OFF745" s="303"/>
      <c r="OFG745" s="303"/>
      <c r="OFH745" s="303"/>
      <c r="OFI745" s="303"/>
      <c r="OFJ745" s="303"/>
      <c r="OFK745" s="303"/>
      <c r="OFL745" s="303"/>
      <c r="OFM745" s="303"/>
      <c r="OFN745" s="303"/>
      <c r="OFO745" s="303"/>
      <c r="OFP745" s="303"/>
      <c r="OFQ745" s="303"/>
      <c r="OFR745" s="303"/>
      <c r="OFS745" s="303"/>
      <c r="OFT745" s="303"/>
      <c r="OFU745" s="303"/>
      <c r="OFV745" s="303"/>
      <c r="OFW745" s="303"/>
      <c r="OFX745" s="303"/>
      <c r="OFY745" s="303"/>
      <c r="OFZ745" s="303"/>
      <c r="OGA745" s="303"/>
      <c r="OGB745" s="303"/>
      <c r="OGC745" s="303"/>
      <c r="OGD745" s="303"/>
      <c r="OGE745" s="303"/>
      <c r="OGF745" s="303"/>
      <c r="OGG745" s="303"/>
      <c r="OGH745" s="303"/>
      <c r="OGI745" s="303"/>
      <c r="OGJ745" s="303"/>
      <c r="OGK745" s="303"/>
      <c r="OGL745" s="303"/>
      <c r="OGM745" s="303"/>
      <c r="OGN745" s="303"/>
      <c r="OGO745" s="303"/>
      <c r="OGP745" s="303"/>
      <c r="OGQ745" s="303"/>
      <c r="OGR745" s="303"/>
      <c r="OGS745" s="303"/>
      <c r="OGT745" s="303"/>
      <c r="OGU745" s="303"/>
      <c r="OGV745" s="303"/>
      <c r="OGW745" s="303"/>
      <c r="OGX745" s="303"/>
      <c r="OGY745" s="303"/>
      <c r="OGZ745" s="303"/>
      <c r="OHA745" s="303"/>
      <c r="OHB745" s="303"/>
      <c r="OHC745" s="303"/>
      <c r="OHD745" s="303"/>
      <c r="OHE745" s="303"/>
      <c r="OHF745" s="303"/>
      <c r="OHG745" s="303"/>
      <c r="OHH745" s="303"/>
      <c r="OHI745" s="303"/>
      <c r="OHJ745" s="303"/>
      <c r="OHK745" s="303"/>
      <c r="OHL745" s="303"/>
      <c r="OHM745" s="303"/>
      <c r="OHN745" s="303"/>
      <c r="OHO745" s="303"/>
      <c r="OHP745" s="303"/>
      <c r="OHQ745" s="303"/>
      <c r="OHR745" s="303"/>
      <c r="OHS745" s="303"/>
      <c r="OHT745" s="303"/>
      <c r="OHU745" s="303"/>
      <c r="OHV745" s="303"/>
      <c r="OHW745" s="303"/>
      <c r="OHX745" s="303"/>
      <c r="OHY745" s="303"/>
      <c r="OHZ745" s="303"/>
      <c r="OIA745" s="303"/>
      <c r="OIB745" s="303"/>
      <c r="OIC745" s="303"/>
      <c r="OID745" s="303"/>
      <c r="OIE745" s="303"/>
      <c r="OIF745" s="303"/>
      <c r="OIG745" s="303"/>
      <c r="OIH745" s="303"/>
      <c r="OII745" s="303"/>
      <c r="OIJ745" s="303"/>
      <c r="OIK745" s="303"/>
      <c r="OIL745" s="303"/>
      <c r="OIM745" s="303"/>
      <c r="OIN745" s="303"/>
      <c r="OIO745" s="303"/>
      <c r="OIP745" s="303"/>
      <c r="OIQ745" s="303"/>
      <c r="OIR745" s="303"/>
      <c r="OIS745" s="303"/>
      <c r="OIT745" s="303"/>
      <c r="OIU745" s="303"/>
      <c r="OIV745" s="303"/>
      <c r="OIW745" s="303"/>
      <c r="OIX745" s="303"/>
      <c r="OIY745" s="303"/>
      <c r="OIZ745" s="303"/>
      <c r="OJA745" s="303"/>
      <c r="OJB745" s="303"/>
      <c r="OJC745" s="303"/>
      <c r="OJD745" s="303"/>
      <c r="OJE745" s="303"/>
      <c r="OJF745" s="303"/>
      <c r="OJG745" s="303"/>
      <c r="OJH745" s="303"/>
      <c r="OJI745" s="303"/>
      <c r="OJJ745" s="303"/>
      <c r="OJK745" s="303"/>
      <c r="OJL745" s="303"/>
      <c r="OJM745" s="303"/>
      <c r="OJN745" s="303"/>
      <c r="OJO745" s="303"/>
      <c r="OJP745" s="303"/>
      <c r="OJQ745" s="303"/>
      <c r="OJR745" s="303"/>
      <c r="OJS745" s="303"/>
      <c r="OJT745" s="303"/>
      <c r="OJU745" s="303"/>
      <c r="OJV745" s="303"/>
      <c r="OJW745" s="303"/>
      <c r="OJX745" s="303"/>
      <c r="OJY745" s="303"/>
      <c r="OJZ745" s="303"/>
      <c r="OKA745" s="303"/>
      <c r="OKB745" s="303"/>
      <c r="OKC745" s="303"/>
      <c r="OKD745" s="303"/>
      <c r="OKE745" s="303"/>
      <c r="OKF745" s="303"/>
      <c r="OKG745" s="303"/>
      <c r="OKH745" s="303"/>
      <c r="OKI745" s="303"/>
      <c r="OKJ745" s="303"/>
      <c r="OKK745" s="303"/>
      <c r="OKL745" s="303"/>
      <c r="OKM745" s="303"/>
      <c r="OKN745" s="303"/>
      <c r="OKO745" s="303"/>
      <c r="OKP745" s="303"/>
      <c r="OKQ745" s="303"/>
      <c r="OKR745" s="303"/>
      <c r="OKS745" s="303"/>
      <c r="OKT745" s="303"/>
      <c r="OKU745" s="303"/>
      <c r="OKV745" s="303"/>
      <c r="OKW745" s="303"/>
      <c r="OKX745" s="303"/>
      <c r="OKY745" s="303"/>
      <c r="OKZ745" s="303"/>
      <c r="OLA745" s="303"/>
      <c r="OLB745" s="303"/>
      <c r="OLC745" s="303"/>
      <c r="OLD745" s="303"/>
      <c r="OLE745" s="303"/>
      <c r="OLF745" s="303"/>
      <c r="OLG745" s="303"/>
      <c r="OLH745" s="303"/>
      <c r="OLI745" s="303"/>
      <c r="OLJ745" s="303"/>
      <c r="OLK745" s="303"/>
      <c r="OLL745" s="303"/>
      <c r="OLM745" s="303"/>
      <c r="OLN745" s="303"/>
      <c r="OLO745" s="303"/>
      <c r="OLP745" s="303"/>
      <c r="OLQ745" s="303"/>
      <c r="OLR745" s="303"/>
      <c r="OLS745" s="303"/>
      <c r="OLT745" s="303"/>
      <c r="OLU745" s="303"/>
      <c r="OLV745" s="303"/>
      <c r="OLW745" s="303"/>
      <c r="OLX745" s="303"/>
      <c r="OLY745" s="303"/>
      <c r="OLZ745" s="303"/>
      <c r="OMA745" s="303"/>
      <c r="OMB745" s="303"/>
      <c r="OMC745" s="303"/>
      <c r="OMD745" s="303"/>
      <c r="OME745" s="303"/>
      <c r="OMF745" s="303"/>
      <c r="OMG745" s="303"/>
      <c r="OMH745" s="303"/>
      <c r="OMI745" s="303"/>
      <c r="OMJ745" s="303"/>
      <c r="OMK745" s="303"/>
      <c r="OML745" s="303"/>
      <c r="OMM745" s="303"/>
      <c r="OMN745" s="303"/>
      <c r="OMO745" s="303"/>
      <c r="OMP745" s="303"/>
      <c r="OMQ745" s="303"/>
      <c r="OMR745" s="303"/>
      <c r="OMS745" s="303"/>
      <c r="OMT745" s="303"/>
      <c r="OMU745" s="303"/>
      <c r="OMV745" s="303"/>
      <c r="OMW745" s="303"/>
      <c r="OMX745" s="303"/>
      <c r="OMY745" s="303"/>
      <c r="OMZ745" s="303"/>
      <c r="ONA745" s="303"/>
      <c r="ONB745" s="303"/>
      <c r="ONC745" s="303"/>
      <c r="OND745" s="303"/>
      <c r="ONE745" s="303"/>
      <c r="ONF745" s="303"/>
      <c r="ONG745" s="303"/>
      <c r="ONH745" s="303"/>
      <c r="ONI745" s="303"/>
      <c r="ONJ745" s="303"/>
      <c r="ONK745" s="303"/>
      <c r="ONL745" s="303"/>
      <c r="ONM745" s="303"/>
      <c r="ONN745" s="303"/>
      <c r="ONO745" s="303"/>
      <c r="ONP745" s="303"/>
      <c r="ONQ745" s="303"/>
      <c r="ONR745" s="303"/>
      <c r="ONS745" s="303"/>
      <c r="ONT745" s="303"/>
      <c r="ONU745" s="303"/>
      <c r="ONV745" s="303"/>
      <c r="ONW745" s="303"/>
      <c r="ONX745" s="303"/>
      <c r="ONY745" s="303"/>
      <c r="ONZ745" s="303"/>
      <c r="OOA745" s="303"/>
      <c r="OOB745" s="303"/>
      <c r="OOC745" s="303"/>
      <c r="OOD745" s="303"/>
      <c r="OOE745" s="303"/>
      <c r="OOF745" s="303"/>
      <c r="OOG745" s="303"/>
      <c r="OOH745" s="303"/>
      <c r="OOI745" s="303"/>
      <c r="OOJ745" s="303"/>
      <c r="OOK745" s="303"/>
      <c r="OOL745" s="303"/>
      <c r="OOM745" s="303"/>
      <c r="OON745" s="303"/>
      <c r="OOO745" s="303"/>
      <c r="OOP745" s="303"/>
      <c r="OOQ745" s="303"/>
      <c r="OOR745" s="303"/>
      <c r="OOS745" s="303"/>
      <c r="OOT745" s="303"/>
      <c r="OOU745" s="303"/>
      <c r="OOV745" s="303"/>
      <c r="OOW745" s="303"/>
      <c r="OOX745" s="303"/>
      <c r="OOY745" s="303"/>
      <c r="OOZ745" s="303"/>
      <c r="OPA745" s="303"/>
      <c r="OPB745" s="303"/>
      <c r="OPC745" s="303"/>
      <c r="OPD745" s="303"/>
      <c r="OPE745" s="303"/>
      <c r="OPF745" s="303"/>
      <c r="OPG745" s="303"/>
      <c r="OPH745" s="303"/>
      <c r="OPI745" s="303"/>
      <c r="OPJ745" s="303"/>
      <c r="OPK745" s="303"/>
      <c r="OPL745" s="303"/>
      <c r="OPM745" s="303"/>
      <c r="OPN745" s="303"/>
      <c r="OPO745" s="303"/>
      <c r="OPP745" s="303"/>
      <c r="OPQ745" s="303"/>
      <c r="OPR745" s="303"/>
      <c r="OPS745" s="303"/>
      <c r="OPT745" s="303"/>
      <c r="OPU745" s="303"/>
      <c r="OPV745" s="303"/>
      <c r="OPW745" s="303"/>
      <c r="OPX745" s="303"/>
      <c r="OPY745" s="303"/>
      <c r="OPZ745" s="303"/>
      <c r="OQA745" s="303"/>
      <c r="OQB745" s="303"/>
      <c r="OQC745" s="303"/>
      <c r="OQD745" s="303"/>
      <c r="OQE745" s="303"/>
      <c r="OQF745" s="303"/>
      <c r="OQG745" s="303"/>
      <c r="OQH745" s="303"/>
      <c r="OQI745" s="303"/>
      <c r="OQJ745" s="303"/>
      <c r="OQK745" s="303"/>
      <c r="OQL745" s="303"/>
      <c r="OQM745" s="303"/>
      <c r="OQN745" s="303"/>
      <c r="OQO745" s="303"/>
      <c r="OQP745" s="303"/>
      <c r="OQQ745" s="303"/>
      <c r="OQR745" s="303"/>
      <c r="OQS745" s="303"/>
      <c r="OQT745" s="303"/>
      <c r="OQU745" s="303"/>
      <c r="OQV745" s="303"/>
      <c r="OQW745" s="303"/>
      <c r="OQX745" s="303"/>
      <c r="OQY745" s="303"/>
      <c r="OQZ745" s="303"/>
      <c r="ORA745" s="303"/>
      <c r="ORB745" s="303"/>
      <c r="ORC745" s="303"/>
      <c r="ORD745" s="303"/>
      <c r="ORE745" s="303"/>
      <c r="ORF745" s="303"/>
      <c r="ORG745" s="303"/>
      <c r="ORH745" s="303"/>
      <c r="ORI745" s="303"/>
      <c r="ORJ745" s="303"/>
      <c r="ORK745" s="303"/>
      <c r="ORL745" s="303"/>
      <c r="ORM745" s="303"/>
      <c r="ORN745" s="303"/>
      <c r="ORO745" s="303"/>
      <c r="ORP745" s="303"/>
      <c r="ORQ745" s="303"/>
      <c r="ORR745" s="303"/>
      <c r="ORS745" s="303"/>
      <c r="ORT745" s="303"/>
      <c r="ORU745" s="303"/>
      <c r="ORV745" s="303"/>
      <c r="ORW745" s="303"/>
      <c r="ORX745" s="303"/>
      <c r="ORY745" s="303"/>
      <c r="ORZ745" s="303"/>
      <c r="OSA745" s="303"/>
      <c r="OSB745" s="303"/>
      <c r="OSC745" s="303"/>
      <c r="OSD745" s="303"/>
      <c r="OSE745" s="303"/>
      <c r="OSF745" s="303"/>
      <c r="OSG745" s="303"/>
      <c r="OSH745" s="303"/>
      <c r="OSI745" s="303"/>
      <c r="OSJ745" s="303"/>
      <c r="OSK745" s="303"/>
      <c r="OSL745" s="303"/>
      <c r="OSM745" s="303"/>
      <c r="OSN745" s="303"/>
      <c r="OSO745" s="303"/>
      <c r="OSP745" s="303"/>
      <c r="OSQ745" s="303"/>
      <c r="OSR745" s="303"/>
      <c r="OSS745" s="303"/>
      <c r="OST745" s="303"/>
      <c r="OSU745" s="303"/>
      <c r="OSV745" s="303"/>
      <c r="OSW745" s="303"/>
      <c r="OSX745" s="303"/>
      <c r="OSY745" s="303"/>
      <c r="OSZ745" s="303"/>
      <c r="OTA745" s="303"/>
      <c r="OTB745" s="303"/>
      <c r="OTC745" s="303"/>
      <c r="OTD745" s="303"/>
      <c r="OTE745" s="303"/>
      <c r="OTF745" s="303"/>
      <c r="OTG745" s="303"/>
      <c r="OTH745" s="303"/>
      <c r="OTI745" s="303"/>
      <c r="OTJ745" s="303"/>
      <c r="OTK745" s="303"/>
      <c r="OTL745" s="303"/>
      <c r="OTM745" s="303"/>
      <c r="OTN745" s="303"/>
      <c r="OTO745" s="303"/>
      <c r="OTP745" s="303"/>
      <c r="OTQ745" s="303"/>
      <c r="OTR745" s="303"/>
      <c r="OTS745" s="303"/>
      <c r="OTT745" s="303"/>
      <c r="OTU745" s="303"/>
      <c r="OTV745" s="303"/>
      <c r="OTW745" s="303"/>
      <c r="OTX745" s="303"/>
      <c r="OTY745" s="303"/>
      <c r="OTZ745" s="303"/>
      <c r="OUA745" s="303"/>
      <c r="OUB745" s="303"/>
      <c r="OUC745" s="303"/>
      <c r="OUD745" s="303"/>
      <c r="OUE745" s="303"/>
      <c r="OUF745" s="303"/>
      <c r="OUG745" s="303"/>
      <c r="OUH745" s="303"/>
      <c r="OUI745" s="303"/>
      <c r="OUJ745" s="303"/>
      <c r="OUK745" s="303"/>
      <c r="OUL745" s="303"/>
      <c r="OUM745" s="303"/>
      <c r="OUN745" s="303"/>
      <c r="OUO745" s="303"/>
      <c r="OUP745" s="303"/>
      <c r="OUQ745" s="303"/>
      <c r="OUR745" s="303"/>
      <c r="OUS745" s="303"/>
      <c r="OUT745" s="303"/>
      <c r="OUU745" s="303"/>
      <c r="OUV745" s="303"/>
      <c r="OUW745" s="303"/>
      <c r="OUX745" s="303"/>
      <c r="OUY745" s="303"/>
      <c r="OUZ745" s="303"/>
      <c r="OVA745" s="303"/>
      <c r="OVB745" s="303"/>
      <c r="OVC745" s="303"/>
      <c r="OVD745" s="303"/>
      <c r="OVE745" s="303"/>
      <c r="OVF745" s="303"/>
      <c r="OVG745" s="303"/>
      <c r="OVH745" s="303"/>
      <c r="OVI745" s="303"/>
      <c r="OVJ745" s="303"/>
      <c r="OVK745" s="303"/>
      <c r="OVL745" s="303"/>
      <c r="OVM745" s="303"/>
      <c r="OVN745" s="303"/>
      <c r="OVO745" s="303"/>
      <c r="OVP745" s="303"/>
      <c r="OVQ745" s="303"/>
      <c r="OVR745" s="303"/>
      <c r="OVS745" s="303"/>
      <c r="OVT745" s="303"/>
      <c r="OVU745" s="303"/>
      <c r="OVV745" s="303"/>
      <c r="OVW745" s="303"/>
      <c r="OVX745" s="303"/>
      <c r="OVY745" s="303"/>
      <c r="OVZ745" s="303"/>
      <c r="OWA745" s="303"/>
      <c r="OWB745" s="303"/>
      <c r="OWC745" s="303"/>
      <c r="OWD745" s="303"/>
      <c r="OWE745" s="303"/>
      <c r="OWF745" s="303"/>
      <c r="OWG745" s="303"/>
      <c r="OWH745" s="303"/>
      <c r="OWI745" s="303"/>
      <c r="OWJ745" s="303"/>
      <c r="OWK745" s="303"/>
      <c r="OWL745" s="303"/>
      <c r="OWM745" s="303"/>
      <c r="OWN745" s="303"/>
      <c r="OWO745" s="303"/>
      <c r="OWP745" s="303"/>
      <c r="OWQ745" s="303"/>
      <c r="OWR745" s="303"/>
      <c r="OWS745" s="303"/>
      <c r="OWT745" s="303"/>
      <c r="OWU745" s="303"/>
      <c r="OWV745" s="303"/>
      <c r="OWW745" s="303"/>
      <c r="OWX745" s="303"/>
      <c r="OWY745" s="303"/>
      <c r="OWZ745" s="303"/>
      <c r="OXA745" s="303"/>
      <c r="OXB745" s="303"/>
      <c r="OXC745" s="303"/>
      <c r="OXD745" s="303"/>
      <c r="OXE745" s="303"/>
      <c r="OXF745" s="303"/>
      <c r="OXG745" s="303"/>
      <c r="OXH745" s="303"/>
      <c r="OXI745" s="303"/>
      <c r="OXJ745" s="303"/>
      <c r="OXK745" s="303"/>
      <c r="OXL745" s="303"/>
      <c r="OXM745" s="303"/>
      <c r="OXN745" s="303"/>
      <c r="OXO745" s="303"/>
      <c r="OXP745" s="303"/>
      <c r="OXQ745" s="303"/>
      <c r="OXR745" s="303"/>
      <c r="OXS745" s="303"/>
      <c r="OXT745" s="303"/>
      <c r="OXU745" s="303"/>
      <c r="OXV745" s="303"/>
      <c r="OXW745" s="303"/>
      <c r="OXX745" s="303"/>
      <c r="OXY745" s="303"/>
      <c r="OXZ745" s="303"/>
      <c r="OYA745" s="303"/>
      <c r="OYB745" s="303"/>
      <c r="OYC745" s="303"/>
      <c r="OYD745" s="303"/>
      <c r="OYE745" s="303"/>
      <c r="OYF745" s="303"/>
      <c r="OYG745" s="303"/>
      <c r="OYH745" s="303"/>
      <c r="OYI745" s="303"/>
      <c r="OYJ745" s="303"/>
      <c r="OYK745" s="303"/>
      <c r="OYL745" s="303"/>
      <c r="OYM745" s="303"/>
      <c r="OYN745" s="303"/>
      <c r="OYO745" s="303"/>
      <c r="OYP745" s="303"/>
      <c r="OYQ745" s="303"/>
      <c r="OYR745" s="303"/>
      <c r="OYS745" s="303"/>
      <c r="OYT745" s="303"/>
      <c r="OYU745" s="303"/>
      <c r="OYV745" s="303"/>
      <c r="OYW745" s="303"/>
      <c r="OYX745" s="303"/>
      <c r="OYY745" s="303"/>
      <c r="OYZ745" s="303"/>
      <c r="OZA745" s="303"/>
      <c r="OZB745" s="303"/>
      <c r="OZC745" s="303"/>
      <c r="OZD745" s="303"/>
      <c r="OZE745" s="303"/>
      <c r="OZF745" s="303"/>
      <c r="OZG745" s="303"/>
      <c r="OZH745" s="303"/>
      <c r="OZI745" s="303"/>
      <c r="OZJ745" s="303"/>
      <c r="OZK745" s="303"/>
      <c r="OZL745" s="303"/>
      <c r="OZM745" s="303"/>
      <c r="OZN745" s="303"/>
      <c r="OZO745" s="303"/>
      <c r="OZP745" s="303"/>
      <c r="OZQ745" s="303"/>
      <c r="OZR745" s="303"/>
      <c r="OZS745" s="303"/>
      <c r="OZT745" s="303"/>
      <c r="OZU745" s="303"/>
      <c r="OZV745" s="303"/>
      <c r="OZW745" s="303"/>
      <c r="OZX745" s="303"/>
      <c r="OZY745" s="303"/>
      <c r="OZZ745" s="303"/>
      <c r="PAA745" s="303"/>
      <c r="PAB745" s="303"/>
      <c r="PAC745" s="303"/>
      <c r="PAD745" s="303"/>
      <c r="PAE745" s="303"/>
      <c r="PAF745" s="303"/>
      <c r="PAG745" s="303"/>
      <c r="PAH745" s="303"/>
      <c r="PAI745" s="303"/>
      <c r="PAJ745" s="303"/>
      <c r="PAK745" s="303"/>
      <c r="PAL745" s="303"/>
      <c r="PAM745" s="303"/>
      <c r="PAN745" s="303"/>
      <c r="PAO745" s="303"/>
      <c r="PAP745" s="303"/>
      <c r="PAQ745" s="303"/>
      <c r="PAR745" s="303"/>
      <c r="PAS745" s="303"/>
      <c r="PAT745" s="303"/>
      <c r="PAU745" s="303"/>
      <c r="PAV745" s="303"/>
      <c r="PAW745" s="303"/>
      <c r="PAX745" s="303"/>
      <c r="PAY745" s="303"/>
      <c r="PAZ745" s="303"/>
      <c r="PBA745" s="303"/>
      <c r="PBB745" s="303"/>
      <c r="PBC745" s="303"/>
      <c r="PBD745" s="303"/>
      <c r="PBE745" s="303"/>
      <c r="PBF745" s="303"/>
      <c r="PBG745" s="303"/>
      <c r="PBH745" s="303"/>
      <c r="PBI745" s="303"/>
      <c r="PBJ745" s="303"/>
      <c r="PBK745" s="303"/>
      <c r="PBL745" s="303"/>
      <c r="PBM745" s="303"/>
      <c r="PBN745" s="303"/>
      <c r="PBO745" s="303"/>
      <c r="PBP745" s="303"/>
      <c r="PBQ745" s="303"/>
      <c r="PBR745" s="303"/>
      <c r="PBS745" s="303"/>
      <c r="PBT745" s="303"/>
      <c r="PBU745" s="303"/>
      <c r="PBV745" s="303"/>
      <c r="PBW745" s="303"/>
      <c r="PBX745" s="303"/>
      <c r="PBY745" s="303"/>
      <c r="PBZ745" s="303"/>
      <c r="PCA745" s="303"/>
      <c r="PCB745" s="303"/>
      <c r="PCC745" s="303"/>
      <c r="PCD745" s="303"/>
      <c r="PCE745" s="303"/>
      <c r="PCF745" s="303"/>
      <c r="PCG745" s="303"/>
      <c r="PCH745" s="303"/>
      <c r="PCI745" s="303"/>
      <c r="PCJ745" s="303"/>
      <c r="PCK745" s="303"/>
      <c r="PCL745" s="303"/>
      <c r="PCM745" s="303"/>
      <c r="PCN745" s="303"/>
      <c r="PCO745" s="303"/>
      <c r="PCP745" s="303"/>
      <c r="PCQ745" s="303"/>
      <c r="PCR745" s="303"/>
      <c r="PCS745" s="303"/>
      <c r="PCT745" s="303"/>
      <c r="PCU745" s="303"/>
      <c r="PCV745" s="303"/>
      <c r="PCW745" s="303"/>
      <c r="PCX745" s="303"/>
      <c r="PCY745" s="303"/>
      <c r="PCZ745" s="303"/>
      <c r="PDA745" s="303"/>
      <c r="PDB745" s="303"/>
      <c r="PDC745" s="303"/>
      <c r="PDD745" s="303"/>
      <c r="PDE745" s="303"/>
      <c r="PDF745" s="303"/>
      <c r="PDG745" s="303"/>
      <c r="PDH745" s="303"/>
      <c r="PDI745" s="303"/>
      <c r="PDJ745" s="303"/>
      <c r="PDK745" s="303"/>
      <c r="PDL745" s="303"/>
      <c r="PDM745" s="303"/>
      <c r="PDN745" s="303"/>
      <c r="PDO745" s="303"/>
      <c r="PDP745" s="303"/>
      <c r="PDQ745" s="303"/>
      <c r="PDR745" s="303"/>
      <c r="PDS745" s="303"/>
      <c r="PDT745" s="303"/>
      <c r="PDU745" s="303"/>
      <c r="PDV745" s="303"/>
      <c r="PDW745" s="303"/>
      <c r="PDX745" s="303"/>
      <c r="PDY745" s="303"/>
      <c r="PDZ745" s="303"/>
      <c r="PEA745" s="303"/>
      <c r="PEB745" s="303"/>
      <c r="PEC745" s="303"/>
      <c r="PED745" s="303"/>
      <c r="PEE745" s="303"/>
      <c r="PEF745" s="303"/>
      <c r="PEG745" s="303"/>
      <c r="PEH745" s="303"/>
      <c r="PEI745" s="303"/>
      <c r="PEJ745" s="303"/>
      <c r="PEK745" s="303"/>
      <c r="PEL745" s="303"/>
      <c r="PEM745" s="303"/>
      <c r="PEN745" s="303"/>
      <c r="PEO745" s="303"/>
      <c r="PEP745" s="303"/>
      <c r="PEQ745" s="303"/>
      <c r="PER745" s="303"/>
      <c r="PES745" s="303"/>
      <c r="PET745" s="303"/>
      <c r="PEU745" s="303"/>
      <c r="PEV745" s="303"/>
      <c r="PEW745" s="303"/>
      <c r="PEX745" s="303"/>
      <c r="PEY745" s="303"/>
      <c r="PEZ745" s="303"/>
      <c r="PFA745" s="303"/>
      <c r="PFB745" s="303"/>
      <c r="PFC745" s="303"/>
      <c r="PFD745" s="303"/>
      <c r="PFE745" s="303"/>
      <c r="PFF745" s="303"/>
      <c r="PFG745" s="303"/>
      <c r="PFH745" s="303"/>
      <c r="PFI745" s="303"/>
      <c r="PFJ745" s="303"/>
      <c r="PFK745" s="303"/>
      <c r="PFL745" s="303"/>
      <c r="PFM745" s="303"/>
      <c r="PFN745" s="303"/>
      <c r="PFO745" s="303"/>
      <c r="PFP745" s="303"/>
      <c r="PFQ745" s="303"/>
      <c r="PFR745" s="303"/>
      <c r="PFS745" s="303"/>
      <c r="PFT745" s="303"/>
      <c r="PFU745" s="303"/>
      <c r="PFV745" s="303"/>
      <c r="PFW745" s="303"/>
      <c r="PFX745" s="303"/>
      <c r="PFY745" s="303"/>
      <c r="PFZ745" s="303"/>
      <c r="PGA745" s="303"/>
      <c r="PGB745" s="303"/>
      <c r="PGC745" s="303"/>
      <c r="PGD745" s="303"/>
      <c r="PGE745" s="303"/>
      <c r="PGF745" s="303"/>
      <c r="PGG745" s="303"/>
      <c r="PGH745" s="303"/>
      <c r="PGI745" s="303"/>
      <c r="PGJ745" s="303"/>
      <c r="PGK745" s="303"/>
      <c r="PGL745" s="303"/>
      <c r="PGM745" s="303"/>
      <c r="PGN745" s="303"/>
      <c r="PGO745" s="303"/>
      <c r="PGP745" s="303"/>
      <c r="PGQ745" s="303"/>
      <c r="PGR745" s="303"/>
      <c r="PGS745" s="303"/>
      <c r="PGT745" s="303"/>
      <c r="PGU745" s="303"/>
      <c r="PGV745" s="303"/>
      <c r="PGW745" s="303"/>
      <c r="PGX745" s="303"/>
      <c r="PGY745" s="303"/>
      <c r="PGZ745" s="303"/>
      <c r="PHA745" s="303"/>
      <c r="PHB745" s="303"/>
      <c r="PHC745" s="303"/>
      <c r="PHD745" s="303"/>
      <c r="PHE745" s="303"/>
      <c r="PHF745" s="303"/>
      <c r="PHG745" s="303"/>
      <c r="PHH745" s="303"/>
      <c r="PHI745" s="303"/>
      <c r="PHJ745" s="303"/>
      <c r="PHK745" s="303"/>
      <c r="PHL745" s="303"/>
      <c r="PHM745" s="303"/>
      <c r="PHN745" s="303"/>
      <c r="PHO745" s="303"/>
      <c r="PHP745" s="303"/>
      <c r="PHQ745" s="303"/>
      <c r="PHR745" s="303"/>
      <c r="PHS745" s="303"/>
      <c r="PHT745" s="303"/>
      <c r="PHU745" s="303"/>
      <c r="PHV745" s="303"/>
      <c r="PHW745" s="303"/>
      <c r="PHX745" s="303"/>
      <c r="PHY745" s="303"/>
      <c r="PHZ745" s="303"/>
      <c r="PIA745" s="303"/>
      <c r="PIB745" s="303"/>
      <c r="PIC745" s="303"/>
      <c r="PID745" s="303"/>
      <c r="PIE745" s="303"/>
      <c r="PIF745" s="303"/>
      <c r="PIG745" s="303"/>
      <c r="PIH745" s="303"/>
      <c r="PII745" s="303"/>
      <c r="PIJ745" s="303"/>
      <c r="PIK745" s="303"/>
      <c r="PIL745" s="303"/>
      <c r="PIM745" s="303"/>
      <c r="PIN745" s="303"/>
      <c r="PIO745" s="303"/>
      <c r="PIP745" s="303"/>
      <c r="PIQ745" s="303"/>
      <c r="PIR745" s="303"/>
      <c r="PIS745" s="303"/>
      <c r="PIT745" s="303"/>
      <c r="PIU745" s="303"/>
      <c r="PIV745" s="303"/>
      <c r="PIW745" s="303"/>
      <c r="PIX745" s="303"/>
      <c r="PIY745" s="303"/>
      <c r="PIZ745" s="303"/>
      <c r="PJA745" s="303"/>
      <c r="PJB745" s="303"/>
      <c r="PJC745" s="303"/>
      <c r="PJD745" s="303"/>
      <c r="PJE745" s="303"/>
      <c r="PJF745" s="303"/>
      <c r="PJG745" s="303"/>
      <c r="PJH745" s="303"/>
      <c r="PJI745" s="303"/>
      <c r="PJJ745" s="303"/>
      <c r="PJK745" s="303"/>
      <c r="PJL745" s="303"/>
      <c r="PJM745" s="303"/>
      <c r="PJN745" s="303"/>
      <c r="PJO745" s="303"/>
      <c r="PJP745" s="303"/>
      <c r="PJQ745" s="303"/>
      <c r="PJR745" s="303"/>
      <c r="PJS745" s="303"/>
      <c r="PJT745" s="303"/>
      <c r="PJU745" s="303"/>
      <c r="PJV745" s="303"/>
      <c r="PJW745" s="303"/>
      <c r="PJX745" s="303"/>
      <c r="PJY745" s="303"/>
      <c r="PJZ745" s="303"/>
      <c r="PKA745" s="303"/>
      <c r="PKB745" s="303"/>
      <c r="PKC745" s="303"/>
      <c r="PKD745" s="303"/>
      <c r="PKE745" s="303"/>
      <c r="PKF745" s="303"/>
      <c r="PKG745" s="303"/>
      <c r="PKH745" s="303"/>
      <c r="PKI745" s="303"/>
      <c r="PKJ745" s="303"/>
      <c r="PKK745" s="303"/>
      <c r="PKL745" s="303"/>
      <c r="PKM745" s="303"/>
      <c r="PKN745" s="303"/>
      <c r="PKO745" s="303"/>
      <c r="PKP745" s="303"/>
      <c r="PKQ745" s="303"/>
      <c r="PKR745" s="303"/>
      <c r="PKS745" s="303"/>
      <c r="PKT745" s="303"/>
      <c r="PKU745" s="303"/>
      <c r="PKV745" s="303"/>
      <c r="PKW745" s="303"/>
      <c r="PKX745" s="303"/>
      <c r="PKY745" s="303"/>
      <c r="PKZ745" s="303"/>
      <c r="PLA745" s="303"/>
      <c r="PLB745" s="303"/>
      <c r="PLC745" s="303"/>
      <c r="PLD745" s="303"/>
      <c r="PLE745" s="303"/>
      <c r="PLF745" s="303"/>
      <c r="PLG745" s="303"/>
      <c r="PLH745" s="303"/>
      <c r="PLI745" s="303"/>
      <c r="PLJ745" s="303"/>
      <c r="PLK745" s="303"/>
      <c r="PLL745" s="303"/>
      <c r="PLM745" s="303"/>
      <c r="PLN745" s="303"/>
      <c r="PLO745" s="303"/>
      <c r="PLP745" s="303"/>
      <c r="PLQ745" s="303"/>
      <c r="PLR745" s="303"/>
      <c r="PLS745" s="303"/>
      <c r="PLT745" s="303"/>
      <c r="PLU745" s="303"/>
      <c r="PLV745" s="303"/>
      <c r="PLW745" s="303"/>
      <c r="PLX745" s="303"/>
      <c r="PLY745" s="303"/>
      <c r="PLZ745" s="303"/>
      <c r="PMA745" s="303"/>
      <c r="PMB745" s="303"/>
      <c r="PMC745" s="303"/>
      <c r="PMD745" s="303"/>
      <c r="PME745" s="303"/>
      <c r="PMF745" s="303"/>
      <c r="PMG745" s="303"/>
      <c r="PMH745" s="303"/>
      <c r="PMI745" s="303"/>
      <c r="PMJ745" s="303"/>
      <c r="PMK745" s="303"/>
      <c r="PML745" s="303"/>
      <c r="PMM745" s="303"/>
      <c r="PMN745" s="303"/>
      <c r="PMO745" s="303"/>
      <c r="PMP745" s="303"/>
      <c r="PMQ745" s="303"/>
      <c r="PMR745" s="303"/>
      <c r="PMS745" s="303"/>
      <c r="PMT745" s="303"/>
      <c r="PMU745" s="303"/>
      <c r="PMV745" s="303"/>
      <c r="PMW745" s="303"/>
      <c r="PMX745" s="303"/>
      <c r="PMY745" s="303"/>
      <c r="PMZ745" s="303"/>
      <c r="PNA745" s="303"/>
      <c r="PNB745" s="303"/>
      <c r="PNC745" s="303"/>
      <c r="PND745" s="303"/>
      <c r="PNE745" s="303"/>
      <c r="PNF745" s="303"/>
      <c r="PNG745" s="303"/>
      <c r="PNH745" s="303"/>
      <c r="PNI745" s="303"/>
      <c r="PNJ745" s="303"/>
      <c r="PNK745" s="303"/>
      <c r="PNL745" s="303"/>
      <c r="PNM745" s="303"/>
      <c r="PNN745" s="303"/>
      <c r="PNO745" s="303"/>
      <c r="PNP745" s="303"/>
      <c r="PNQ745" s="303"/>
      <c r="PNR745" s="303"/>
      <c r="PNS745" s="303"/>
      <c r="PNT745" s="303"/>
      <c r="PNU745" s="303"/>
      <c r="PNV745" s="303"/>
      <c r="PNW745" s="303"/>
      <c r="PNX745" s="303"/>
      <c r="PNY745" s="303"/>
      <c r="PNZ745" s="303"/>
      <c r="POA745" s="303"/>
      <c r="POB745" s="303"/>
      <c r="POC745" s="303"/>
      <c r="POD745" s="303"/>
      <c r="POE745" s="303"/>
      <c r="POF745" s="303"/>
      <c r="POG745" s="303"/>
      <c r="POH745" s="303"/>
      <c r="POI745" s="303"/>
      <c r="POJ745" s="303"/>
      <c r="POK745" s="303"/>
      <c r="POL745" s="303"/>
      <c r="POM745" s="303"/>
      <c r="PON745" s="303"/>
      <c r="POO745" s="303"/>
      <c r="POP745" s="303"/>
      <c r="POQ745" s="303"/>
      <c r="POR745" s="303"/>
      <c r="POS745" s="303"/>
      <c r="POT745" s="303"/>
      <c r="POU745" s="303"/>
      <c r="POV745" s="303"/>
      <c r="POW745" s="303"/>
      <c r="POX745" s="303"/>
      <c r="POY745" s="303"/>
      <c r="POZ745" s="303"/>
      <c r="PPA745" s="303"/>
      <c r="PPB745" s="303"/>
      <c r="PPC745" s="303"/>
      <c r="PPD745" s="303"/>
      <c r="PPE745" s="303"/>
      <c r="PPF745" s="303"/>
      <c r="PPG745" s="303"/>
      <c r="PPH745" s="303"/>
      <c r="PPI745" s="303"/>
      <c r="PPJ745" s="303"/>
      <c r="PPK745" s="303"/>
      <c r="PPL745" s="303"/>
      <c r="PPM745" s="303"/>
      <c r="PPN745" s="303"/>
      <c r="PPO745" s="303"/>
      <c r="PPP745" s="303"/>
      <c r="PPQ745" s="303"/>
      <c r="PPR745" s="303"/>
      <c r="PPS745" s="303"/>
      <c r="PPT745" s="303"/>
      <c r="PPU745" s="303"/>
      <c r="PPV745" s="303"/>
      <c r="PPW745" s="303"/>
      <c r="PPX745" s="303"/>
      <c r="PPY745" s="303"/>
      <c r="PPZ745" s="303"/>
      <c r="PQA745" s="303"/>
      <c r="PQB745" s="303"/>
      <c r="PQC745" s="303"/>
      <c r="PQD745" s="303"/>
      <c r="PQE745" s="303"/>
      <c r="PQF745" s="303"/>
      <c r="PQG745" s="303"/>
      <c r="PQH745" s="303"/>
      <c r="PQI745" s="303"/>
      <c r="PQJ745" s="303"/>
      <c r="PQK745" s="303"/>
      <c r="PQL745" s="303"/>
      <c r="PQM745" s="303"/>
      <c r="PQN745" s="303"/>
      <c r="PQO745" s="303"/>
      <c r="PQP745" s="303"/>
      <c r="PQQ745" s="303"/>
      <c r="PQR745" s="303"/>
      <c r="PQS745" s="303"/>
      <c r="PQT745" s="303"/>
      <c r="PQU745" s="303"/>
      <c r="PQV745" s="303"/>
      <c r="PQW745" s="303"/>
      <c r="PQX745" s="303"/>
      <c r="PQY745" s="303"/>
      <c r="PQZ745" s="303"/>
      <c r="PRA745" s="303"/>
      <c r="PRB745" s="303"/>
      <c r="PRC745" s="303"/>
      <c r="PRD745" s="303"/>
      <c r="PRE745" s="303"/>
      <c r="PRF745" s="303"/>
      <c r="PRG745" s="303"/>
      <c r="PRH745" s="303"/>
      <c r="PRI745" s="303"/>
      <c r="PRJ745" s="303"/>
      <c r="PRK745" s="303"/>
      <c r="PRL745" s="303"/>
      <c r="PRM745" s="303"/>
      <c r="PRN745" s="303"/>
      <c r="PRO745" s="303"/>
      <c r="PRP745" s="303"/>
      <c r="PRQ745" s="303"/>
      <c r="PRR745" s="303"/>
      <c r="PRS745" s="303"/>
      <c r="PRT745" s="303"/>
      <c r="PRU745" s="303"/>
      <c r="PRV745" s="303"/>
      <c r="PRW745" s="303"/>
      <c r="PRX745" s="303"/>
      <c r="PRY745" s="303"/>
      <c r="PRZ745" s="303"/>
      <c r="PSA745" s="303"/>
      <c r="PSB745" s="303"/>
      <c r="PSC745" s="303"/>
      <c r="PSD745" s="303"/>
      <c r="PSE745" s="303"/>
      <c r="PSF745" s="303"/>
      <c r="PSG745" s="303"/>
      <c r="PSH745" s="303"/>
      <c r="PSI745" s="303"/>
      <c r="PSJ745" s="303"/>
      <c r="PSK745" s="303"/>
      <c r="PSL745" s="303"/>
      <c r="PSM745" s="303"/>
      <c r="PSN745" s="303"/>
      <c r="PSO745" s="303"/>
      <c r="PSP745" s="303"/>
      <c r="PSQ745" s="303"/>
      <c r="PSR745" s="303"/>
      <c r="PSS745" s="303"/>
      <c r="PST745" s="303"/>
      <c r="PSU745" s="303"/>
      <c r="PSV745" s="303"/>
      <c r="PSW745" s="303"/>
      <c r="PSX745" s="303"/>
      <c r="PSY745" s="303"/>
      <c r="PSZ745" s="303"/>
      <c r="PTA745" s="303"/>
      <c r="PTB745" s="303"/>
      <c r="PTC745" s="303"/>
      <c r="PTD745" s="303"/>
      <c r="PTE745" s="303"/>
      <c r="PTF745" s="303"/>
      <c r="PTG745" s="303"/>
      <c r="PTH745" s="303"/>
      <c r="PTI745" s="303"/>
      <c r="PTJ745" s="303"/>
      <c r="PTK745" s="303"/>
      <c r="PTL745" s="303"/>
      <c r="PTM745" s="303"/>
      <c r="PTN745" s="303"/>
      <c r="PTO745" s="303"/>
      <c r="PTP745" s="303"/>
      <c r="PTQ745" s="303"/>
      <c r="PTR745" s="303"/>
      <c r="PTS745" s="303"/>
      <c r="PTT745" s="303"/>
      <c r="PTU745" s="303"/>
      <c r="PTV745" s="303"/>
      <c r="PTW745" s="303"/>
      <c r="PTX745" s="303"/>
      <c r="PTY745" s="303"/>
      <c r="PTZ745" s="303"/>
      <c r="PUA745" s="303"/>
      <c r="PUB745" s="303"/>
      <c r="PUC745" s="303"/>
      <c r="PUD745" s="303"/>
      <c r="PUE745" s="303"/>
      <c r="PUF745" s="303"/>
      <c r="PUG745" s="303"/>
      <c r="PUH745" s="303"/>
      <c r="PUI745" s="303"/>
      <c r="PUJ745" s="303"/>
      <c r="PUK745" s="303"/>
      <c r="PUL745" s="303"/>
      <c r="PUM745" s="303"/>
      <c r="PUN745" s="303"/>
      <c r="PUO745" s="303"/>
      <c r="PUP745" s="303"/>
      <c r="PUQ745" s="303"/>
      <c r="PUR745" s="303"/>
      <c r="PUS745" s="303"/>
      <c r="PUT745" s="303"/>
      <c r="PUU745" s="303"/>
      <c r="PUV745" s="303"/>
      <c r="PUW745" s="303"/>
      <c r="PUX745" s="303"/>
      <c r="PUY745" s="303"/>
      <c r="PUZ745" s="303"/>
      <c r="PVA745" s="303"/>
      <c r="PVB745" s="303"/>
      <c r="PVC745" s="303"/>
      <c r="PVD745" s="303"/>
      <c r="PVE745" s="303"/>
      <c r="PVF745" s="303"/>
      <c r="PVG745" s="303"/>
      <c r="PVH745" s="303"/>
      <c r="PVI745" s="303"/>
      <c r="PVJ745" s="303"/>
      <c r="PVK745" s="303"/>
      <c r="PVL745" s="303"/>
      <c r="PVM745" s="303"/>
      <c r="PVN745" s="303"/>
      <c r="PVO745" s="303"/>
      <c r="PVP745" s="303"/>
      <c r="PVQ745" s="303"/>
      <c r="PVR745" s="303"/>
      <c r="PVS745" s="303"/>
      <c r="PVT745" s="303"/>
      <c r="PVU745" s="303"/>
      <c r="PVV745" s="303"/>
      <c r="PVW745" s="303"/>
      <c r="PVX745" s="303"/>
      <c r="PVY745" s="303"/>
      <c r="PVZ745" s="303"/>
      <c r="PWA745" s="303"/>
      <c r="PWB745" s="303"/>
      <c r="PWC745" s="303"/>
      <c r="PWD745" s="303"/>
      <c r="PWE745" s="303"/>
      <c r="PWF745" s="303"/>
      <c r="PWG745" s="303"/>
      <c r="PWH745" s="303"/>
      <c r="PWI745" s="303"/>
      <c r="PWJ745" s="303"/>
      <c r="PWK745" s="303"/>
      <c r="PWL745" s="303"/>
      <c r="PWM745" s="303"/>
      <c r="PWN745" s="303"/>
      <c r="PWO745" s="303"/>
      <c r="PWP745" s="303"/>
      <c r="PWQ745" s="303"/>
      <c r="PWR745" s="303"/>
      <c r="PWS745" s="303"/>
      <c r="PWT745" s="303"/>
      <c r="PWU745" s="303"/>
      <c r="PWV745" s="303"/>
      <c r="PWW745" s="303"/>
      <c r="PWX745" s="303"/>
      <c r="PWY745" s="303"/>
      <c r="PWZ745" s="303"/>
      <c r="PXA745" s="303"/>
      <c r="PXB745" s="303"/>
      <c r="PXC745" s="303"/>
      <c r="PXD745" s="303"/>
      <c r="PXE745" s="303"/>
      <c r="PXF745" s="303"/>
      <c r="PXG745" s="303"/>
      <c r="PXH745" s="303"/>
      <c r="PXI745" s="303"/>
      <c r="PXJ745" s="303"/>
      <c r="PXK745" s="303"/>
      <c r="PXL745" s="303"/>
      <c r="PXM745" s="303"/>
      <c r="PXN745" s="303"/>
      <c r="PXO745" s="303"/>
      <c r="PXP745" s="303"/>
      <c r="PXQ745" s="303"/>
      <c r="PXR745" s="303"/>
      <c r="PXS745" s="303"/>
      <c r="PXT745" s="303"/>
      <c r="PXU745" s="303"/>
      <c r="PXV745" s="303"/>
      <c r="PXW745" s="303"/>
      <c r="PXX745" s="303"/>
      <c r="PXY745" s="303"/>
      <c r="PXZ745" s="303"/>
      <c r="PYA745" s="303"/>
      <c r="PYB745" s="303"/>
      <c r="PYC745" s="303"/>
      <c r="PYD745" s="303"/>
      <c r="PYE745" s="303"/>
      <c r="PYF745" s="303"/>
      <c r="PYG745" s="303"/>
      <c r="PYH745" s="303"/>
      <c r="PYI745" s="303"/>
      <c r="PYJ745" s="303"/>
      <c r="PYK745" s="303"/>
      <c r="PYL745" s="303"/>
      <c r="PYM745" s="303"/>
      <c r="PYN745" s="303"/>
      <c r="PYO745" s="303"/>
      <c r="PYP745" s="303"/>
      <c r="PYQ745" s="303"/>
      <c r="PYR745" s="303"/>
      <c r="PYS745" s="303"/>
      <c r="PYT745" s="303"/>
      <c r="PYU745" s="303"/>
      <c r="PYV745" s="303"/>
      <c r="PYW745" s="303"/>
      <c r="PYX745" s="303"/>
      <c r="PYY745" s="303"/>
      <c r="PYZ745" s="303"/>
      <c r="PZA745" s="303"/>
      <c r="PZB745" s="303"/>
      <c r="PZC745" s="303"/>
      <c r="PZD745" s="303"/>
      <c r="PZE745" s="303"/>
      <c r="PZF745" s="303"/>
      <c r="PZG745" s="303"/>
      <c r="PZH745" s="303"/>
      <c r="PZI745" s="303"/>
      <c r="PZJ745" s="303"/>
      <c r="PZK745" s="303"/>
      <c r="PZL745" s="303"/>
      <c r="PZM745" s="303"/>
      <c r="PZN745" s="303"/>
      <c r="PZO745" s="303"/>
      <c r="PZP745" s="303"/>
      <c r="PZQ745" s="303"/>
      <c r="PZR745" s="303"/>
      <c r="PZS745" s="303"/>
      <c r="PZT745" s="303"/>
      <c r="PZU745" s="303"/>
      <c r="PZV745" s="303"/>
      <c r="PZW745" s="303"/>
      <c r="PZX745" s="303"/>
      <c r="PZY745" s="303"/>
      <c r="PZZ745" s="303"/>
      <c r="QAA745" s="303"/>
      <c r="QAB745" s="303"/>
      <c r="QAC745" s="303"/>
      <c r="QAD745" s="303"/>
      <c r="QAE745" s="303"/>
      <c r="QAF745" s="303"/>
      <c r="QAG745" s="303"/>
      <c r="QAH745" s="303"/>
      <c r="QAI745" s="303"/>
      <c r="QAJ745" s="303"/>
      <c r="QAK745" s="303"/>
      <c r="QAL745" s="303"/>
      <c r="QAM745" s="303"/>
      <c r="QAN745" s="303"/>
      <c r="QAO745" s="303"/>
      <c r="QAP745" s="303"/>
      <c r="QAQ745" s="303"/>
      <c r="QAR745" s="303"/>
      <c r="QAS745" s="303"/>
      <c r="QAT745" s="303"/>
      <c r="QAU745" s="303"/>
      <c r="QAV745" s="303"/>
      <c r="QAW745" s="303"/>
      <c r="QAX745" s="303"/>
      <c r="QAY745" s="303"/>
      <c r="QAZ745" s="303"/>
      <c r="QBA745" s="303"/>
      <c r="QBB745" s="303"/>
      <c r="QBC745" s="303"/>
      <c r="QBD745" s="303"/>
      <c r="QBE745" s="303"/>
      <c r="QBF745" s="303"/>
      <c r="QBG745" s="303"/>
      <c r="QBH745" s="303"/>
      <c r="QBI745" s="303"/>
      <c r="QBJ745" s="303"/>
      <c r="QBK745" s="303"/>
      <c r="QBL745" s="303"/>
      <c r="QBM745" s="303"/>
      <c r="QBN745" s="303"/>
      <c r="QBO745" s="303"/>
      <c r="QBP745" s="303"/>
      <c r="QBQ745" s="303"/>
      <c r="QBR745" s="303"/>
      <c r="QBS745" s="303"/>
      <c r="QBT745" s="303"/>
      <c r="QBU745" s="303"/>
      <c r="QBV745" s="303"/>
      <c r="QBW745" s="303"/>
      <c r="QBX745" s="303"/>
      <c r="QBY745" s="303"/>
      <c r="QBZ745" s="303"/>
      <c r="QCA745" s="303"/>
      <c r="QCB745" s="303"/>
      <c r="QCC745" s="303"/>
      <c r="QCD745" s="303"/>
      <c r="QCE745" s="303"/>
      <c r="QCF745" s="303"/>
      <c r="QCG745" s="303"/>
      <c r="QCH745" s="303"/>
      <c r="QCI745" s="303"/>
      <c r="QCJ745" s="303"/>
      <c r="QCK745" s="303"/>
      <c r="QCL745" s="303"/>
      <c r="QCM745" s="303"/>
      <c r="QCN745" s="303"/>
      <c r="QCO745" s="303"/>
      <c r="QCP745" s="303"/>
      <c r="QCQ745" s="303"/>
      <c r="QCR745" s="303"/>
      <c r="QCS745" s="303"/>
      <c r="QCT745" s="303"/>
      <c r="QCU745" s="303"/>
      <c r="QCV745" s="303"/>
      <c r="QCW745" s="303"/>
      <c r="QCX745" s="303"/>
      <c r="QCY745" s="303"/>
      <c r="QCZ745" s="303"/>
      <c r="QDA745" s="303"/>
      <c r="QDB745" s="303"/>
      <c r="QDC745" s="303"/>
      <c r="QDD745" s="303"/>
      <c r="QDE745" s="303"/>
      <c r="QDF745" s="303"/>
      <c r="QDG745" s="303"/>
      <c r="QDH745" s="303"/>
      <c r="QDI745" s="303"/>
      <c r="QDJ745" s="303"/>
      <c r="QDK745" s="303"/>
      <c r="QDL745" s="303"/>
      <c r="QDM745" s="303"/>
      <c r="QDN745" s="303"/>
      <c r="QDO745" s="303"/>
      <c r="QDP745" s="303"/>
      <c r="QDQ745" s="303"/>
      <c r="QDR745" s="303"/>
      <c r="QDS745" s="303"/>
      <c r="QDT745" s="303"/>
      <c r="QDU745" s="303"/>
      <c r="QDV745" s="303"/>
      <c r="QDW745" s="303"/>
      <c r="QDX745" s="303"/>
      <c r="QDY745" s="303"/>
      <c r="QDZ745" s="303"/>
      <c r="QEA745" s="303"/>
      <c r="QEB745" s="303"/>
      <c r="QEC745" s="303"/>
      <c r="QED745" s="303"/>
      <c r="QEE745" s="303"/>
      <c r="QEF745" s="303"/>
      <c r="QEG745" s="303"/>
      <c r="QEH745" s="303"/>
      <c r="QEI745" s="303"/>
      <c r="QEJ745" s="303"/>
      <c r="QEK745" s="303"/>
      <c r="QEL745" s="303"/>
      <c r="QEM745" s="303"/>
      <c r="QEN745" s="303"/>
      <c r="QEO745" s="303"/>
      <c r="QEP745" s="303"/>
      <c r="QEQ745" s="303"/>
      <c r="QER745" s="303"/>
      <c r="QES745" s="303"/>
      <c r="QET745" s="303"/>
      <c r="QEU745" s="303"/>
      <c r="QEV745" s="303"/>
      <c r="QEW745" s="303"/>
      <c r="QEX745" s="303"/>
      <c r="QEY745" s="303"/>
      <c r="QEZ745" s="303"/>
      <c r="QFA745" s="303"/>
      <c r="QFB745" s="303"/>
      <c r="QFC745" s="303"/>
      <c r="QFD745" s="303"/>
      <c r="QFE745" s="303"/>
      <c r="QFF745" s="303"/>
      <c r="QFG745" s="303"/>
      <c r="QFH745" s="303"/>
      <c r="QFI745" s="303"/>
      <c r="QFJ745" s="303"/>
      <c r="QFK745" s="303"/>
      <c r="QFL745" s="303"/>
      <c r="QFM745" s="303"/>
      <c r="QFN745" s="303"/>
      <c r="QFO745" s="303"/>
      <c r="QFP745" s="303"/>
      <c r="QFQ745" s="303"/>
      <c r="QFR745" s="303"/>
      <c r="QFS745" s="303"/>
      <c r="QFT745" s="303"/>
      <c r="QFU745" s="303"/>
      <c r="QFV745" s="303"/>
      <c r="QFW745" s="303"/>
      <c r="QFX745" s="303"/>
      <c r="QFY745" s="303"/>
      <c r="QFZ745" s="303"/>
      <c r="QGA745" s="303"/>
      <c r="QGB745" s="303"/>
      <c r="QGC745" s="303"/>
      <c r="QGD745" s="303"/>
      <c r="QGE745" s="303"/>
      <c r="QGF745" s="303"/>
      <c r="QGG745" s="303"/>
      <c r="QGH745" s="303"/>
      <c r="QGI745" s="303"/>
      <c r="QGJ745" s="303"/>
      <c r="QGK745" s="303"/>
      <c r="QGL745" s="303"/>
      <c r="QGM745" s="303"/>
      <c r="QGN745" s="303"/>
      <c r="QGO745" s="303"/>
      <c r="QGP745" s="303"/>
      <c r="QGQ745" s="303"/>
      <c r="QGR745" s="303"/>
      <c r="QGS745" s="303"/>
      <c r="QGT745" s="303"/>
      <c r="QGU745" s="303"/>
      <c r="QGV745" s="303"/>
      <c r="QGW745" s="303"/>
      <c r="QGX745" s="303"/>
      <c r="QGY745" s="303"/>
      <c r="QGZ745" s="303"/>
      <c r="QHA745" s="303"/>
      <c r="QHB745" s="303"/>
      <c r="QHC745" s="303"/>
      <c r="QHD745" s="303"/>
      <c r="QHE745" s="303"/>
      <c r="QHF745" s="303"/>
      <c r="QHG745" s="303"/>
      <c r="QHH745" s="303"/>
      <c r="QHI745" s="303"/>
      <c r="QHJ745" s="303"/>
      <c r="QHK745" s="303"/>
      <c r="QHL745" s="303"/>
      <c r="QHM745" s="303"/>
      <c r="QHN745" s="303"/>
      <c r="QHO745" s="303"/>
      <c r="QHP745" s="303"/>
      <c r="QHQ745" s="303"/>
      <c r="QHR745" s="303"/>
      <c r="QHS745" s="303"/>
      <c r="QHT745" s="303"/>
      <c r="QHU745" s="303"/>
      <c r="QHV745" s="303"/>
      <c r="QHW745" s="303"/>
      <c r="QHX745" s="303"/>
      <c r="QHY745" s="303"/>
      <c r="QHZ745" s="303"/>
      <c r="QIA745" s="303"/>
      <c r="QIB745" s="303"/>
      <c r="QIC745" s="303"/>
      <c r="QID745" s="303"/>
      <c r="QIE745" s="303"/>
      <c r="QIF745" s="303"/>
      <c r="QIG745" s="303"/>
      <c r="QIH745" s="303"/>
      <c r="QII745" s="303"/>
      <c r="QIJ745" s="303"/>
      <c r="QIK745" s="303"/>
      <c r="QIL745" s="303"/>
      <c r="QIM745" s="303"/>
      <c r="QIN745" s="303"/>
      <c r="QIO745" s="303"/>
      <c r="QIP745" s="303"/>
      <c r="QIQ745" s="303"/>
      <c r="QIR745" s="303"/>
      <c r="QIS745" s="303"/>
      <c r="QIT745" s="303"/>
      <c r="QIU745" s="303"/>
      <c r="QIV745" s="303"/>
      <c r="QIW745" s="303"/>
      <c r="QIX745" s="303"/>
      <c r="QIY745" s="303"/>
      <c r="QIZ745" s="303"/>
      <c r="QJA745" s="303"/>
      <c r="QJB745" s="303"/>
      <c r="QJC745" s="303"/>
      <c r="QJD745" s="303"/>
      <c r="QJE745" s="303"/>
      <c r="QJF745" s="303"/>
      <c r="QJG745" s="303"/>
      <c r="QJH745" s="303"/>
      <c r="QJI745" s="303"/>
      <c r="QJJ745" s="303"/>
      <c r="QJK745" s="303"/>
      <c r="QJL745" s="303"/>
      <c r="QJM745" s="303"/>
      <c r="QJN745" s="303"/>
      <c r="QJO745" s="303"/>
      <c r="QJP745" s="303"/>
      <c r="QJQ745" s="303"/>
      <c r="QJR745" s="303"/>
      <c r="QJS745" s="303"/>
      <c r="QJT745" s="303"/>
      <c r="QJU745" s="303"/>
      <c r="QJV745" s="303"/>
      <c r="QJW745" s="303"/>
      <c r="QJX745" s="303"/>
      <c r="QJY745" s="303"/>
      <c r="QJZ745" s="303"/>
      <c r="QKA745" s="303"/>
      <c r="QKB745" s="303"/>
      <c r="QKC745" s="303"/>
      <c r="QKD745" s="303"/>
      <c r="QKE745" s="303"/>
      <c r="QKF745" s="303"/>
      <c r="QKG745" s="303"/>
      <c r="QKH745" s="303"/>
      <c r="QKI745" s="303"/>
      <c r="QKJ745" s="303"/>
      <c r="QKK745" s="303"/>
      <c r="QKL745" s="303"/>
      <c r="QKM745" s="303"/>
      <c r="QKN745" s="303"/>
      <c r="QKO745" s="303"/>
      <c r="QKP745" s="303"/>
      <c r="QKQ745" s="303"/>
      <c r="QKR745" s="303"/>
      <c r="QKS745" s="303"/>
      <c r="QKT745" s="303"/>
      <c r="QKU745" s="303"/>
      <c r="QKV745" s="303"/>
      <c r="QKW745" s="303"/>
      <c r="QKX745" s="303"/>
      <c r="QKY745" s="303"/>
      <c r="QKZ745" s="303"/>
      <c r="QLA745" s="303"/>
      <c r="QLB745" s="303"/>
      <c r="QLC745" s="303"/>
      <c r="QLD745" s="303"/>
      <c r="QLE745" s="303"/>
      <c r="QLF745" s="303"/>
      <c r="QLG745" s="303"/>
      <c r="QLH745" s="303"/>
      <c r="QLI745" s="303"/>
      <c r="QLJ745" s="303"/>
      <c r="QLK745" s="303"/>
      <c r="QLL745" s="303"/>
      <c r="QLM745" s="303"/>
      <c r="QLN745" s="303"/>
      <c r="QLO745" s="303"/>
      <c r="QLP745" s="303"/>
      <c r="QLQ745" s="303"/>
      <c r="QLR745" s="303"/>
      <c r="QLS745" s="303"/>
      <c r="QLT745" s="303"/>
      <c r="QLU745" s="303"/>
      <c r="QLV745" s="303"/>
      <c r="QLW745" s="303"/>
      <c r="QLX745" s="303"/>
      <c r="QLY745" s="303"/>
      <c r="QLZ745" s="303"/>
      <c r="QMA745" s="303"/>
      <c r="QMB745" s="303"/>
      <c r="QMC745" s="303"/>
      <c r="QMD745" s="303"/>
      <c r="QME745" s="303"/>
      <c r="QMF745" s="303"/>
      <c r="QMG745" s="303"/>
      <c r="QMH745" s="303"/>
      <c r="QMI745" s="303"/>
      <c r="QMJ745" s="303"/>
      <c r="QMK745" s="303"/>
      <c r="QML745" s="303"/>
      <c r="QMM745" s="303"/>
      <c r="QMN745" s="303"/>
      <c r="QMO745" s="303"/>
      <c r="QMP745" s="303"/>
      <c r="QMQ745" s="303"/>
      <c r="QMR745" s="303"/>
      <c r="QMS745" s="303"/>
      <c r="QMT745" s="303"/>
      <c r="QMU745" s="303"/>
      <c r="QMV745" s="303"/>
      <c r="QMW745" s="303"/>
      <c r="QMX745" s="303"/>
      <c r="QMY745" s="303"/>
      <c r="QMZ745" s="303"/>
      <c r="QNA745" s="303"/>
      <c r="QNB745" s="303"/>
      <c r="QNC745" s="303"/>
      <c r="QND745" s="303"/>
      <c r="QNE745" s="303"/>
      <c r="QNF745" s="303"/>
      <c r="QNG745" s="303"/>
      <c r="QNH745" s="303"/>
      <c r="QNI745" s="303"/>
      <c r="QNJ745" s="303"/>
      <c r="QNK745" s="303"/>
      <c r="QNL745" s="303"/>
      <c r="QNM745" s="303"/>
      <c r="QNN745" s="303"/>
      <c r="QNO745" s="303"/>
      <c r="QNP745" s="303"/>
      <c r="QNQ745" s="303"/>
      <c r="QNR745" s="303"/>
      <c r="QNS745" s="303"/>
      <c r="QNT745" s="303"/>
      <c r="QNU745" s="303"/>
      <c r="QNV745" s="303"/>
      <c r="QNW745" s="303"/>
      <c r="QNX745" s="303"/>
      <c r="QNY745" s="303"/>
      <c r="QNZ745" s="303"/>
      <c r="QOA745" s="303"/>
      <c r="QOB745" s="303"/>
      <c r="QOC745" s="303"/>
      <c r="QOD745" s="303"/>
      <c r="QOE745" s="303"/>
      <c r="QOF745" s="303"/>
      <c r="QOG745" s="303"/>
      <c r="QOH745" s="303"/>
      <c r="QOI745" s="303"/>
      <c r="QOJ745" s="303"/>
      <c r="QOK745" s="303"/>
      <c r="QOL745" s="303"/>
      <c r="QOM745" s="303"/>
      <c r="QON745" s="303"/>
      <c r="QOO745" s="303"/>
      <c r="QOP745" s="303"/>
      <c r="QOQ745" s="303"/>
      <c r="QOR745" s="303"/>
      <c r="QOS745" s="303"/>
      <c r="QOT745" s="303"/>
      <c r="QOU745" s="303"/>
      <c r="QOV745" s="303"/>
      <c r="QOW745" s="303"/>
      <c r="QOX745" s="303"/>
      <c r="QOY745" s="303"/>
      <c r="QOZ745" s="303"/>
      <c r="QPA745" s="303"/>
      <c r="QPB745" s="303"/>
      <c r="QPC745" s="303"/>
      <c r="QPD745" s="303"/>
      <c r="QPE745" s="303"/>
      <c r="QPF745" s="303"/>
      <c r="QPG745" s="303"/>
      <c r="QPH745" s="303"/>
      <c r="QPI745" s="303"/>
      <c r="QPJ745" s="303"/>
      <c r="QPK745" s="303"/>
      <c r="QPL745" s="303"/>
      <c r="QPM745" s="303"/>
      <c r="QPN745" s="303"/>
      <c r="QPO745" s="303"/>
      <c r="QPP745" s="303"/>
      <c r="QPQ745" s="303"/>
      <c r="QPR745" s="303"/>
      <c r="QPS745" s="303"/>
      <c r="QPT745" s="303"/>
      <c r="QPU745" s="303"/>
      <c r="QPV745" s="303"/>
      <c r="QPW745" s="303"/>
      <c r="QPX745" s="303"/>
      <c r="QPY745" s="303"/>
      <c r="QPZ745" s="303"/>
      <c r="QQA745" s="303"/>
      <c r="QQB745" s="303"/>
      <c r="QQC745" s="303"/>
      <c r="QQD745" s="303"/>
      <c r="QQE745" s="303"/>
      <c r="QQF745" s="303"/>
      <c r="QQG745" s="303"/>
      <c r="QQH745" s="303"/>
      <c r="QQI745" s="303"/>
      <c r="QQJ745" s="303"/>
      <c r="QQK745" s="303"/>
      <c r="QQL745" s="303"/>
      <c r="QQM745" s="303"/>
      <c r="QQN745" s="303"/>
      <c r="QQO745" s="303"/>
      <c r="QQP745" s="303"/>
      <c r="QQQ745" s="303"/>
      <c r="QQR745" s="303"/>
      <c r="QQS745" s="303"/>
      <c r="QQT745" s="303"/>
      <c r="QQU745" s="303"/>
      <c r="QQV745" s="303"/>
      <c r="QQW745" s="303"/>
      <c r="QQX745" s="303"/>
      <c r="QQY745" s="303"/>
      <c r="QQZ745" s="303"/>
      <c r="QRA745" s="303"/>
      <c r="QRB745" s="303"/>
      <c r="QRC745" s="303"/>
      <c r="QRD745" s="303"/>
      <c r="QRE745" s="303"/>
      <c r="QRF745" s="303"/>
      <c r="QRG745" s="303"/>
      <c r="QRH745" s="303"/>
      <c r="QRI745" s="303"/>
      <c r="QRJ745" s="303"/>
      <c r="QRK745" s="303"/>
      <c r="QRL745" s="303"/>
      <c r="QRM745" s="303"/>
      <c r="QRN745" s="303"/>
      <c r="QRO745" s="303"/>
      <c r="QRP745" s="303"/>
      <c r="QRQ745" s="303"/>
      <c r="QRR745" s="303"/>
      <c r="QRS745" s="303"/>
      <c r="QRT745" s="303"/>
      <c r="QRU745" s="303"/>
      <c r="QRV745" s="303"/>
      <c r="QRW745" s="303"/>
      <c r="QRX745" s="303"/>
      <c r="QRY745" s="303"/>
      <c r="QRZ745" s="303"/>
      <c r="QSA745" s="303"/>
      <c r="QSB745" s="303"/>
      <c r="QSC745" s="303"/>
      <c r="QSD745" s="303"/>
      <c r="QSE745" s="303"/>
      <c r="QSF745" s="303"/>
      <c r="QSG745" s="303"/>
      <c r="QSH745" s="303"/>
      <c r="QSI745" s="303"/>
      <c r="QSJ745" s="303"/>
      <c r="QSK745" s="303"/>
      <c r="QSL745" s="303"/>
      <c r="QSM745" s="303"/>
      <c r="QSN745" s="303"/>
      <c r="QSO745" s="303"/>
      <c r="QSP745" s="303"/>
      <c r="QSQ745" s="303"/>
      <c r="QSR745" s="303"/>
      <c r="QSS745" s="303"/>
      <c r="QST745" s="303"/>
      <c r="QSU745" s="303"/>
      <c r="QSV745" s="303"/>
      <c r="QSW745" s="303"/>
      <c r="QSX745" s="303"/>
      <c r="QSY745" s="303"/>
      <c r="QSZ745" s="303"/>
      <c r="QTA745" s="303"/>
      <c r="QTB745" s="303"/>
      <c r="QTC745" s="303"/>
      <c r="QTD745" s="303"/>
      <c r="QTE745" s="303"/>
      <c r="QTF745" s="303"/>
      <c r="QTG745" s="303"/>
      <c r="QTH745" s="303"/>
      <c r="QTI745" s="303"/>
      <c r="QTJ745" s="303"/>
      <c r="QTK745" s="303"/>
      <c r="QTL745" s="303"/>
      <c r="QTM745" s="303"/>
      <c r="QTN745" s="303"/>
      <c r="QTO745" s="303"/>
      <c r="QTP745" s="303"/>
      <c r="QTQ745" s="303"/>
      <c r="QTR745" s="303"/>
      <c r="QTS745" s="303"/>
      <c r="QTT745" s="303"/>
      <c r="QTU745" s="303"/>
      <c r="QTV745" s="303"/>
      <c r="QTW745" s="303"/>
      <c r="QTX745" s="303"/>
      <c r="QTY745" s="303"/>
      <c r="QTZ745" s="303"/>
      <c r="QUA745" s="303"/>
      <c r="QUB745" s="303"/>
      <c r="QUC745" s="303"/>
      <c r="QUD745" s="303"/>
      <c r="QUE745" s="303"/>
      <c r="QUF745" s="303"/>
      <c r="QUG745" s="303"/>
      <c r="QUH745" s="303"/>
      <c r="QUI745" s="303"/>
      <c r="QUJ745" s="303"/>
      <c r="QUK745" s="303"/>
      <c r="QUL745" s="303"/>
      <c r="QUM745" s="303"/>
      <c r="QUN745" s="303"/>
      <c r="QUO745" s="303"/>
      <c r="QUP745" s="303"/>
      <c r="QUQ745" s="303"/>
      <c r="QUR745" s="303"/>
      <c r="QUS745" s="303"/>
      <c r="QUT745" s="303"/>
      <c r="QUU745" s="303"/>
      <c r="QUV745" s="303"/>
      <c r="QUW745" s="303"/>
      <c r="QUX745" s="303"/>
      <c r="QUY745" s="303"/>
      <c r="QUZ745" s="303"/>
      <c r="QVA745" s="303"/>
      <c r="QVB745" s="303"/>
      <c r="QVC745" s="303"/>
      <c r="QVD745" s="303"/>
      <c r="QVE745" s="303"/>
      <c r="QVF745" s="303"/>
      <c r="QVG745" s="303"/>
      <c r="QVH745" s="303"/>
      <c r="QVI745" s="303"/>
      <c r="QVJ745" s="303"/>
      <c r="QVK745" s="303"/>
      <c r="QVL745" s="303"/>
      <c r="QVM745" s="303"/>
      <c r="QVN745" s="303"/>
      <c r="QVO745" s="303"/>
      <c r="QVP745" s="303"/>
      <c r="QVQ745" s="303"/>
      <c r="QVR745" s="303"/>
      <c r="QVS745" s="303"/>
      <c r="QVT745" s="303"/>
      <c r="QVU745" s="303"/>
      <c r="QVV745" s="303"/>
      <c r="QVW745" s="303"/>
      <c r="QVX745" s="303"/>
      <c r="QVY745" s="303"/>
      <c r="QVZ745" s="303"/>
      <c r="QWA745" s="303"/>
      <c r="QWB745" s="303"/>
      <c r="QWC745" s="303"/>
      <c r="QWD745" s="303"/>
      <c r="QWE745" s="303"/>
      <c r="QWF745" s="303"/>
      <c r="QWG745" s="303"/>
      <c r="QWH745" s="303"/>
      <c r="QWI745" s="303"/>
      <c r="QWJ745" s="303"/>
      <c r="QWK745" s="303"/>
      <c r="QWL745" s="303"/>
      <c r="QWM745" s="303"/>
      <c r="QWN745" s="303"/>
      <c r="QWO745" s="303"/>
      <c r="QWP745" s="303"/>
      <c r="QWQ745" s="303"/>
      <c r="QWR745" s="303"/>
      <c r="QWS745" s="303"/>
      <c r="QWT745" s="303"/>
      <c r="QWU745" s="303"/>
      <c r="QWV745" s="303"/>
      <c r="QWW745" s="303"/>
      <c r="QWX745" s="303"/>
      <c r="QWY745" s="303"/>
      <c r="QWZ745" s="303"/>
      <c r="QXA745" s="303"/>
      <c r="QXB745" s="303"/>
      <c r="QXC745" s="303"/>
      <c r="QXD745" s="303"/>
      <c r="QXE745" s="303"/>
      <c r="QXF745" s="303"/>
      <c r="QXG745" s="303"/>
      <c r="QXH745" s="303"/>
      <c r="QXI745" s="303"/>
      <c r="QXJ745" s="303"/>
      <c r="QXK745" s="303"/>
      <c r="QXL745" s="303"/>
      <c r="QXM745" s="303"/>
      <c r="QXN745" s="303"/>
      <c r="QXO745" s="303"/>
      <c r="QXP745" s="303"/>
      <c r="QXQ745" s="303"/>
      <c r="QXR745" s="303"/>
      <c r="QXS745" s="303"/>
      <c r="QXT745" s="303"/>
      <c r="QXU745" s="303"/>
      <c r="QXV745" s="303"/>
      <c r="QXW745" s="303"/>
      <c r="QXX745" s="303"/>
      <c r="QXY745" s="303"/>
      <c r="QXZ745" s="303"/>
      <c r="QYA745" s="303"/>
      <c r="QYB745" s="303"/>
      <c r="QYC745" s="303"/>
      <c r="QYD745" s="303"/>
      <c r="QYE745" s="303"/>
      <c r="QYF745" s="303"/>
      <c r="QYG745" s="303"/>
      <c r="QYH745" s="303"/>
      <c r="QYI745" s="303"/>
      <c r="QYJ745" s="303"/>
      <c r="QYK745" s="303"/>
      <c r="QYL745" s="303"/>
      <c r="QYM745" s="303"/>
      <c r="QYN745" s="303"/>
      <c r="QYO745" s="303"/>
      <c r="QYP745" s="303"/>
      <c r="QYQ745" s="303"/>
      <c r="QYR745" s="303"/>
      <c r="QYS745" s="303"/>
      <c r="QYT745" s="303"/>
      <c r="QYU745" s="303"/>
      <c r="QYV745" s="303"/>
      <c r="QYW745" s="303"/>
      <c r="QYX745" s="303"/>
      <c r="QYY745" s="303"/>
      <c r="QYZ745" s="303"/>
      <c r="QZA745" s="303"/>
      <c r="QZB745" s="303"/>
      <c r="QZC745" s="303"/>
      <c r="QZD745" s="303"/>
      <c r="QZE745" s="303"/>
      <c r="QZF745" s="303"/>
      <c r="QZG745" s="303"/>
      <c r="QZH745" s="303"/>
      <c r="QZI745" s="303"/>
      <c r="QZJ745" s="303"/>
      <c r="QZK745" s="303"/>
      <c r="QZL745" s="303"/>
      <c r="QZM745" s="303"/>
      <c r="QZN745" s="303"/>
      <c r="QZO745" s="303"/>
      <c r="QZP745" s="303"/>
      <c r="QZQ745" s="303"/>
      <c r="QZR745" s="303"/>
      <c r="QZS745" s="303"/>
      <c r="QZT745" s="303"/>
      <c r="QZU745" s="303"/>
      <c r="QZV745" s="303"/>
      <c r="QZW745" s="303"/>
      <c r="QZX745" s="303"/>
      <c r="QZY745" s="303"/>
      <c r="QZZ745" s="303"/>
      <c r="RAA745" s="303"/>
      <c r="RAB745" s="303"/>
      <c r="RAC745" s="303"/>
      <c r="RAD745" s="303"/>
      <c r="RAE745" s="303"/>
      <c r="RAF745" s="303"/>
      <c r="RAG745" s="303"/>
      <c r="RAH745" s="303"/>
      <c r="RAI745" s="303"/>
      <c r="RAJ745" s="303"/>
      <c r="RAK745" s="303"/>
      <c r="RAL745" s="303"/>
      <c r="RAM745" s="303"/>
      <c r="RAN745" s="303"/>
      <c r="RAO745" s="303"/>
      <c r="RAP745" s="303"/>
      <c r="RAQ745" s="303"/>
      <c r="RAR745" s="303"/>
      <c r="RAS745" s="303"/>
      <c r="RAT745" s="303"/>
      <c r="RAU745" s="303"/>
      <c r="RAV745" s="303"/>
      <c r="RAW745" s="303"/>
      <c r="RAX745" s="303"/>
      <c r="RAY745" s="303"/>
      <c r="RAZ745" s="303"/>
      <c r="RBA745" s="303"/>
      <c r="RBB745" s="303"/>
      <c r="RBC745" s="303"/>
      <c r="RBD745" s="303"/>
      <c r="RBE745" s="303"/>
      <c r="RBF745" s="303"/>
      <c r="RBG745" s="303"/>
      <c r="RBH745" s="303"/>
      <c r="RBI745" s="303"/>
      <c r="RBJ745" s="303"/>
      <c r="RBK745" s="303"/>
      <c r="RBL745" s="303"/>
      <c r="RBM745" s="303"/>
      <c r="RBN745" s="303"/>
      <c r="RBO745" s="303"/>
      <c r="RBP745" s="303"/>
      <c r="RBQ745" s="303"/>
      <c r="RBR745" s="303"/>
      <c r="RBS745" s="303"/>
      <c r="RBT745" s="303"/>
      <c r="RBU745" s="303"/>
      <c r="RBV745" s="303"/>
      <c r="RBW745" s="303"/>
      <c r="RBX745" s="303"/>
      <c r="RBY745" s="303"/>
      <c r="RBZ745" s="303"/>
      <c r="RCA745" s="303"/>
      <c r="RCB745" s="303"/>
      <c r="RCC745" s="303"/>
      <c r="RCD745" s="303"/>
      <c r="RCE745" s="303"/>
      <c r="RCF745" s="303"/>
      <c r="RCG745" s="303"/>
      <c r="RCH745" s="303"/>
      <c r="RCI745" s="303"/>
      <c r="RCJ745" s="303"/>
      <c r="RCK745" s="303"/>
      <c r="RCL745" s="303"/>
      <c r="RCM745" s="303"/>
      <c r="RCN745" s="303"/>
      <c r="RCO745" s="303"/>
      <c r="RCP745" s="303"/>
      <c r="RCQ745" s="303"/>
      <c r="RCR745" s="303"/>
      <c r="RCS745" s="303"/>
      <c r="RCT745" s="303"/>
      <c r="RCU745" s="303"/>
      <c r="RCV745" s="303"/>
      <c r="RCW745" s="303"/>
      <c r="RCX745" s="303"/>
      <c r="RCY745" s="303"/>
      <c r="RCZ745" s="303"/>
      <c r="RDA745" s="303"/>
      <c r="RDB745" s="303"/>
      <c r="RDC745" s="303"/>
      <c r="RDD745" s="303"/>
      <c r="RDE745" s="303"/>
      <c r="RDF745" s="303"/>
      <c r="RDG745" s="303"/>
      <c r="RDH745" s="303"/>
      <c r="RDI745" s="303"/>
      <c r="RDJ745" s="303"/>
      <c r="RDK745" s="303"/>
      <c r="RDL745" s="303"/>
      <c r="RDM745" s="303"/>
      <c r="RDN745" s="303"/>
      <c r="RDO745" s="303"/>
      <c r="RDP745" s="303"/>
      <c r="RDQ745" s="303"/>
      <c r="RDR745" s="303"/>
      <c r="RDS745" s="303"/>
      <c r="RDT745" s="303"/>
      <c r="RDU745" s="303"/>
      <c r="RDV745" s="303"/>
      <c r="RDW745" s="303"/>
      <c r="RDX745" s="303"/>
      <c r="RDY745" s="303"/>
      <c r="RDZ745" s="303"/>
      <c r="REA745" s="303"/>
      <c r="REB745" s="303"/>
      <c r="REC745" s="303"/>
      <c r="RED745" s="303"/>
      <c r="REE745" s="303"/>
      <c r="REF745" s="303"/>
      <c r="REG745" s="303"/>
      <c r="REH745" s="303"/>
      <c r="REI745" s="303"/>
      <c r="REJ745" s="303"/>
      <c r="REK745" s="303"/>
      <c r="REL745" s="303"/>
      <c r="REM745" s="303"/>
      <c r="REN745" s="303"/>
      <c r="REO745" s="303"/>
      <c r="REP745" s="303"/>
      <c r="REQ745" s="303"/>
      <c r="RER745" s="303"/>
      <c r="RES745" s="303"/>
      <c r="RET745" s="303"/>
      <c r="REU745" s="303"/>
      <c r="REV745" s="303"/>
      <c r="REW745" s="303"/>
      <c r="REX745" s="303"/>
      <c r="REY745" s="303"/>
      <c r="REZ745" s="303"/>
      <c r="RFA745" s="303"/>
      <c r="RFB745" s="303"/>
      <c r="RFC745" s="303"/>
      <c r="RFD745" s="303"/>
      <c r="RFE745" s="303"/>
      <c r="RFF745" s="303"/>
      <c r="RFG745" s="303"/>
      <c r="RFH745" s="303"/>
      <c r="RFI745" s="303"/>
      <c r="RFJ745" s="303"/>
      <c r="RFK745" s="303"/>
      <c r="RFL745" s="303"/>
      <c r="RFM745" s="303"/>
      <c r="RFN745" s="303"/>
      <c r="RFO745" s="303"/>
      <c r="RFP745" s="303"/>
      <c r="RFQ745" s="303"/>
      <c r="RFR745" s="303"/>
      <c r="RFS745" s="303"/>
      <c r="RFT745" s="303"/>
      <c r="RFU745" s="303"/>
      <c r="RFV745" s="303"/>
      <c r="RFW745" s="303"/>
      <c r="RFX745" s="303"/>
      <c r="RFY745" s="303"/>
      <c r="RFZ745" s="303"/>
      <c r="RGA745" s="303"/>
      <c r="RGB745" s="303"/>
      <c r="RGC745" s="303"/>
      <c r="RGD745" s="303"/>
      <c r="RGE745" s="303"/>
      <c r="RGF745" s="303"/>
      <c r="RGG745" s="303"/>
      <c r="RGH745" s="303"/>
      <c r="RGI745" s="303"/>
      <c r="RGJ745" s="303"/>
      <c r="RGK745" s="303"/>
      <c r="RGL745" s="303"/>
      <c r="RGM745" s="303"/>
      <c r="RGN745" s="303"/>
      <c r="RGO745" s="303"/>
      <c r="RGP745" s="303"/>
      <c r="RGQ745" s="303"/>
      <c r="RGR745" s="303"/>
      <c r="RGS745" s="303"/>
      <c r="RGT745" s="303"/>
      <c r="RGU745" s="303"/>
      <c r="RGV745" s="303"/>
      <c r="RGW745" s="303"/>
      <c r="RGX745" s="303"/>
      <c r="RGY745" s="303"/>
      <c r="RGZ745" s="303"/>
      <c r="RHA745" s="303"/>
      <c r="RHB745" s="303"/>
      <c r="RHC745" s="303"/>
      <c r="RHD745" s="303"/>
      <c r="RHE745" s="303"/>
      <c r="RHF745" s="303"/>
      <c r="RHG745" s="303"/>
      <c r="RHH745" s="303"/>
      <c r="RHI745" s="303"/>
      <c r="RHJ745" s="303"/>
      <c r="RHK745" s="303"/>
      <c r="RHL745" s="303"/>
      <c r="RHM745" s="303"/>
      <c r="RHN745" s="303"/>
      <c r="RHO745" s="303"/>
      <c r="RHP745" s="303"/>
      <c r="RHQ745" s="303"/>
      <c r="RHR745" s="303"/>
      <c r="RHS745" s="303"/>
      <c r="RHT745" s="303"/>
      <c r="RHU745" s="303"/>
      <c r="RHV745" s="303"/>
      <c r="RHW745" s="303"/>
      <c r="RHX745" s="303"/>
      <c r="RHY745" s="303"/>
      <c r="RHZ745" s="303"/>
      <c r="RIA745" s="303"/>
      <c r="RIB745" s="303"/>
      <c r="RIC745" s="303"/>
      <c r="RID745" s="303"/>
      <c r="RIE745" s="303"/>
      <c r="RIF745" s="303"/>
      <c r="RIG745" s="303"/>
      <c r="RIH745" s="303"/>
      <c r="RII745" s="303"/>
      <c r="RIJ745" s="303"/>
      <c r="RIK745" s="303"/>
      <c r="RIL745" s="303"/>
      <c r="RIM745" s="303"/>
      <c r="RIN745" s="303"/>
      <c r="RIO745" s="303"/>
      <c r="RIP745" s="303"/>
      <c r="RIQ745" s="303"/>
      <c r="RIR745" s="303"/>
      <c r="RIS745" s="303"/>
      <c r="RIT745" s="303"/>
      <c r="RIU745" s="303"/>
      <c r="RIV745" s="303"/>
      <c r="RIW745" s="303"/>
      <c r="RIX745" s="303"/>
      <c r="RIY745" s="303"/>
      <c r="RIZ745" s="303"/>
      <c r="RJA745" s="303"/>
      <c r="RJB745" s="303"/>
      <c r="RJC745" s="303"/>
      <c r="RJD745" s="303"/>
      <c r="RJE745" s="303"/>
      <c r="RJF745" s="303"/>
      <c r="RJG745" s="303"/>
      <c r="RJH745" s="303"/>
      <c r="RJI745" s="303"/>
      <c r="RJJ745" s="303"/>
      <c r="RJK745" s="303"/>
      <c r="RJL745" s="303"/>
      <c r="RJM745" s="303"/>
      <c r="RJN745" s="303"/>
      <c r="RJO745" s="303"/>
      <c r="RJP745" s="303"/>
      <c r="RJQ745" s="303"/>
      <c r="RJR745" s="303"/>
      <c r="RJS745" s="303"/>
      <c r="RJT745" s="303"/>
      <c r="RJU745" s="303"/>
      <c r="RJV745" s="303"/>
      <c r="RJW745" s="303"/>
      <c r="RJX745" s="303"/>
      <c r="RJY745" s="303"/>
      <c r="RJZ745" s="303"/>
      <c r="RKA745" s="303"/>
      <c r="RKB745" s="303"/>
      <c r="RKC745" s="303"/>
      <c r="RKD745" s="303"/>
      <c r="RKE745" s="303"/>
      <c r="RKF745" s="303"/>
      <c r="RKG745" s="303"/>
      <c r="RKH745" s="303"/>
      <c r="RKI745" s="303"/>
      <c r="RKJ745" s="303"/>
      <c r="RKK745" s="303"/>
      <c r="RKL745" s="303"/>
      <c r="RKM745" s="303"/>
      <c r="RKN745" s="303"/>
      <c r="RKO745" s="303"/>
      <c r="RKP745" s="303"/>
      <c r="RKQ745" s="303"/>
      <c r="RKR745" s="303"/>
      <c r="RKS745" s="303"/>
      <c r="RKT745" s="303"/>
      <c r="RKU745" s="303"/>
      <c r="RKV745" s="303"/>
      <c r="RKW745" s="303"/>
      <c r="RKX745" s="303"/>
      <c r="RKY745" s="303"/>
      <c r="RKZ745" s="303"/>
      <c r="RLA745" s="303"/>
      <c r="RLB745" s="303"/>
      <c r="RLC745" s="303"/>
      <c r="RLD745" s="303"/>
      <c r="RLE745" s="303"/>
      <c r="RLF745" s="303"/>
      <c r="RLG745" s="303"/>
      <c r="RLH745" s="303"/>
      <c r="RLI745" s="303"/>
      <c r="RLJ745" s="303"/>
      <c r="RLK745" s="303"/>
      <c r="RLL745" s="303"/>
      <c r="RLM745" s="303"/>
      <c r="RLN745" s="303"/>
      <c r="RLO745" s="303"/>
      <c r="RLP745" s="303"/>
      <c r="RLQ745" s="303"/>
      <c r="RLR745" s="303"/>
      <c r="RLS745" s="303"/>
      <c r="RLT745" s="303"/>
      <c r="RLU745" s="303"/>
      <c r="RLV745" s="303"/>
      <c r="RLW745" s="303"/>
      <c r="RLX745" s="303"/>
      <c r="RLY745" s="303"/>
      <c r="RLZ745" s="303"/>
      <c r="RMA745" s="303"/>
      <c r="RMB745" s="303"/>
      <c r="RMC745" s="303"/>
      <c r="RMD745" s="303"/>
      <c r="RME745" s="303"/>
      <c r="RMF745" s="303"/>
      <c r="RMG745" s="303"/>
      <c r="RMH745" s="303"/>
      <c r="RMI745" s="303"/>
      <c r="RMJ745" s="303"/>
      <c r="RMK745" s="303"/>
      <c r="RML745" s="303"/>
      <c r="RMM745" s="303"/>
      <c r="RMN745" s="303"/>
      <c r="RMO745" s="303"/>
      <c r="RMP745" s="303"/>
      <c r="RMQ745" s="303"/>
      <c r="RMR745" s="303"/>
      <c r="RMS745" s="303"/>
      <c r="RMT745" s="303"/>
      <c r="RMU745" s="303"/>
      <c r="RMV745" s="303"/>
      <c r="RMW745" s="303"/>
      <c r="RMX745" s="303"/>
      <c r="RMY745" s="303"/>
      <c r="RMZ745" s="303"/>
      <c r="RNA745" s="303"/>
      <c r="RNB745" s="303"/>
      <c r="RNC745" s="303"/>
      <c r="RND745" s="303"/>
      <c r="RNE745" s="303"/>
      <c r="RNF745" s="303"/>
      <c r="RNG745" s="303"/>
      <c r="RNH745" s="303"/>
      <c r="RNI745" s="303"/>
      <c r="RNJ745" s="303"/>
      <c r="RNK745" s="303"/>
      <c r="RNL745" s="303"/>
      <c r="RNM745" s="303"/>
      <c r="RNN745" s="303"/>
      <c r="RNO745" s="303"/>
      <c r="RNP745" s="303"/>
      <c r="RNQ745" s="303"/>
      <c r="RNR745" s="303"/>
      <c r="RNS745" s="303"/>
      <c r="RNT745" s="303"/>
      <c r="RNU745" s="303"/>
      <c r="RNV745" s="303"/>
      <c r="RNW745" s="303"/>
      <c r="RNX745" s="303"/>
      <c r="RNY745" s="303"/>
      <c r="RNZ745" s="303"/>
      <c r="ROA745" s="303"/>
      <c r="ROB745" s="303"/>
      <c r="ROC745" s="303"/>
      <c r="ROD745" s="303"/>
      <c r="ROE745" s="303"/>
      <c r="ROF745" s="303"/>
      <c r="ROG745" s="303"/>
      <c r="ROH745" s="303"/>
      <c r="ROI745" s="303"/>
      <c r="ROJ745" s="303"/>
      <c r="ROK745" s="303"/>
      <c r="ROL745" s="303"/>
      <c r="ROM745" s="303"/>
      <c r="RON745" s="303"/>
      <c r="ROO745" s="303"/>
      <c r="ROP745" s="303"/>
      <c r="ROQ745" s="303"/>
      <c r="ROR745" s="303"/>
      <c r="ROS745" s="303"/>
      <c r="ROT745" s="303"/>
      <c r="ROU745" s="303"/>
      <c r="ROV745" s="303"/>
      <c r="ROW745" s="303"/>
      <c r="ROX745" s="303"/>
      <c r="ROY745" s="303"/>
      <c r="ROZ745" s="303"/>
      <c r="RPA745" s="303"/>
      <c r="RPB745" s="303"/>
      <c r="RPC745" s="303"/>
      <c r="RPD745" s="303"/>
      <c r="RPE745" s="303"/>
      <c r="RPF745" s="303"/>
      <c r="RPG745" s="303"/>
      <c r="RPH745" s="303"/>
      <c r="RPI745" s="303"/>
      <c r="RPJ745" s="303"/>
      <c r="RPK745" s="303"/>
      <c r="RPL745" s="303"/>
      <c r="RPM745" s="303"/>
      <c r="RPN745" s="303"/>
      <c r="RPO745" s="303"/>
      <c r="RPP745" s="303"/>
      <c r="RPQ745" s="303"/>
      <c r="RPR745" s="303"/>
      <c r="RPS745" s="303"/>
      <c r="RPT745" s="303"/>
      <c r="RPU745" s="303"/>
      <c r="RPV745" s="303"/>
      <c r="RPW745" s="303"/>
      <c r="RPX745" s="303"/>
      <c r="RPY745" s="303"/>
      <c r="RPZ745" s="303"/>
      <c r="RQA745" s="303"/>
      <c r="RQB745" s="303"/>
      <c r="RQC745" s="303"/>
      <c r="RQD745" s="303"/>
      <c r="RQE745" s="303"/>
      <c r="RQF745" s="303"/>
      <c r="RQG745" s="303"/>
      <c r="RQH745" s="303"/>
      <c r="RQI745" s="303"/>
      <c r="RQJ745" s="303"/>
      <c r="RQK745" s="303"/>
      <c r="RQL745" s="303"/>
      <c r="RQM745" s="303"/>
      <c r="RQN745" s="303"/>
      <c r="RQO745" s="303"/>
      <c r="RQP745" s="303"/>
      <c r="RQQ745" s="303"/>
      <c r="RQR745" s="303"/>
      <c r="RQS745" s="303"/>
      <c r="RQT745" s="303"/>
      <c r="RQU745" s="303"/>
      <c r="RQV745" s="303"/>
      <c r="RQW745" s="303"/>
      <c r="RQX745" s="303"/>
      <c r="RQY745" s="303"/>
      <c r="RQZ745" s="303"/>
      <c r="RRA745" s="303"/>
      <c r="RRB745" s="303"/>
      <c r="RRC745" s="303"/>
      <c r="RRD745" s="303"/>
      <c r="RRE745" s="303"/>
      <c r="RRF745" s="303"/>
      <c r="RRG745" s="303"/>
      <c r="RRH745" s="303"/>
      <c r="RRI745" s="303"/>
      <c r="RRJ745" s="303"/>
      <c r="RRK745" s="303"/>
      <c r="RRL745" s="303"/>
      <c r="RRM745" s="303"/>
      <c r="RRN745" s="303"/>
      <c r="RRO745" s="303"/>
      <c r="RRP745" s="303"/>
      <c r="RRQ745" s="303"/>
      <c r="RRR745" s="303"/>
      <c r="RRS745" s="303"/>
      <c r="RRT745" s="303"/>
      <c r="RRU745" s="303"/>
      <c r="RRV745" s="303"/>
      <c r="RRW745" s="303"/>
      <c r="RRX745" s="303"/>
      <c r="RRY745" s="303"/>
      <c r="RRZ745" s="303"/>
      <c r="RSA745" s="303"/>
      <c r="RSB745" s="303"/>
      <c r="RSC745" s="303"/>
      <c r="RSD745" s="303"/>
      <c r="RSE745" s="303"/>
      <c r="RSF745" s="303"/>
      <c r="RSG745" s="303"/>
      <c r="RSH745" s="303"/>
      <c r="RSI745" s="303"/>
      <c r="RSJ745" s="303"/>
      <c r="RSK745" s="303"/>
      <c r="RSL745" s="303"/>
      <c r="RSM745" s="303"/>
      <c r="RSN745" s="303"/>
      <c r="RSO745" s="303"/>
      <c r="RSP745" s="303"/>
      <c r="RSQ745" s="303"/>
      <c r="RSR745" s="303"/>
      <c r="RSS745" s="303"/>
      <c r="RST745" s="303"/>
      <c r="RSU745" s="303"/>
      <c r="RSV745" s="303"/>
      <c r="RSW745" s="303"/>
      <c r="RSX745" s="303"/>
      <c r="RSY745" s="303"/>
      <c r="RSZ745" s="303"/>
      <c r="RTA745" s="303"/>
      <c r="RTB745" s="303"/>
      <c r="RTC745" s="303"/>
      <c r="RTD745" s="303"/>
      <c r="RTE745" s="303"/>
      <c r="RTF745" s="303"/>
      <c r="RTG745" s="303"/>
      <c r="RTH745" s="303"/>
      <c r="RTI745" s="303"/>
      <c r="RTJ745" s="303"/>
      <c r="RTK745" s="303"/>
      <c r="RTL745" s="303"/>
      <c r="RTM745" s="303"/>
      <c r="RTN745" s="303"/>
      <c r="RTO745" s="303"/>
      <c r="RTP745" s="303"/>
      <c r="RTQ745" s="303"/>
      <c r="RTR745" s="303"/>
      <c r="RTS745" s="303"/>
      <c r="RTT745" s="303"/>
      <c r="RTU745" s="303"/>
      <c r="RTV745" s="303"/>
      <c r="RTW745" s="303"/>
      <c r="RTX745" s="303"/>
      <c r="RTY745" s="303"/>
      <c r="RTZ745" s="303"/>
      <c r="RUA745" s="303"/>
      <c r="RUB745" s="303"/>
      <c r="RUC745" s="303"/>
      <c r="RUD745" s="303"/>
      <c r="RUE745" s="303"/>
      <c r="RUF745" s="303"/>
      <c r="RUG745" s="303"/>
      <c r="RUH745" s="303"/>
      <c r="RUI745" s="303"/>
      <c r="RUJ745" s="303"/>
      <c r="RUK745" s="303"/>
      <c r="RUL745" s="303"/>
      <c r="RUM745" s="303"/>
      <c r="RUN745" s="303"/>
      <c r="RUO745" s="303"/>
      <c r="RUP745" s="303"/>
      <c r="RUQ745" s="303"/>
      <c r="RUR745" s="303"/>
      <c r="RUS745" s="303"/>
      <c r="RUT745" s="303"/>
      <c r="RUU745" s="303"/>
      <c r="RUV745" s="303"/>
      <c r="RUW745" s="303"/>
      <c r="RUX745" s="303"/>
      <c r="RUY745" s="303"/>
      <c r="RUZ745" s="303"/>
      <c r="RVA745" s="303"/>
      <c r="RVB745" s="303"/>
      <c r="RVC745" s="303"/>
      <c r="RVD745" s="303"/>
      <c r="RVE745" s="303"/>
      <c r="RVF745" s="303"/>
      <c r="RVG745" s="303"/>
      <c r="RVH745" s="303"/>
      <c r="RVI745" s="303"/>
      <c r="RVJ745" s="303"/>
      <c r="RVK745" s="303"/>
      <c r="RVL745" s="303"/>
      <c r="RVM745" s="303"/>
      <c r="RVN745" s="303"/>
      <c r="RVO745" s="303"/>
      <c r="RVP745" s="303"/>
      <c r="RVQ745" s="303"/>
      <c r="RVR745" s="303"/>
      <c r="RVS745" s="303"/>
      <c r="RVT745" s="303"/>
      <c r="RVU745" s="303"/>
      <c r="RVV745" s="303"/>
      <c r="RVW745" s="303"/>
      <c r="RVX745" s="303"/>
      <c r="RVY745" s="303"/>
      <c r="RVZ745" s="303"/>
      <c r="RWA745" s="303"/>
      <c r="RWB745" s="303"/>
      <c r="RWC745" s="303"/>
      <c r="RWD745" s="303"/>
      <c r="RWE745" s="303"/>
      <c r="RWF745" s="303"/>
      <c r="RWG745" s="303"/>
      <c r="RWH745" s="303"/>
      <c r="RWI745" s="303"/>
      <c r="RWJ745" s="303"/>
      <c r="RWK745" s="303"/>
      <c r="RWL745" s="303"/>
      <c r="RWM745" s="303"/>
      <c r="RWN745" s="303"/>
      <c r="RWO745" s="303"/>
      <c r="RWP745" s="303"/>
      <c r="RWQ745" s="303"/>
      <c r="RWR745" s="303"/>
      <c r="RWS745" s="303"/>
      <c r="RWT745" s="303"/>
      <c r="RWU745" s="303"/>
      <c r="RWV745" s="303"/>
      <c r="RWW745" s="303"/>
      <c r="RWX745" s="303"/>
      <c r="RWY745" s="303"/>
      <c r="RWZ745" s="303"/>
      <c r="RXA745" s="303"/>
      <c r="RXB745" s="303"/>
      <c r="RXC745" s="303"/>
      <c r="RXD745" s="303"/>
      <c r="RXE745" s="303"/>
      <c r="RXF745" s="303"/>
      <c r="RXG745" s="303"/>
      <c r="RXH745" s="303"/>
      <c r="RXI745" s="303"/>
      <c r="RXJ745" s="303"/>
      <c r="RXK745" s="303"/>
      <c r="RXL745" s="303"/>
      <c r="RXM745" s="303"/>
      <c r="RXN745" s="303"/>
      <c r="RXO745" s="303"/>
      <c r="RXP745" s="303"/>
      <c r="RXQ745" s="303"/>
      <c r="RXR745" s="303"/>
      <c r="RXS745" s="303"/>
      <c r="RXT745" s="303"/>
      <c r="RXU745" s="303"/>
      <c r="RXV745" s="303"/>
      <c r="RXW745" s="303"/>
      <c r="RXX745" s="303"/>
      <c r="RXY745" s="303"/>
      <c r="RXZ745" s="303"/>
      <c r="RYA745" s="303"/>
      <c r="RYB745" s="303"/>
      <c r="RYC745" s="303"/>
      <c r="RYD745" s="303"/>
      <c r="RYE745" s="303"/>
      <c r="RYF745" s="303"/>
      <c r="RYG745" s="303"/>
      <c r="RYH745" s="303"/>
      <c r="RYI745" s="303"/>
      <c r="RYJ745" s="303"/>
      <c r="RYK745" s="303"/>
      <c r="RYL745" s="303"/>
      <c r="RYM745" s="303"/>
      <c r="RYN745" s="303"/>
      <c r="RYO745" s="303"/>
      <c r="RYP745" s="303"/>
      <c r="RYQ745" s="303"/>
      <c r="RYR745" s="303"/>
      <c r="RYS745" s="303"/>
      <c r="RYT745" s="303"/>
      <c r="RYU745" s="303"/>
      <c r="RYV745" s="303"/>
      <c r="RYW745" s="303"/>
      <c r="RYX745" s="303"/>
      <c r="RYY745" s="303"/>
      <c r="RYZ745" s="303"/>
      <c r="RZA745" s="303"/>
      <c r="RZB745" s="303"/>
      <c r="RZC745" s="303"/>
      <c r="RZD745" s="303"/>
      <c r="RZE745" s="303"/>
      <c r="RZF745" s="303"/>
      <c r="RZG745" s="303"/>
      <c r="RZH745" s="303"/>
      <c r="RZI745" s="303"/>
      <c r="RZJ745" s="303"/>
      <c r="RZK745" s="303"/>
      <c r="RZL745" s="303"/>
      <c r="RZM745" s="303"/>
      <c r="RZN745" s="303"/>
      <c r="RZO745" s="303"/>
      <c r="RZP745" s="303"/>
      <c r="RZQ745" s="303"/>
      <c r="RZR745" s="303"/>
      <c r="RZS745" s="303"/>
      <c r="RZT745" s="303"/>
      <c r="RZU745" s="303"/>
      <c r="RZV745" s="303"/>
      <c r="RZW745" s="303"/>
      <c r="RZX745" s="303"/>
      <c r="RZY745" s="303"/>
      <c r="RZZ745" s="303"/>
      <c r="SAA745" s="303"/>
      <c r="SAB745" s="303"/>
      <c r="SAC745" s="303"/>
      <c r="SAD745" s="303"/>
      <c r="SAE745" s="303"/>
      <c r="SAF745" s="303"/>
      <c r="SAG745" s="303"/>
      <c r="SAH745" s="303"/>
      <c r="SAI745" s="303"/>
      <c r="SAJ745" s="303"/>
      <c r="SAK745" s="303"/>
      <c r="SAL745" s="303"/>
      <c r="SAM745" s="303"/>
      <c r="SAN745" s="303"/>
      <c r="SAO745" s="303"/>
      <c r="SAP745" s="303"/>
      <c r="SAQ745" s="303"/>
      <c r="SAR745" s="303"/>
      <c r="SAS745" s="303"/>
      <c r="SAT745" s="303"/>
      <c r="SAU745" s="303"/>
      <c r="SAV745" s="303"/>
      <c r="SAW745" s="303"/>
      <c r="SAX745" s="303"/>
      <c r="SAY745" s="303"/>
      <c r="SAZ745" s="303"/>
      <c r="SBA745" s="303"/>
      <c r="SBB745" s="303"/>
      <c r="SBC745" s="303"/>
      <c r="SBD745" s="303"/>
      <c r="SBE745" s="303"/>
      <c r="SBF745" s="303"/>
      <c r="SBG745" s="303"/>
      <c r="SBH745" s="303"/>
      <c r="SBI745" s="303"/>
      <c r="SBJ745" s="303"/>
      <c r="SBK745" s="303"/>
      <c r="SBL745" s="303"/>
      <c r="SBM745" s="303"/>
      <c r="SBN745" s="303"/>
      <c r="SBO745" s="303"/>
      <c r="SBP745" s="303"/>
      <c r="SBQ745" s="303"/>
      <c r="SBR745" s="303"/>
      <c r="SBS745" s="303"/>
      <c r="SBT745" s="303"/>
      <c r="SBU745" s="303"/>
      <c r="SBV745" s="303"/>
      <c r="SBW745" s="303"/>
      <c r="SBX745" s="303"/>
      <c r="SBY745" s="303"/>
      <c r="SBZ745" s="303"/>
      <c r="SCA745" s="303"/>
      <c r="SCB745" s="303"/>
      <c r="SCC745" s="303"/>
      <c r="SCD745" s="303"/>
      <c r="SCE745" s="303"/>
      <c r="SCF745" s="303"/>
      <c r="SCG745" s="303"/>
      <c r="SCH745" s="303"/>
      <c r="SCI745" s="303"/>
      <c r="SCJ745" s="303"/>
      <c r="SCK745" s="303"/>
      <c r="SCL745" s="303"/>
      <c r="SCM745" s="303"/>
      <c r="SCN745" s="303"/>
      <c r="SCO745" s="303"/>
      <c r="SCP745" s="303"/>
      <c r="SCQ745" s="303"/>
      <c r="SCR745" s="303"/>
      <c r="SCS745" s="303"/>
      <c r="SCT745" s="303"/>
      <c r="SCU745" s="303"/>
      <c r="SCV745" s="303"/>
      <c r="SCW745" s="303"/>
      <c r="SCX745" s="303"/>
      <c r="SCY745" s="303"/>
      <c r="SCZ745" s="303"/>
      <c r="SDA745" s="303"/>
      <c r="SDB745" s="303"/>
      <c r="SDC745" s="303"/>
      <c r="SDD745" s="303"/>
      <c r="SDE745" s="303"/>
      <c r="SDF745" s="303"/>
      <c r="SDG745" s="303"/>
      <c r="SDH745" s="303"/>
      <c r="SDI745" s="303"/>
      <c r="SDJ745" s="303"/>
      <c r="SDK745" s="303"/>
      <c r="SDL745" s="303"/>
      <c r="SDM745" s="303"/>
      <c r="SDN745" s="303"/>
      <c r="SDO745" s="303"/>
      <c r="SDP745" s="303"/>
      <c r="SDQ745" s="303"/>
      <c r="SDR745" s="303"/>
      <c r="SDS745" s="303"/>
      <c r="SDT745" s="303"/>
      <c r="SDU745" s="303"/>
      <c r="SDV745" s="303"/>
      <c r="SDW745" s="303"/>
      <c r="SDX745" s="303"/>
      <c r="SDY745" s="303"/>
      <c r="SDZ745" s="303"/>
      <c r="SEA745" s="303"/>
      <c r="SEB745" s="303"/>
      <c r="SEC745" s="303"/>
      <c r="SED745" s="303"/>
      <c r="SEE745" s="303"/>
      <c r="SEF745" s="303"/>
      <c r="SEG745" s="303"/>
      <c r="SEH745" s="303"/>
      <c r="SEI745" s="303"/>
      <c r="SEJ745" s="303"/>
      <c r="SEK745" s="303"/>
      <c r="SEL745" s="303"/>
      <c r="SEM745" s="303"/>
      <c r="SEN745" s="303"/>
      <c r="SEO745" s="303"/>
      <c r="SEP745" s="303"/>
      <c r="SEQ745" s="303"/>
      <c r="SER745" s="303"/>
      <c r="SES745" s="303"/>
      <c r="SET745" s="303"/>
      <c r="SEU745" s="303"/>
      <c r="SEV745" s="303"/>
      <c r="SEW745" s="303"/>
      <c r="SEX745" s="303"/>
      <c r="SEY745" s="303"/>
      <c r="SEZ745" s="303"/>
      <c r="SFA745" s="303"/>
      <c r="SFB745" s="303"/>
      <c r="SFC745" s="303"/>
      <c r="SFD745" s="303"/>
      <c r="SFE745" s="303"/>
      <c r="SFF745" s="303"/>
      <c r="SFG745" s="303"/>
      <c r="SFH745" s="303"/>
      <c r="SFI745" s="303"/>
      <c r="SFJ745" s="303"/>
      <c r="SFK745" s="303"/>
      <c r="SFL745" s="303"/>
      <c r="SFM745" s="303"/>
      <c r="SFN745" s="303"/>
      <c r="SFO745" s="303"/>
      <c r="SFP745" s="303"/>
      <c r="SFQ745" s="303"/>
      <c r="SFR745" s="303"/>
      <c r="SFS745" s="303"/>
      <c r="SFT745" s="303"/>
      <c r="SFU745" s="303"/>
      <c r="SFV745" s="303"/>
      <c r="SFW745" s="303"/>
      <c r="SFX745" s="303"/>
      <c r="SFY745" s="303"/>
      <c r="SFZ745" s="303"/>
      <c r="SGA745" s="303"/>
      <c r="SGB745" s="303"/>
      <c r="SGC745" s="303"/>
      <c r="SGD745" s="303"/>
      <c r="SGE745" s="303"/>
      <c r="SGF745" s="303"/>
      <c r="SGG745" s="303"/>
      <c r="SGH745" s="303"/>
      <c r="SGI745" s="303"/>
      <c r="SGJ745" s="303"/>
      <c r="SGK745" s="303"/>
      <c r="SGL745" s="303"/>
      <c r="SGM745" s="303"/>
      <c r="SGN745" s="303"/>
      <c r="SGO745" s="303"/>
      <c r="SGP745" s="303"/>
      <c r="SGQ745" s="303"/>
      <c r="SGR745" s="303"/>
      <c r="SGS745" s="303"/>
      <c r="SGT745" s="303"/>
      <c r="SGU745" s="303"/>
      <c r="SGV745" s="303"/>
      <c r="SGW745" s="303"/>
      <c r="SGX745" s="303"/>
      <c r="SGY745" s="303"/>
      <c r="SGZ745" s="303"/>
      <c r="SHA745" s="303"/>
      <c r="SHB745" s="303"/>
      <c r="SHC745" s="303"/>
      <c r="SHD745" s="303"/>
      <c r="SHE745" s="303"/>
      <c r="SHF745" s="303"/>
      <c r="SHG745" s="303"/>
      <c r="SHH745" s="303"/>
      <c r="SHI745" s="303"/>
      <c r="SHJ745" s="303"/>
      <c r="SHK745" s="303"/>
      <c r="SHL745" s="303"/>
      <c r="SHM745" s="303"/>
      <c r="SHN745" s="303"/>
      <c r="SHO745" s="303"/>
      <c r="SHP745" s="303"/>
      <c r="SHQ745" s="303"/>
      <c r="SHR745" s="303"/>
      <c r="SHS745" s="303"/>
      <c r="SHT745" s="303"/>
      <c r="SHU745" s="303"/>
      <c r="SHV745" s="303"/>
      <c r="SHW745" s="303"/>
      <c r="SHX745" s="303"/>
      <c r="SHY745" s="303"/>
      <c r="SHZ745" s="303"/>
      <c r="SIA745" s="303"/>
      <c r="SIB745" s="303"/>
      <c r="SIC745" s="303"/>
      <c r="SID745" s="303"/>
      <c r="SIE745" s="303"/>
      <c r="SIF745" s="303"/>
      <c r="SIG745" s="303"/>
      <c r="SIH745" s="303"/>
      <c r="SII745" s="303"/>
      <c r="SIJ745" s="303"/>
      <c r="SIK745" s="303"/>
      <c r="SIL745" s="303"/>
      <c r="SIM745" s="303"/>
      <c r="SIN745" s="303"/>
      <c r="SIO745" s="303"/>
      <c r="SIP745" s="303"/>
      <c r="SIQ745" s="303"/>
      <c r="SIR745" s="303"/>
      <c r="SIS745" s="303"/>
      <c r="SIT745" s="303"/>
      <c r="SIU745" s="303"/>
      <c r="SIV745" s="303"/>
      <c r="SIW745" s="303"/>
      <c r="SIX745" s="303"/>
      <c r="SIY745" s="303"/>
      <c r="SIZ745" s="303"/>
      <c r="SJA745" s="303"/>
      <c r="SJB745" s="303"/>
      <c r="SJC745" s="303"/>
      <c r="SJD745" s="303"/>
      <c r="SJE745" s="303"/>
      <c r="SJF745" s="303"/>
      <c r="SJG745" s="303"/>
      <c r="SJH745" s="303"/>
      <c r="SJI745" s="303"/>
      <c r="SJJ745" s="303"/>
      <c r="SJK745" s="303"/>
      <c r="SJL745" s="303"/>
      <c r="SJM745" s="303"/>
      <c r="SJN745" s="303"/>
      <c r="SJO745" s="303"/>
      <c r="SJP745" s="303"/>
      <c r="SJQ745" s="303"/>
      <c r="SJR745" s="303"/>
      <c r="SJS745" s="303"/>
      <c r="SJT745" s="303"/>
      <c r="SJU745" s="303"/>
      <c r="SJV745" s="303"/>
      <c r="SJW745" s="303"/>
      <c r="SJX745" s="303"/>
      <c r="SJY745" s="303"/>
      <c r="SJZ745" s="303"/>
      <c r="SKA745" s="303"/>
      <c r="SKB745" s="303"/>
      <c r="SKC745" s="303"/>
      <c r="SKD745" s="303"/>
      <c r="SKE745" s="303"/>
      <c r="SKF745" s="303"/>
      <c r="SKG745" s="303"/>
      <c r="SKH745" s="303"/>
      <c r="SKI745" s="303"/>
      <c r="SKJ745" s="303"/>
      <c r="SKK745" s="303"/>
      <c r="SKL745" s="303"/>
      <c r="SKM745" s="303"/>
      <c r="SKN745" s="303"/>
      <c r="SKO745" s="303"/>
      <c r="SKP745" s="303"/>
      <c r="SKQ745" s="303"/>
      <c r="SKR745" s="303"/>
      <c r="SKS745" s="303"/>
      <c r="SKT745" s="303"/>
      <c r="SKU745" s="303"/>
      <c r="SKV745" s="303"/>
      <c r="SKW745" s="303"/>
      <c r="SKX745" s="303"/>
      <c r="SKY745" s="303"/>
      <c r="SKZ745" s="303"/>
      <c r="SLA745" s="303"/>
      <c r="SLB745" s="303"/>
      <c r="SLC745" s="303"/>
      <c r="SLD745" s="303"/>
      <c r="SLE745" s="303"/>
      <c r="SLF745" s="303"/>
      <c r="SLG745" s="303"/>
      <c r="SLH745" s="303"/>
      <c r="SLI745" s="303"/>
      <c r="SLJ745" s="303"/>
      <c r="SLK745" s="303"/>
      <c r="SLL745" s="303"/>
      <c r="SLM745" s="303"/>
      <c r="SLN745" s="303"/>
      <c r="SLO745" s="303"/>
      <c r="SLP745" s="303"/>
      <c r="SLQ745" s="303"/>
      <c r="SLR745" s="303"/>
      <c r="SLS745" s="303"/>
      <c r="SLT745" s="303"/>
      <c r="SLU745" s="303"/>
      <c r="SLV745" s="303"/>
      <c r="SLW745" s="303"/>
      <c r="SLX745" s="303"/>
      <c r="SLY745" s="303"/>
      <c r="SLZ745" s="303"/>
      <c r="SMA745" s="303"/>
      <c r="SMB745" s="303"/>
      <c r="SMC745" s="303"/>
      <c r="SMD745" s="303"/>
      <c r="SME745" s="303"/>
      <c r="SMF745" s="303"/>
      <c r="SMG745" s="303"/>
      <c r="SMH745" s="303"/>
      <c r="SMI745" s="303"/>
      <c r="SMJ745" s="303"/>
      <c r="SMK745" s="303"/>
      <c r="SML745" s="303"/>
      <c r="SMM745" s="303"/>
      <c r="SMN745" s="303"/>
      <c r="SMO745" s="303"/>
      <c r="SMP745" s="303"/>
      <c r="SMQ745" s="303"/>
      <c r="SMR745" s="303"/>
      <c r="SMS745" s="303"/>
      <c r="SMT745" s="303"/>
      <c r="SMU745" s="303"/>
      <c r="SMV745" s="303"/>
      <c r="SMW745" s="303"/>
      <c r="SMX745" s="303"/>
      <c r="SMY745" s="303"/>
      <c r="SMZ745" s="303"/>
      <c r="SNA745" s="303"/>
      <c r="SNB745" s="303"/>
      <c r="SNC745" s="303"/>
      <c r="SND745" s="303"/>
      <c r="SNE745" s="303"/>
      <c r="SNF745" s="303"/>
      <c r="SNG745" s="303"/>
      <c r="SNH745" s="303"/>
      <c r="SNI745" s="303"/>
      <c r="SNJ745" s="303"/>
      <c r="SNK745" s="303"/>
      <c r="SNL745" s="303"/>
      <c r="SNM745" s="303"/>
      <c r="SNN745" s="303"/>
      <c r="SNO745" s="303"/>
      <c r="SNP745" s="303"/>
      <c r="SNQ745" s="303"/>
      <c r="SNR745" s="303"/>
      <c r="SNS745" s="303"/>
      <c r="SNT745" s="303"/>
      <c r="SNU745" s="303"/>
      <c r="SNV745" s="303"/>
      <c r="SNW745" s="303"/>
      <c r="SNX745" s="303"/>
      <c r="SNY745" s="303"/>
      <c r="SNZ745" s="303"/>
      <c r="SOA745" s="303"/>
      <c r="SOB745" s="303"/>
      <c r="SOC745" s="303"/>
      <c r="SOD745" s="303"/>
      <c r="SOE745" s="303"/>
      <c r="SOF745" s="303"/>
      <c r="SOG745" s="303"/>
      <c r="SOH745" s="303"/>
      <c r="SOI745" s="303"/>
      <c r="SOJ745" s="303"/>
      <c r="SOK745" s="303"/>
      <c r="SOL745" s="303"/>
      <c r="SOM745" s="303"/>
      <c r="SON745" s="303"/>
      <c r="SOO745" s="303"/>
      <c r="SOP745" s="303"/>
      <c r="SOQ745" s="303"/>
      <c r="SOR745" s="303"/>
      <c r="SOS745" s="303"/>
      <c r="SOT745" s="303"/>
      <c r="SOU745" s="303"/>
      <c r="SOV745" s="303"/>
      <c r="SOW745" s="303"/>
      <c r="SOX745" s="303"/>
      <c r="SOY745" s="303"/>
      <c r="SOZ745" s="303"/>
      <c r="SPA745" s="303"/>
      <c r="SPB745" s="303"/>
      <c r="SPC745" s="303"/>
      <c r="SPD745" s="303"/>
      <c r="SPE745" s="303"/>
      <c r="SPF745" s="303"/>
      <c r="SPG745" s="303"/>
      <c r="SPH745" s="303"/>
      <c r="SPI745" s="303"/>
      <c r="SPJ745" s="303"/>
      <c r="SPK745" s="303"/>
      <c r="SPL745" s="303"/>
      <c r="SPM745" s="303"/>
      <c r="SPN745" s="303"/>
      <c r="SPO745" s="303"/>
      <c r="SPP745" s="303"/>
      <c r="SPQ745" s="303"/>
      <c r="SPR745" s="303"/>
      <c r="SPS745" s="303"/>
      <c r="SPT745" s="303"/>
      <c r="SPU745" s="303"/>
      <c r="SPV745" s="303"/>
      <c r="SPW745" s="303"/>
      <c r="SPX745" s="303"/>
      <c r="SPY745" s="303"/>
      <c r="SPZ745" s="303"/>
      <c r="SQA745" s="303"/>
      <c r="SQB745" s="303"/>
      <c r="SQC745" s="303"/>
      <c r="SQD745" s="303"/>
      <c r="SQE745" s="303"/>
      <c r="SQF745" s="303"/>
      <c r="SQG745" s="303"/>
      <c r="SQH745" s="303"/>
      <c r="SQI745" s="303"/>
      <c r="SQJ745" s="303"/>
      <c r="SQK745" s="303"/>
      <c r="SQL745" s="303"/>
      <c r="SQM745" s="303"/>
      <c r="SQN745" s="303"/>
      <c r="SQO745" s="303"/>
      <c r="SQP745" s="303"/>
      <c r="SQQ745" s="303"/>
      <c r="SQR745" s="303"/>
      <c r="SQS745" s="303"/>
      <c r="SQT745" s="303"/>
      <c r="SQU745" s="303"/>
      <c r="SQV745" s="303"/>
      <c r="SQW745" s="303"/>
      <c r="SQX745" s="303"/>
      <c r="SQY745" s="303"/>
      <c r="SQZ745" s="303"/>
      <c r="SRA745" s="303"/>
      <c r="SRB745" s="303"/>
      <c r="SRC745" s="303"/>
      <c r="SRD745" s="303"/>
      <c r="SRE745" s="303"/>
      <c r="SRF745" s="303"/>
      <c r="SRG745" s="303"/>
      <c r="SRH745" s="303"/>
      <c r="SRI745" s="303"/>
      <c r="SRJ745" s="303"/>
      <c r="SRK745" s="303"/>
      <c r="SRL745" s="303"/>
      <c r="SRM745" s="303"/>
      <c r="SRN745" s="303"/>
      <c r="SRO745" s="303"/>
      <c r="SRP745" s="303"/>
      <c r="SRQ745" s="303"/>
      <c r="SRR745" s="303"/>
      <c r="SRS745" s="303"/>
      <c r="SRT745" s="303"/>
      <c r="SRU745" s="303"/>
      <c r="SRV745" s="303"/>
      <c r="SRW745" s="303"/>
      <c r="SRX745" s="303"/>
      <c r="SRY745" s="303"/>
      <c r="SRZ745" s="303"/>
      <c r="SSA745" s="303"/>
      <c r="SSB745" s="303"/>
      <c r="SSC745" s="303"/>
      <c r="SSD745" s="303"/>
      <c r="SSE745" s="303"/>
      <c r="SSF745" s="303"/>
      <c r="SSG745" s="303"/>
      <c r="SSH745" s="303"/>
      <c r="SSI745" s="303"/>
      <c r="SSJ745" s="303"/>
      <c r="SSK745" s="303"/>
      <c r="SSL745" s="303"/>
      <c r="SSM745" s="303"/>
      <c r="SSN745" s="303"/>
      <c r="SSO745" s="303"/>
      <c r="SSP745" s="303"/>
      <c r="SSQ745" s="303"/>
      <c r="SSR745" s="303"/>
      <c r="SSS745" s="303"/>
      <c r="SST745" s="303"/>
      <c r="SSU745" s="303"/>
      <c r="SSV745" s="303"/>
      <c r="SSW745" s="303"/>
      <c r="SSX745" s="303"/>
      <c r="SSY745" s="303"/>
      <c r="SSZ745" s="303"/>
      <c r="STA745" s="303"/>
      <c r="STB745" s="303"/>
      <c r="STC745" s="303"/>
      <c r="STD745" s="303"/>
      <c r="STE745" s="303"/>
      <c r="STF745" s="303"/>
      <c r="STG745" s="303"/>
      <c r="STH745" s="303"/>
      <c r="STI745" s="303"/>
      <c r="STJ745" s="303"/>
      <c r="STK745" s="303"/>
      <c r="STL745" s="303"/>
      <c r="STM745" s="303"/>
      <c r="STN745" s="303"/>
      <c r="STO745" s="303"/>
      <c r="STP745" s="303"/>
      <c r="STQ745" s="303"/>
      <c r="STR745" s="303"/>
      <c r="STS745" s="303"/>
      <c r="STT745" s="303"/>
      <c r="STU745" s="303"/>
      <c r="STV745" s="303"/>
      <c r="STW745" s="303"/>
      <c r="STX745" s="303"/>
      <c r="STY745" s="303"/>
      <c r="STZ745" s="303"/>
      <c r="SUA745" s="303"/>
      <c r="SUB745" s="303"/>
      <c r="SUC745" s="303"/>
      <c r="SUD745" s="303"/>
      <c r="SUE745" s="303"/>
      <c r="SUF745" s="303"/>
      <c r="SUG745" s="303"/>
      <c r="SUH745" s="303"/>
      <c r="SUI745" s="303"/>
      <c r="SUJ745" s="303"/>
      <c r="SUK745" s="303"/>
      <c r="SUL745" s="303"/>
      <c r="SUM745" s="303"/>
      <c r="SUN745" s="303"/>
      <c r="SUO745" s="303"/>
      <c r="SUP745" s="303"/>
      <c r="SUQ745" s="303"/>
      <c r="SUR745" s="303"/>
      <c r="SUS745" s="303"/>
      <c r="SUT745" s="303"/>
      <c r="SUU745" s="303"/>
      <c r="SUV745" s="303"/>
      <c r="SUW745" s="303"/>
      <c r="SUX745" s="303"/>
      <c r="SUY745" s="303"/>
      <c r="SUZ745" s="303"/>
      <c r="SVA745" s="303"/>
      <c r="SVB745" s="303"/>
      <c r="SVC745" s="303"/>
      <c r="SVD745" s="303"/>
      <c r="SVE745" s="303"/>
      <c r="SVF745" s="303"/>
      <c r="SVG745" s="303"/>
      <c r="SVH745" s="303"/>
      <c r="SVI745" s="303"/>
      <c r="SVJ745" s="303"/>
      <c r="SVK745" s="303"/>
      <c r="SVL745" s="303"/>
      <c r="SVM745" s="303"/>
      <c r="SVN745" s="303"/>
      <c r="SVO745" s="303"/>
      <c r="SVP745" s="303"/>
      <c r="SVQ745" s="303"/>
      <c r="SVR745" s="303"/>
      <c r="SVS745" s="303"/>
      <c r="SVT745" s="303"/>
      <c r="SVU745" s="303"/>
      <c r="SVV745" s="303"/>
      <c r="SVW745" s="303"/>
      <c r="SVX745" s="303"/>
      <c r="SVY745" s="303"/>
      <c r="SVZ745" s="303"/>
      <c r="SWA745" s="303"/>
      <c r="SWB745" s="303"/>
      <c r="SWC745" s="303"/>
      <c r="SWD745" s="303"/>
      <c r="SWE745" s="303"/>
      <c r="SWF745" s="303"/>
      <c r="SWG745" s="303"/>
      <c r="SWH745" s="303"/>
      <c r="SWI745" s="303"/>
      <c r="SWJ745" s="303"/>
      <c r="SWK745" s="303"/>
      <c r="SWL745" s="303"/>
      <c r="SWM745" s="303"/>
      <c r="SWN745" s="303"/>
      <c r="SWO745" s="303"/>
      <c r="SWP745" s="303"/>
      <c r="SWQ745" s="303"/>
      <c r="SWR745" s="303"/>
      <c r="SWS745" s="303"/>
      <c r="SWT745" s="303"/>
      <c r="SWU745" s="303"/>
      <c r="SWV745" s="303"/>
      <c r="SWW745" s="303"/>
      <c r="SWX745" s="303"/>
      <c r="SWY745" s="303"/>
      <c r="SWZ745" s="303"/>
      <c r="SXA745" s="303"/>
      <c r="SXB745" s="303"/>
      <c r="SXC745" s="303"/>
      <c r="SXD745" s="303"/>
      <c r="SXE745" s="303"/>
      <c r="SXF745" s="303"/>
      <c r="SXG745" s="303"/>
      <c r="SXH745" s="303"/>
      <c r="SXI745" s="303"/>
      <c r="SXJ745" s="303"/>
      <c r="SXK745" s="303"/>
      <c r="SXL745" s="303"/>
      <c r="SXM745" s="303"/>
      <c r="SXN745" s="303"/>
      <c r="SXO745" s="303"/>
      <c r="SXP745" s="303"/>
      <c r="SXQ745" s="303"/>
      <c r="SXR745" s="303"/>
      <c r="SXS745" s="303"/>
      <c r="SXT745" s="303"/>
      <c r="SXU745" s="303"/>
      <c r="SXV745" s="303"/>
      <c r="SXW745" s="303"/>
      <c r="SXX745" s="303"/>
      <c r="SXY745" s="303"/>
      <c r="SXZ745" s="303"/>
      <c r="SYA745" s="303"/>
      <c r="SYB745" s="303"/>
      <c r="SYC745" s="303"/>
      <c r="SYD745" s="303"/>
      <c r="SYE745" s="303"/>
      <c r="SYF745" s="303"/>
      <c r="SYG745" s="303"/>
      <c r="SYH745" s="303"/>
      <c r="SYI745" s="303"/>
      <c r="SYJ745" s="303"/>
      <c r="SYK745" s="303"/>
      <c r="SYL745" s="303"/>
      <c r="SYM745" s="303"/>
      <c r="SYN745" s="303"/>
      <c r="SYO745" s="303"/>
      <c r="SYP745" s="303"/>
      <c r="SYQ745" s="303"/>
      <c r="SYR745" s="303"/>
      <c r="SYS745" s="303"/>
      <c r="SYT745" s="303"/>
      <c r="SYU745" s="303"/>
      <c r="SYV745" s="303"/>
      <c r="SYW745" s="303"/>
      <c r="SYX745" s="303"/>
      <c r="SYY745" s="303"/>
      <c r="SYZ745" s="303"/>
      <c r="SZA745" s="303"/>
      <c r="SZB745" s="303"/>
      <c r="SZC745" s="303"/>
      <c r="SZD745" s="303"/>
      <c r="SZE745" s="303"/>
      <c r="SZF745" s="303"/>
      <c r="SZG745" s="303"/>
      <c r="SZH745" s="303"/>
      <c r="SZI745" s="303"/>
      <c r="SZJ745" s="303"/>
      <c r="SZK745" s="303"/>
      <c r="SZL745" s="303"/>
      <c r="SZM745" s="303"/>
      <c r="SZN745" s="303"/>
      <c r="SZO745" s="303"/>
      <c r="SZP745" s="303"/>
      <c r="SZQ745" s="303"/>
      <c r="SZR745" s="303"/>
      <c r="SZS745" s="303"/>
      <c r="SZT745" s="303"/>
      <c r="SZU745" s="303"/>
      <c r="SZV745" s="303"/>
      <c r="SZW745" s="303"/>
      <c r="SZX745" s="303"/>
      <c r="SZY745" s="303"/>
      <c r="SZZ745" s="303"/>
      <c r="TAA745" s="303"/>
      <c r="TAB745" s="303"/>
      <c r="TAC745" s="303"/>
      <c r="TAD745" s="303"/>
      <c r="TAE745" s="303"/>
      <c r="TAF745" s="303"/>
      <c r="TAG745" s="303"/>
      <c r="TAH745" s="303"/>
      <c r="TAI745" s="303"/>
      <c r="TAJ745" s="303"/>
      <c r="TAK745" s="303"/>
      <c r="TAL745" s="303"/>
      <c r="TAM745" s="303"/>
      <c r="TAN745" s="303"/>
      <c r="TAO745" s="303"/>
      <c r="TAP745" s="303"/>
      <c r="TAQ745" s="303"/>
      <c r="TAR745" s="303"/>
      <c r="TAS745" s="303"/>
      <c r="TAT745" s="303"/>
      <c r="TAU745" s="303"/>
      <c r="TAV745" s="303"/>
      <c r="TAW745" s="303"/>
      <c r="TAX745" s="303"/>
      <c r="TAY745" s="303"/>
      <c r="TAZ745" s="303"/>
      <c r="TBA745" s="303"/>
      <c r="TBB745" s="303"/>
      <c r="TBC745" s="303"/>
      <c r="TBD745" s="303"/>
      <c r="TBE745" s="303"/>
      <c r="TBF745" s="303"/>
      <c r="TBG745" s="303"/>
      <c r="TBH745" s="303"/>
      <c r="TBI745" s="303"/>
      <c r="TBJ745" s="303"/>
      <c r="TBK745" s="303"/>
      <c r="TBL745" s="303"/>
      <c r="TBM745" s="303"/>
      <c r="TBN745" s="303"/>
      <c r="TBO745" s="303"/>
      <c r="TBP745" s="303"/>
      <c r="TBQ745" s="303"/>
      <c r="TBR745" s="303"/>
      <c r="TBS745" s="303"/>
      <c r="TBT745" s="303"/>
      <c r="TBU745" s="303"/>
      <c r="TBV745" s="303"/>
      <c r="TBW745" s="303"/>
      <c r="TBX745" s="303"/>
      <c r="TBY745" s="303"/>
      <c r="TBZ745" s="303"/>
      <c r="TCA745" s="303"/>
      <c r="TCB745" s="303"/>
      <c r="TCC745" s="303"/>
      <c r="TCD745" s="303"/>
      <c r="TCE745" s="303"/>
      <c r="TCF745" s="303"/>
      <c r="TCG745" s="303"/>
      <c r="TCH745" s="303"/>
      <c r="TCI745" s="303"/>
      <c r="TCJ745" s="303"/>
      <c r="TCK745" s="303"/>
      <c r="TCL745" s="303"/>
      <c r="TCM745" s="303"/>
      <c r="TCN745" s="303"/>
      <c r="TCO745" s="303"/>
      <c r="TCP745" s="303"/>
      <c r="TCQ745" s="303"/>
      <c r="TCR745" s="303"/>
      <c r="TCS745" s="303"/>
      <c r="TCT745" s="303"/>
      <c r="TCU745" s="303"/>
      <c r="TCV745" s="303"/>
      <c r="TCW745" s="303"/>
      <c r="TCX745" s="303"/>
      <c r="TCY745" s="303"/>
      <c r="TCZ745" s="303"/>
      <c r="TDA745" s="303"/>
      <c r="TDB745" s="303"/>
      <c r="TDC745" s="303"/>
      <c r="TDD745" s="303"/>
      <c r="TDE745" s="303"/>
      <c r="TDF745" s="303"/>
      <c r="TDG745" s="303"/>
      <c r="TDH745" s="303"/>
      <c r="TDI745" s="303"/>
      <c r="TDJ745" s="303"/>
      <c r="TDK745" s="303"/>
      <c r="TDL745" s="303"/>
      <c r="TDM745" s="303"/>
      <c r="TDN745" s="303"/>
      <c r="TDO745" s="303"/>
      <c r="TDP745" s="303"/>
      <c r="TDQ745" s="303"/>
      <c r="TDR745" s="303"/>
      <c r="TDS745" s="303"/>
      <c r="TDT745" s="303"/>
      <c r="TDU745" s="303"/>
      <c r="TDV745" s="303"/>
      <c r="TDW745" s="303"/>
      <c r="TDX745" s="303"/>
      <c r="TDY745" s="303"/>
      <c r="TDZ745" s="303"/>
      <c r="TEA745" s="303"/>
      <c r="TEB745" s="303"/>
      <c r="TEC745" s="303"/>
      <c r="TED745" s="303"/>
      <c r="TEE745" s="303"/>
      <c r="TEF745" s="303"/>
      <c r="TEG745" s="303"/>
      <c r="TEH745" s="303"/>
      <c r="TEI745" s="303"/>
      <c r="TEJ745" s="303"/>
      <c r="TEK745" s="303"/>
      <c r="TEL745" s="303"/>
      <c r="TEM745" s="303"/>
      <c r="TEN745" s="303"/>
      <c r="TEO745" s="303"/>
      <c r="TEP745" s="303"/>
      <c r="TEQ745" s="303"/>
      <c r="TER745" s="303"/>
      <c r="TES745" s="303"/>
      <c r="TET745" s="303"/>
      <c r="TEU745" s="303"/>
      <c r="TEV745" s="303"/>
      <c r="TEW745" s="303"/>
      <c r="TEX745" s="303"/>
      <c r="TEY745" s="303"/>
      <c r="TEZ745" s="303"/>
      <c r="TFA745" s="303"/>
      <c r="TFB745" s="303"/>
      <c r="TFC745" s="303"/>
      <c r="TFD745" s="303"/>
      <c r="TFE745" s="303"/>
      <c r="TFF745" s="303"/>
      <c r="TFG745" s="303"/>
      <c r="TFH745" s="303"/>
      <c r="TFI745" s="303"/>
      <c r="TFJ745" s="303"/>
      <c r="TFK745" s="303"/>
      <c r="TFL745" s="303"/>
      <c r="TFM745" s="303"/>
      <c r="TFN745" s="303"/>
      <c r="TFO745" s="303"/>
      <c r="TFP745" s="303"/>
      <c r="TFQ745" s="303"/>
      <c r="TFR745" s="303"/>
      <c r="TFS745" s="303"/>
      <c r="TFT745" s="303"/>
      <c r="TFU745" s="303"/>
      <c r="TFV745" s="303"/>
      <c r="TFW745" s="303"/>
      <c r="TFX745" s="303"/>
      <c r="TFY745" s="303"/>
      <c r="TFZ745" s="303"/>
      <c r="TGA745" s="303"/>
      <c r="TGB745" s="303"/>
      <c r="TGC745" s="303"/>
      <c r="TGD745" s="303"/>
      <c r="TGE745" s="303"/>
      <c r="TGF745" s="303"/>
      <c r="TGG745" s="303"/>
      <c r="TGH745" s="303"/>
      <c r="TGI745" s="303"/>
      <c r="TGJ745" s="303"/>
      <c r="TGK745" s="303"/>
      <c r="TGL745" s="303"/>
      <c r="TGM745" s="303"/>
      <c r="TGN745" s="303"/>
      <c r="TGO745" s="303"/>
      <c r="TGP745" s="303"/>
      <c r="TGQ745" s="303"/>
      <c r="TGR745" s="303"/>
      <c r="TGS745" s="303"/>
      <c r="TGT745" s="303"/>
      <c r="TGU745" s="303"/>
      <c r="TGV745" s="303"/>
      <c r="TGW745" s="303"/>
      <c r="TGX745" s="303"/>
      <c r="TGY745" s="303"/>
      <c r="TGZ745" s="303"/>
      <c r="THA745" s="303"/>
      <c r="THB745" s="303"/>
      <c r="THC745" s="303"/>
      <c r="THD745" s="303"/>
      <c r="THE745" s="303"/>
      <c r="THF745" s="303"/>
      <c r="THG745" s="303"/>
      <c r="THH745" s="303"/>
      <c r="THI745" s="303"/>
      <c r="THJ745" s="303"/>
      <c r="THK745" s="303"/>
      <c r="THL745" s="303"/>
      <c r="THM745" s="303"/>
      <c r="THN745" s="303"/>
      <c r="THO745" s="303"/>
      <c r="THP745" s="303"/>
      <c r="THQ745" s="303"/>
      <c r="THR745" s="303"/>
      <c r="THS745" s="303"/>
      <c r="THT745" s="303"/>
      <c r="THU745" s="303"/>
      <c r="THV745" s="303"/>
      <c r="THW745" s="303"/>
      <c r="THX745" s="303"/>
      <c r="THY745" s="303"/>
      <c r="THZ745" s="303"/>
      <c r="TIA745" s="303"/>
      <c r="TIB745" s="303"/>
      <c r="TIC745" s="303"/>
      <c r="TID745" s="303"/>
      <c r="TIE745" s="303"/>
      <c r="TIF745" s="303"/>
      <c r="TIG745" s="303"/>
      <c r="TIH745" s="303"/>
      <c r="TII745" s="303"/>
      <c r="TIJ745" s="303"/>
      <c r="TIK745" s="303"/>
      <c r="TIL745" s="303"/>
      <c r="TIM745" s="303"/>
      <c r="TIN745" s="303"/>
      <c r="TIO745" s="303"/>
      <c r="TIP745" s="303"/>
      <c r="TIQ745" s="303"/>
      <c r="TIR745" s="303"/>
      <c r="TIS745" s="303"/>
      <c r="TIT745" s="303"/>
      <c r="TIU745" s="303"/>
      <c r="TIV745" s="303"/>
      <c r="TIW745" s="303"/>
      <c r="TIX745" s="303"/>
      <c r="TIY745" s="303"/>
      <c r="TIZ745" s="303"/>
      <c r="TJA745" s="303"/>
      <c r="TJB745" s="303"/>
      <c r="TJC745" s="303"/>
      <c r="TJD745" s="303"/>
      <c r="TJE745" s="303"/>
      <c r="TJF745" s="303"/>
      <c r="TJG745" s="303"/>
      <c r="TJH745" s="303"/>
      <c r="TJI745" s="303"/>
      <c r="TJJ745" s="303"/>
      <c r="TJK745" s="303"/>
      <c r="TJL745" s="303"/>
      <c r="TJM745" s="303"/>
      <c r="TJN745" s="303"/>
      <c r="TJO745" s="303"/>
      <c r="TJP745" s="303"/>
      <c r="TJQ745" s="303"/>
      <c r="TJR745" s="303"/>
      <c r="TJS745" s="303"/>
      <c r="TJT745" s="303"/>
      <c r="TJU745" s="303"/>
      <c r="TJV745" s="303"/>
      <c r="TJW745" s="303"/>
      <c r="TJX745" s="303"/>
      <c r="TJY745" s="303"/>
      <c r="TJZ745" s="303"/>
      <c r="TKA745" s="303"/>
      <c r="TKB745" s="303"/>
      <c r="TKC745" s="303"/>
      <c r="TKD745" s="303"/>
      <c r="TKE745" s="303"/>
      <c r="TKF745" s="303"/>
      <c r="TKG745" s="303"/>
      <c r="TKH745" s="303"/>
      <c r="TKI745" s="303"/>
      <c r="TKJ745" s="303"/>
      <c r="TKK745" s="303"/>
      <c r="TKL745" s="303"/>
      <c r="TKM745" s="303"/>
      <c r="TKN745" s="303"/>
      <c r="TKO745" s="303"/>
      <c r="TKP745" s="303"/>
      <c r="TKQ745" s="303"/>
      <c r="TKR745" s="303"/>
      <c r="TKS745" s="303"/>
      <c r="TKT745" s="303"/>
      <c r="TKU745" s="303"/>
      <c r="TKV745" s="303"/>
      <c r="TKW745" s="303"/>
      <c r="TKX745" s="303"/>
      <c r="TKY745" s="303"/>
      <c r="TKZ745" s="303"/>
      <c r="TLA745" s="303"/>
      <c r="TLB745" s="303"/>
      <c r="TLC745" s="303"/>
      <c r="TLD745" s="303"/>
      <c r="TLE745" s="303"/>
      <c r="TLF745" s="303"/>
      <c r="TLG745" s="303"/>
      <c r="TLH745" s="303"/>
      <c r="TLI745" s="303"/>
      <c r="TLJ745" s="303"/>
      <c r="TLK745" s="303"/>
      <c r="TLL745" s="303"/>
      <c r="TLM745" s="303"/>
      <c r="TLN745" s="303"/>
      <c r="TLO745" s="303"/>
      <c r="TLP745" s="303"/>
      <c r="TLQ745" s="303"/>
      <c r="TLR745" s="303"/>
      <c r="TLS745" s="303"/>
      <c r="TLT745" s="303"/>
      <c r="TLU745" s="303"/>
      <c r="TLV745" s="303"/>
      <c r="TLW745" s="303"/>
      <c r="TLX745" s="303"/>
      <c r="TLY745" s="303"/>
      <c r="TLZ745" s="303"/>
      <c r="TMA745" s="303"/>
      <c r="TMB745" s="303"/>
      <c r="TMC745" s="303"/>
      <c r="TMD745" s="303"/>
      <c r="TME745" s="303"/>
      <c r="TMF745" s="303"/>
      <c r="TMG745" s="303"/>
      <c r="TMH745" s="303"/>
      <c r="TMI745" s="303"/>
      <c r="TMJ745" s="303"/>
      <c r="TMK745" s="303"/>
      <c r="TML745" s="303"/>
      <c r="TMM745" s="303"/>
      <c r="TMN745" s="303"/>
      <c r="TMO745" s="303"/>
      <c r="TMP745" s="303"/>
      <c r="TMQ745" s="303"/>
      <c r="TMR745" s="303"/>
      <c r="TMS745" s="303"/>
      <c r="TMT745" s="303"/>
      <c r="TMU745" s="303"/>
      <c r="TMV745" s="303"/>
      <c r="TMW745" s="303"/>
      <c r="TMX745" s="303"/>
      <c r="TMY745" s="303"/>
      <c r="TMZ745" s="303"/>
      <c r="TNA745" s="303"/>
      <c r="TNB745" s="303"/>
      <c r="TNC745" s="303"/>
      <c r="TND745" s="303"/>
      <c r="TNE745" s="303"/>
      <c r="TNF745" s="303"/>
      <c r="TNG745" s="303"/>
      <c r="TNH745" s="303"/>
      <c r="TNI745" s="303"/>
      <c r="TNJ745" s="303"/>
      <c r="TNK745" s="303"/>
      <c r="TNL745" s="303"/>
      <c r="TNM745" s="303"/>
      <c r="TNN745" s="303"/>
      <c r="TNO745" s="303"/>
      <c r="TNP745" s="303"/>
      <c r="TNQ745" s="303"/>
      <c r="TNR745" s="303"/>
      <c r="TNS745" s="303"/>
      <c r="TNT745" s="303"/>
      <c r="TNU745" s="303"/>
      <c r="TNV745" s="303"/>
      <c r="TNW745" s="303"/>
      <c r="TNX745" s="303"/>
      <c r="TNY745" s="303"/>
      <c r="TNZ745" s="303"/>
      <c r="TOA745" s="303"/>
      <c r="TOB745" s="303"/>
      <c r="TOC745" s="303"/>
      <c r="TOD745" s="303"/>
      <c r="TOE745" s="303"/>
      <c r="TOF745" s="303"/>
      <c r="TOG745" s="303"/>
      <c r="TOH745" s="303"/>
      <c r="TOI745" s="303"/>
      <c r="TOJ745" s="303"/>
      <c r="TOK745" s="303"/>
      <c r="TOL745" s="303"/>
      <c r="TOM745" s="303"/>
      <c r="TON745" s="303"/>
      <c r="TOO745" s="303"/>
      <c r="TOP745" s="303"/>
      <c r="TOQ745" s="303"/>
      <c r="TOR745" s="303"/>
      <c r="TOS745" s="303"/>
      <c r="TOT745" s="303"/>
      <c r="TOU745" s="303"/>
      <c r="TOV745" s="303"/>
      <c r="TOW745" s="303"/>
      <c r="TOX745" s="303"/>
      <c r="TOY745" s="303"/>
      <c r="TOZ745" s="303"/>
      <c r="TPA745" s="303"/>
      <c r="TPB745" s="303"/>
      <c r="TPC745" s="303"/>
      <c r="TPD745" s="303"/>
      <c r="TPE745" s="303"/>
      <c r="TPF745" s="303"/>
      <c r="TPG745" s="303"/>
      <c r="TPH745" s="303"/>
      <c r="TPI745" s="303"/>
      <c r="TPJ745" s="303"/>
      <c r="TPK745" s="303"/>
      <c r="TPL745" s="303"/>
      <c r="TPM745" s="303"/>
      <c r="TPN745" s="303"/>
      <c r="TPO745" s="303"/>
      <c r="TPP745" s="303"/>
      <c r="TPQ745" s="303"/>
      <c r="TPR745" s="303"/>
      <c r="TPS745" s="303"/>
      <c r="TPT745" s="303"/>
      <c r="TPU745" s="303"/>
      <c r="TPV745" s="303"/>
      <c r="TPW745" s="303"/>
      <c r="TPX745" s="303"/>
      <c r="TPY745" s="303"/>
      <c r="TPZ745" s="303"/>
      <c r="TQA745" s="303"/>
      <c r="TQB745" s="303"/>
      <c r="TQC745" s="303"/>
      <c r="TQD745" s="303"/>
      <c r="TQE745" s="303"/>
      <c r="TQF745" s="303"/>
      <c r="TQG745" s="303"/>
      <c r="TQH745" s="303"/>
      <c r="TQI745" s="303"/>
      <c r="TQJ745" s="303"/>
      <c r="TQK745" s="303"/>
      <c r="TQL745" s="303"/>
      <c r="TQM745" s="303"/>
      <c r="TQN745" s="303"/>
      <c r="TQO745" s="303"/>
      <c r="TQP745" s="303"/>
      <c r="TQQ745" s="303"/>
      <c r="TQR745" s="303"/>
      <c r="TQS745" s="303"/>
      <c r="TQT745" s="303"/>
      <c r="TQU745" s="303"/>
      <c r="TQV745" s="303"/>
      <c r="TQW745" s="303"/>
      <c r="TQX745" s="303"/>
      <c r="TQY745" s="303"/>
      <c r="TQZ745" s="303"/>
      <c r="TRA745" s="303"/>
      <c r="TRB745" s="303"/>
      <c r="TRC745" s="303"/>
      <c r="TRD745" s="303"/>
      <c r="TRE745" s="303"/>
      <c r="TRF745" s="303"/>
      <c r="TRG745" s="303"/>
      <c r="TRH745" s="303"/>
      <c r="TRI745" s="303"/>
      <c r="TRJ745" s="303"/>
      <c r="TRK745" s="303"/>
      <c r="TRL745" s="303"/>
      <c r="TRM745" s="303"/>
      <c r="TRN745" s="303"/>
      <c r="TRO745" s="303"/>
      <c r="TRP745" s="303"/>
      <c r="TRQ745" s="303"/>
      <c r="TRR745" s="303"/>
      <c r="TRS745" s="303"/>
      <c r="TRT745" s="303"/>
      <c r="TRU745" s="303"/>
      <c r="TRV745" s="303"/>
      <c r="TRW745" s="303"/>
      <c r="TRX745" s="303"/>
      <c r="TRY745" s="303"/>
      <c r="TRZ745" s="303"/>
      <c r="TSA745" s="303"/>
      <c r="TSB745" s="303"/>
      <c r="TSC745" s="303"/>
      <c r="TSD745" s="303"/>
      <c r="TSE745" s="303"/>
      <c r="TSF745" s="303"/>
      <c r="TSG745" s="303"/>
      <c r="TSH745" s="303"/>
      <c r="TSI745" s="303"/>
      <c r="TSJ745" s="303"/>
      <c r="TSK745" s="303"/>
      <c r="TSL745" s="303"/>
      <c r="TSM745" s="303"/>
      <c r="TSN745" s="303"/>
      <c r="TSO745" s="303"/>
      <c r="TSP745" s="303"/>
      <c r="TSQ745" s="303"/>
      <c r="TSR745" s="303"/>
      <c r="TSS745" s="303"/>
      <c r="TST745" s="303"/>
      <c r="TSU745" s="303"/>
      <c r="TSV745" s="303"/>
      <c r="TSW745" s="303"/>
      <c r="TSX745" s="303"/>
      <c r="TSY745" s="303"/>
      <c r="TSZ745" s="303"/>
      <c r="TTA745" s="303"/>
      <c r="TTB745" s="303"/>
      <c r="TTC745" s="303"/>
      <c r="TTD745" s="303"/>
      <c r="TTE745" s="303"/>
      <c r="TTF745" s="303"/>
      <c r="TTG745" s="303"/>
      <c r="TTH745" s="303"/>
      <c r="TTI745" s="303"/>
      <c r="TTJ745" s="303"/>
      <c r="TTK745" s="303"/>
      <c r="TTL745" s="303"/>
      <c r="TTM745" s="303"/>
      <c r="TTN745" s="303"/>
      <c r="TTO745" s="303"/>
      <c r="TTP745" s="303"/>
      <c r="TTQ745" s="303"/>
      <c r="TTR745" s="303"/>
      <c r="TTS745" s="303"/>
      <c r="TTT745" s="303"/>
      <c r="TTU745" s="303"/>
      <c r="TTV745" s="303"/>
      <c r="TTW745" s="303"/>
      <c r="TTX745" s="303"/>
      <c r="TTY745" s="303"/>
      <c r="TTZ745" s="303"/>
      <c r="TUA745" s="303"/>
      <c r="TUB745" s="303"/>
      <c r="TUC745" s="303"/>
      <c r="TUD745" s="303"/>
      <c r="TUE745" s="303"/>
      <c r="TUF745" s="303"/>
      <c r="TUG745" s="303"/>
      <c r="TUH745" s="303"/>
      <c r="TUI745" s="303"/>
      <c r="TUJ745" s="303"/>
      <c r="TUK745" s="303"/>
      <c r="TUL745" s="303"/>
      <c r="TUM745" s="303"/>
      <c r="TUN745" s="303"/>
      <c r="TUO745" s="303"/>
      <c r="TUP745" s="303"/>
      <c r="TUQ745" s="303"/>
      <c r="TUR745" s="303"/>
      <c r="TUS745" s="303"/>
      <c r="TUT745" s="303"/>
      <c r="TUU745" s="303"/>
      <c r="TUV745" s="303"/>
      <c r="TUW745" s="303"/>
      <c r="TUX745" s="303"/>
      <c r="TUY745" s="303"/>
      <c r="TUZ745" s="303"/>
      <c r="TVA745" s="303"/>
      <c r="TVB745" s="303"/>
      <c r="TVC745" s="303"/>
      <c r="TVD745" s="303"/>
      <c r="TVE745" s="303"/>
      <c r="TVF745" s="303"/>
      <c r="TVG745" s="303"/>
      <c r="TVH745" s="303"/>
      <c r="TVI745" s="303"/>
      <c r="TVJ745" s="303"/>
      <c r="TVK745" s="303"/>
      <c r="TVL745" s="303"/>
      <c r="TVM745" s="303"/>
      <c r="TVN745" s="303"/>
      <c r="TVO745" s="303"/>
      <c r="TVP745" s="303"/>
      <c r="TVQ745" s="303"/>
      <c r="TVR745" s="303"/>
      <c r="TVS745" s="303"/>
      <c r="TVT745" s="303"/>
      <c r="TVU745" s="303"/>
      <c r="TVV745" s="303"/>
      <c r="TVW745" s="303"/>
      <c r="TVX745" s="303"/>
      <c r="TVY745" s="303"/>
      <c r="TVZ745" s="303"/>
      <c r="TWA745" s="303"/>
      <c r="TWB745" s="303"/>
      <c r="TWC745" s="303"/>
      <c r="TWD745" s="303"/>
      <c r="TWE745" s="303"/>
      <c r="TWF745" s="303"/>
      <c r="TWG745" s="303"/>
      <c r="TWH745" s="303"/>
      <c r="TWI745" s="303"/>
      <c r="TWJ745" s="303"/>
      <c r="TWK745" s="303"/>
      <c r="TWL745" s="303"/>
      <c r="TWM745" s="303"/>
      <c r="TWN745" s="303"/>
      <c r="TWO745" s="303"/>
      <c r="TWP745" s="303"/>
      <c r="TWQ745" s="303"/>
      <c r="TWR745" s="303"/>
      <c r="TWS745" s="303"/>
      <c r="TWT745" s="303"/>
      <c r="TWU745" s="303"/>
      <c r="TWV745" s="303"/>
      <c r="TWW745" s="303"/>
      <c r="TWX745" s="303"/>
      <c r="TWY745" s="303"/>
      <c r="TWZ745" s="303"/>
      <c r="TXA745" s="303"/>
      <c r="TXB745" s="303"/>
      <c r="TXC745" s="303"/>
      <c r="TXD745" s="303"/>
      <c r="TXE745" s="303"/>
      <c r="TXF745" s="303"/>
      <c r="TXG745" s="303"/>
      <c r="TXH745" s="303"/>
      <c r="TXI745" s="303"/>
      <c r="TXJ745" s="303"/>
      <c r="TXK745" s="303"/>
      <c r="TXL745" s="303"/>
      <c r="TXM745" s="303"/>
      <c r="TXN745" s="303"/>
      <c r="TXO745" s="303"/>
      <c r="TXP745" s="303"/>
      <c r="TXQ745" s="303"/>
      <c r="TXR745" s="303"/>
      <c r="TXS745" s="303"/>
      <c r="TXT745" s="303"/>
      <c r="TXU745" s="303"/>
      <c r="TXV745" s="303"/>
      <c r="TXW745" s="303"/>
      <c r="TXX745" s="303"/>
      <c r="TXY745" s="303"/>
      <c r="TXZ745" s="303"/>
      <c r="TYA745" s="303"/>
      <c r="TYB745" s="303"/>
      <c r="TYC745" s="303"/>
      <c r="TYD745" s="303"/>
      <c r="TYE745" s="303"/>
      <c r="TYF745" s="303"/>
      <c r="TYG745" s="303"/>
      <c r="TYH745" s="303"/>
      <c r="TYI745" s="303"/>
      <c r="TYJ745" s="303"/>
      <c r="TYK745" s="303"/>
      <c r="TYL745" s="303"/>
      <c r="TYM745" s="303"/>
      <c r="TYN745" s="303"/>
      <c r="TYO745" s="303"/>
      <c r="TYP745" s="303"/>
      <c r="TYQ745" s="303"/>
      <c r="TYR745" s="303"/>
      <c r="TYS745" s="303"/>
      <c r="TYT745" s="303"/>
      <c r="TYU745" s="303"/>
      <c r="TYV745" s="303"/>
      <c r="TYW745" s="303"/>
      <c r="TYX745" s="303"/>
      <c r="TYY745" s="303"/>
      <c r="TYZ745" s="303"/>
      <c r="TZA745" s="303"/>
      <c r="TZB745" s="303"/>
      <c r="TZC745" s="303"/>
      <c r="TZD745" s="303"/>
      <c r="TZE745" s="303"/>
      <c r="TZF745" s="303"/>
      <c r="TZG745" s="303"/>
      <c r="TZH745" s="303"/>
      <c r="TZI745" s="303"/>
      <c r="TZJ745" s="303"/>
      <c r="TZK745" s="303"/>
      <c r="TZL745" s="303"/>
      <c r="TZM745" s="303"/>
      <c r="TZN745" s="303"/>
      <c r="TZO745" s="303"/>
      <c r="TZP745" s="303"/>
      <c r="TZQ745" s="303"/>
      <c r="TZR745" s="303"/>
      <c r="TZS745" s="303"/>
      <c r="TZT745" s="303"/>
      <c r="TZU745" s="303"/>
      <c r="TZV745" s="303"/>
      <c r="TZW745" s="303"/>
      <c r="TZX745" s="303"/>
      <c r="TZY745" s="303"/>
      <c r="TZZ745" s="303"/>
      <c r="UAA745" s="303"/>
      <c r="UAB745" s="303"/>
      <c r="UAC745" s="303"/>
      <c r="UAD745" s="303"/>
      <c r="UAE745" s="303"/>
      <c r="UAF745" s="303"/>
      <c r="UAG745" s="303"/>
      <c r="UAH745" s="303"/>
      <c r="UAI745" s="303"/>
      <c r="UAJ745" s="303"/>
      <c r="UAK745" s="303"/>
      <c r="UAL745" s="303"/>
      <c r="UAM745" s="303"/>
      <c r="UAN745" s="303"/>
      <c r="UAO745" s="303"/>
      <c r="UAP745" s="303"/>
      <c r="UAQ745" s="303"/>
      <c r="UAR745" s="303"/>
      <c r="UAS745" s="303"/>
      <c r="UAT745" s="303"/>
      <c r="UAU745" s="303"/>
      <c r="UAV745" s="303"/>
      <c r="UAW745" s="303"/>
      <c r="UAX745" s="303"/>
      <c r="UAY745" s="303"/>
      <c r="UAZ745" s="303"/>
      <c r="UBA745" s="303"/>
      <c r="UBB745" s="303"/>
      <c r="UBC745" s="303"/>
      <c r="UBD745" s="303"/>
      <c r="UBE745" s="303"/>
      <c r="UBF745" s="303"/>
      <c r="UBG745" s="303"/>
      <c r="UBH745" s="303"/>
      <c r="UBI745" s="303"/>
      <c r="UBJ745" s="303"/>
      <c r="UBK745" s="303"/>
      <c r="UBL745" s="303"/>
      <c r="UBM745" s="303"/>
      <c r="UBN745" s="303"/>
      <c r="UBO745" s="303"/>
      <c r="UBP745" s="303"/>
      <c r="UBQ745" s="303"/>
      <c r="UBR745" s="303"/>
      <c r="UBS745" s="303"/>
      <c r="UBT745" s="303"/>
      <c r="UBU745" s="303"/>
      <c r="UBV745" s="303"/>
      <c r="UBW745" s="303"/>
      <c r="UBX745" s="303"/>
      <c r="UBY745" s="303"/>
      <c r="UBZ745" s="303"/>
      <c r="UCA745" s="303"/>
      <c r="UCB745" s="303"/>
      <c r="UCC745" s="303"/>
      <c r="UCD745" s="303"/>
      <c r="UCE745" s="303"/>
      <c r="UCF745" s="303"/>
      <c r="UCG745" s="303"/>
      <c r="UCH745" s="303"/>
      <c r="UCI745" s="303"/>
      <c r="UCJ745" s="303"/>
      <c r="UCK745" s="303"/>
      <c r="UCL745" s="303"/>
      <c r="UCM745" s="303"/>
      <c r="UCN745" s="303"/>
      <c r="UCO745" s="303"/>
      <c r="UCP745" s="303"/>
      <c r="UCQ745" s="303"/>
      <c r="UCR745" s="303"/>
      <c r="UCS745" s="303"/>
      <c r="UCT745" s="303"/>
      <c r="UCU745" s="303"/>
      <c r="UCV745" s="303"/>
      <c r="UCW745" s="303"/>
      <c r="UCX745" s="303"/>
      <c r="UCY745" s="303"/>
      <c r="UCZ745" s="303"/>
      <c r="UDA745" s="303"/>
      <c r="UDB745" s="303"/>
      <c r="UDC745" s="303"/>
      <c r="UDD745" s="303"/>
      <c r="UDE745" s="303"/>
      <c r="UDF745" s="303"/>
      <c r="UDG745" s="303"/>
      <c r="UDH745" s="303"/>
      <c r="UDI745" s="303"/>
      <c r="UDJ745" s="303"/>
      <c r="UDK745" s="303"/>
      <c r="UDL745" s="303"/>
      <c r="UDM745" s="303"/>
      <c r="UDN745" s="303"/>
      <c r="UDO745" s="303"/>
      <c r="UDP745" s="303"/>
      <c r="UDQ745" s="303"/>
      <c r="UDR745" s="303"/>
      <c r="UDS745" s="303"/>
      <c r="UDT745" s="303"/>
      <c r="UDU745" s="303"/>
      <c r="UDV745" s="303"/>
      <c r="UDW745" s="303"/>
      <c r="UDX745" s="303"/>
      <c r="UDY745" s="303"/>
      <c r="UDZ745" s="303"/>
      <c r="UEA745" s="303"/>
      <c r="UEB745" s="303"/>
      <c r="UEC745" s="303"/>
      <c r="UED745" s="303"/>
      <c r="UEE745" s="303"/>
      <c r="UEF745" s="303"/>
      <c r="UEG745" s="303"/>
      <c r="UEH745" s="303"/>
      <c r="UEI745" s="303"/>
      <c r="UEJ745" s="303"/>
      <c r="UEK745" s="303"/>
      <c r="UEL745" s="303"/>
      <c r="UEM745" s="303"/>
      <c r="UEN745" s="303"/>
      <c r="UEO745" s="303"/>
      <c r="UEP745" s="303"/>
      <c r="UEQ745" s="303"/>
      <c r="UER745" s="303"/>
      <c r="UES745" s="303"/>
      <c r="UET745" s="303"/>
      <c r="UEU745" s="303"/>
      <c r="UEV745" s="303"/>
      <c r="UEW745" s="303"/>
      <c r="UEX745" s="303"/>
      <c r="UEY745" s="303"/>
      <c r="UEZ745" s="303"/>
      <c r="UFA745" s="303"/>
      <c r="UFB745" s="303"/>
      <c r="UFC745" s="303"/>
      <c r="UFD745" s="303"/>
      <c r="UFE745" s="303"/>
      <c r="UFF745" s="303"/>
      <c r="UFG745" s="303"/>
      <c r="UFH745" s="303"/>
      <c r="UFI745" s="303"/>
      <c r="UFJ745" s="303"/>
      <c r="UFK745" s="303"/>
      <c r="UFL745" s="303"/>
      <c r="UFM745" s="303"/>
      <c r="UFN745" s="303"/>
      <c r="UFO745" s="303"/>
      <c r="UFP745" s="303"/>
      <c r="UFQ745" s="303"/>
      <c r="UFR745" s="303"/>
      <c r="UFS745" s="303"/>
      <c r="UFT745" s="303"/>
      <c r="UFU745" s="303"/>
      <c r="UFV745" s="303"/>
      <c r="UFW745" s="303"/>
      <c r="UFX745" s="303"/>
      <c r="UFY745" s="303"/>
      <c r="UFZ745" s="303"/>
      <c r="UGA745" s="303"/>
      <c r="UGB745" s="303"/>
      <c r="UGC745" s="303"/>
      <c r="UGD745" s="303"/>
      <c r="UGE745" s="303"/>
      <c r="UGF745" s="303"/>
      <c r="UGG745" s="303"/>
      <c r="UGH745" s="303"/>
      <c r="UGI745" s="303"/>
      <c r="UGJ745" s="303"/>
      <c r="UGK745" s="303"/>
      <c r="UGL745" s="303"/>
      <c r="UGM745" s="303"/>
      <c r="UGN745" s="303"/>
      <c r="UGO745" s="303"/>
      <c r="UGP745" s="303"/>
      <c r="UGQ745" s="303"/>
      <c r="UGR745" s="303"/>
      <c r="UGS745" s="303"/>
      <c r="UGT745" s="303"/>
      <c r="UGU745" s="303"/>
      <c r="UGV745" s="303"/>
      <c r="UGW745" s="303"/>
      <c r="UGX745" s="303"/>
      <c r="UGY745" s="303"/>
      <c r="UGZ745" s="303"/>
      <c r="UHA745" s="303"/>
      <c r="UHB745" s="303"/>
      <c r="UHC745" s="303"/>
      <c r="UHD745" s="303"/>
      <c r="UHE745" s="303"/>
      <c r="UHF745" s="303"/>
      <c r="UHG745" s="303"/>
      <c r="UHH745" s="303"/>
      <c r="UHI745" s="303"/>
      <c r="UHJ745" s="303"/>
      <c r="UHK745" s="303"/>
      <c r="UHL745" s="303"/>
      <c r="UHM745" s="303"/>
      <c r="UHN745" s="303"/>
      <c r="UHO745" s="303"/>
      <c r="UHP745" s="303"/>
      <c r="UHQ745" s="303"/>
      <c r="UHR745" s="303"/>
      <c r="UHS745" s="303"/>
      <c r="UHT745" s="303"/>
      <c r="UHU745" s="303"/>
      <c r="UHV745" s="303"/>
      <c r="UHW745" s="303"/>
      <c r="UHX745" s="303"/>
      <c r="UHY745" s="303"/>
      <c r="UHZ745" s="303"/>
      <c r="UIA745" s="303"/>
      <c r="UIB745" s="303"/>
      <c r="UIC745" s="303"/>
      <c r="UID745" s="303"/>
      <c r="UIE745" s="303"/>
      <c r="UIF745" s="303"/>
      <c r="UIG745" s="303"/>
      <c r="UIH745" s="303"/>
      <c r="UII745" s="303"/>
      <c r="UIJ745" s="303"/>
      <c r="UIK745" s="303"/>
      <c r="UIL745" s="303"/>
      <c r="UIM745" s="303"/>
      <c r="UIN745" s="303"/>
      <c r="UIO745" s="303"/>
      <c r="UIP745" s="303"/>
      <c r="UIQ745" s="303"/>
      <c r="UIR745" s="303"/>
      <c r="UIS745" s="303"/>
      <c r="UIT745" s="303"/>
      <c r="UIU745" s="303"/>
      <c r="UIV745" s="303"/>
      <c r="UIW745" s="303"/>
      <c r="UIX745" s="303"/>
      <c r="UIY745" s="303"/>
      <c r="UIZ745" s="303"/>
      <c r="UJA745" s="303"/>
      <c r="UJB745" s="303"/>
      <c r="UJC745" s="303"/>
      <c r="UJD745" s="303"/>
      <c r="UJE745" s="303"/>
      <c r="UJF745" s="303"/>
      <c r="UJG745" s="303"/>
      <c r="UJH745" s="303"/>
      <c r="UJI745" s="303"/>
      <c r="UJJ745" s="303"/>
      <c r="UJK745" s="303"/>
      <c r="UJL745" s="303"/>
      <c r="UJM745" s="303"/>
      <c r="UJN745" s="303"/>
      <c r="UJO745" s="303"/>
      <c r="UJP745" s="303"/>
      <c r="UJQ745" s="303"/>
      <c r="UJR745" s="303"/>
      <c r="UJS745" s="303"/>
      <c r="UJT745" s="303"/>
      <c r="UJU745" s="303"/>
      <c r="UJV745" s="303"/>
      <c r="UJW745" s="303"/>
      <c r="UJX745" s="303"/>
      <c r="UJY745" s="303"/>
      <c r="UJZ745" s="303"/>
      <c r="UKA745" s="303"/>
      <c r="UKB745" s="303"/>
      <c r="UKC745" s="303"/>
      <c r="UKD745" s="303"/>
      <c r="UKE745" s="303"/>
      <c r="UKF745" s="303"/>
      <c r="UKG745" s="303"/>
      <c r="UKH745" s="303"/>
      <c r="UKI745" s="303"/>
      <c r="UKJ745" s="303"/>
      <c r="UKK745" s="303"/>
      <c r="UKL745" s="303"/>
      <c r="UKM745" s="303"/>
      <c r="UKN745" s="303"/>
      <c r="UKO745" s="303"/>
      <c r="UKP745" s="303"/>
      <c r="UKQ745" s="303"/>
      <c r="UKR745" s="303"/>
      <c r="UKS745" s="303"/>
      <c r="UKT745" s="303"/>
      <c r="UKU745" s="303"/>
      <c r="UKV745" s="303"/>
      <c r="UKW745" s="303"/>
      <c r="UKX745" s="303"/>
      <c r="UKY745" s="303"/>
      <c r="UKZ745" s="303"/>
      <c r="ULA745" s="303"/>
      <c r="ULB745" s="303"/>
      <c r="ULC745" s="303"/>
      <c r="ULD745" s="303"/>
      <c r="ULE745" s="303"/>
      <c r="ULF745" s="303"/>
      <c r="ULG745" s="303"/>
      <c r="ULH745" s="303"/>
      <c r="ULI745" s="303"/>
      <c r="ULJ745" s="303"/>
      <c r="ULK745" s="303"/>
      <c r="ULL745" s="303"/>
      <c r="ULM745" s="303"/>
      <c r="ULN745" s="303"/>
      <c r="ULO745" s="303"/>
      <c r="ULP745" s="303"/>
      <c r="ULQ745" s="303"/>
      <c r="ULR745" s="303"/>
      <c r="ULS745" s="303"/>
      <c r="ULT745" s="303"/>
      <c r="ULU745" s="303"/>
      <c r="ULV745" s="303"/>
      <c r="ULW745" s="303"/>
      <c r="ULX745" s="303"/>
      <c r="ULY745" s="303"/>
      <c r="ULZ745" s="303"/>
      <c r="UMA745" s="303"/>
      <c r="UMB745" s="303"/>
      <c r="UMC745" s="303"/>
      <c r="UMD745" s="303"/>
      <c r="UME745" s="303"/>
      <c r="UMF745" s="303"/>
      <c r="UMG745" s="303"/>
      <c r="UMH745" s="303"/>
      <c r="UMI745" s="303"/>
      <c r="UMJ745" s="303"/>
      <c r="UMK745" s="303"/>
      <c r="UML745" s="303"/>
      <c r="UMM745" s="303"/>
      <c r="UMN745" s="303"/>
      <c r="UMO745" s="303"/>
      <c r="UMP745" s="303"/>
      <c r="UMQ745" s="303"/>
      <c r="UMR745" s="303"/>
      <c r="UMS745" s="303"/>
      <c r="UMT745" s="303"/>
      <c r="UMU745" s="303"/>
      <c r="UMV745" s="303"/>
      <c r="UMW745" s="303"/>
      <c r="UMX745" s="303"/>
      <c r="UMY745" s="303"/>
      <c r="UMZ745" s="303"/>
      <c r="UNA745" s="303"/>
      <c r="UNB745" s="303"/>
      <c r="UNC745" s="303"/>
      <c r="UND745" s="303"/>
      <c r="UNE745" s="303"/>
      <c r="UNF745" s="303"/>
      <c r="UNG745" s="303"/>
      <c r="UNH745" s="303"/>
      <c r="UNI745" s="303"/>
      <c r="UNJ745" s="303"/>
      <c r="UNK745" s="303"/>
      <c r="UNL745" s="303"/>
      <c r="UNM745" s="303"/>
      <c r="UNN745" s="303"/>
      <c r="UNO745" s="303"/>
      <c r="UNP745" s="303"/>
      <c r="UNQ745" s="303"/>
      <c r="UNR745" s="303"/>
      <c r="UNS745" s="303"/>
      <c r="UNT745" s="303"/>
      <c r="UNU745" s="303"/>
      <c r="UNV745" s="303"/>
      <c r="UNW745" s="303"/>
      <c r="UNX745" s="303"/>
      <c r="UNY745" s="303"/>
      <c r="UNZ745" s="303"/>
      <c r="UOA745" s="303"/>
      <c r="UOB745" s="303"/>
      <c r="UOC745" s="303"/>
      <c r="UOD745" s="303"/>
      <c r="UOE745" s="303"/>
      <c r="UOF745" s="303"/>
      <c r="UOG745" s="303"/>
      <c r="UOH745" s="303"/>
      <c r="UOI745" s="303"/>
      <c r="UOJ745" s="303"/>
      <c r="UOK745" s="303"/>
      <c r="UOL745" s="303"/>
      <c r="UOM745" s="303"/>
      <c r="UON745" s="303"/>
      <c r="UOO745" s="303"/>
      <c r="UOP745" s="303"/>
      <c r="UOQ745" s="303"/>
      <c r="UOR745" s="303"/>
      <c r="UOS745" s="303"/>
      <c r="UOT745" s="303"/>
      <c r="UOU745" s="303"/>
      <c r="UOV745" s="303"/>
      <c r="UOW745" s="303"/>
      <c r="UOX745" s="303"/>
      <c r="UOY745" s="303"/>
      <c r="UOZ745" s="303"/>
      <c r="UPA745" s="303"/>
      <c r="UPB745" s="303"/>
      <c r="UPC745" s="303"/>
      <c r="UPD745" s="303"/>
      <c r="UPE745" s="303"/>
      <c r="UPF745" s="303"/>
      <c r="UPG745" s="303"/>
      <c r="UPH745" s="303"/>
      <c r="UPI745" s="303"/>
      <c r="UPJ745" s="303"/>
      <c r="UPK745" s="303"/>
      <c r="UPL745" s="303"/>
      <c r="UPM745" s="303"/>
      <c r="UPN745" s="303"/>
      <c r="UPO745" s="303"/>
      <c r="UPP745" s="303"/>
      <c r="UPQ745" s="303"/>
      <c r="UPR745" s="303"/>
      <c r="UPS745" s="303"/>
      <c r="UPT745" s="303"/>
      <c r="UPU745" s="303"/>
      <c r="UPV745" s="303"/>
      <c r="UPW745" s="303"/>
      <c r="UPX745" s="303"/>
      <c r="UPY745" s="303"/>
      <c r="UPZ745" s="303"/>
      <c r="UQA745" s="303"/>
      <c r="UQB745" s="303"/>
      <c r="UQC745" s="303"/>
      <c r="UQD745" s="303"/>
      <c r="UQE745" s="303"/>
      <c r="UQF745" s="303"/>
      <c r="UQG745" s="303"/>
      <c r="UQH745" s="303"/>
      <c r="UQI745" s="303"/>
      <c r="UQJ745" s="303"/>
      <c r="UQK745" s="303"/>
      <c r="UQL745" s="303"/>
      <c r="UQM745" s="303"/>
      <c r="UQN745" s="303"/>
      <c r="UQO745" s="303"/>
      <c r="UQP745" s="303"/>
      <c r="UQQ745" s="303"/>
      <c r="UQR745" s="303"/>
      <c r="UQS745" s="303"/>
      <c r="UQT745" s="303"/>
      <c r="UQU745" s="303"/>
      <c r="UQV745" s="303"/>
      <c r="UQW745" s="303"/>
      <c r="UQX745" s="303"/>
      <c r="UQY745" s="303"/>
      <c r="UQZ745" s="303"/>
      <c r="URA745" s="303"/>
      <c r="URB745" s="303"/>
      <c r="URC745" s="303"/>
      <c r="URD745" s="303"/>
      <c r="URE745" s="303"/>
      <c r="URF745" s="303"/>
      <c r="URG745" s="303"/>
      <c r="URH745" s="303"/>
      <c r="URI745" s="303"/>
      <c r="URJ745" s="303"/>
      <c r="URK745" s="303"/>
      <c r="URL745" s="303"/>
      <c r="URM745" s="303"/>
      <c r="URN745" s="303"/>
      <c r="URO745" s="303"/>
      <c r="URP745" s="303"/>
      <c r="URQ745" s="303"/>
      <c r="URR745" s="303"/>
      <c r="URS745" s="303"/>
      <c r="URT745" s="303"/>
      <c r="URU745" s="303"/>
      <c r="URV745" s="303"/>
      <c r="URW745" s="303"/>
      <c r="URX745" s="303"/>
      <c r="URY745" s="303"/>
      <c r="URZ745" s="303"/>
      <c r="USA745" s="303"/>
      <c r="USB745" s="303"/>
      <c r="USC745" s="303"/>
      <c r="USD745" s="303"/>
      <c r="USE745" s="303"/>
      <c r="USF745" s="303"/>
      <c r="USG745" s="303"/>
      <c r="USH745" s="303"/>
      <c r="USI745" s="303"/>
      <c r="USJ745" s="303"/>
      <c r="USK745" s="303"/>
      <c r="USL745" s="303"/>
      <c r="USM745" s="303"/>
      <c r="USN745" s="303"/>
      <c r="USO745" s="303"/>
      <c r="USP745" s="303"/>
      <c r="USQ745" s="303"/>
      <c r="USR745" s="303"/>
      <c r="USS745" s="303"/>
      <c r="UST745" s="303"/>
      <c r="USU745" s="303"/>
      <c r="USV745" s="303"/>
      <c r="USW745" s="303"/>
      <c r="USX745" s="303"/>
      <c r="USY745" s="303"/>
      <c r="USZ745" s="303"/>
      <c r="UTA745" s="303"/>
      <c r="UTB745" s="303"/>
      <c r="UTC745" s="303"/>
      <c r="UTD745" s="303"/>
      <c r="UTE745" s="303"/>
      <c r="UTF745" s="303"/>
      <c r="UTG745" s="303"/>
      <c r="UTH745" s="303"/>
      <c r="UTI745" s="303"/>
      <c r="UTJ745" s="303"/>
      <c r="UTK745" s="303"/>
      <c r="UTL745" s="303"/>
      <c r="UTM745" s="303"/>
      <c r="UTN745" s="303"/>
      <c r="UTO745" s="303"/>
      <c r="UTP745" s="303"/>
      <c r="UTQ745" s="303"/>
      <c r="UTR745" s="303"/>
      <c r="UTS745" s="303"/>
      <c r="UTT745" s="303"/>
      <c r="UTU745" s="303"/>
      <c r="UTV745" s="303"/>
      <c r="UTW745" s="303"/>
      <c r="UTX745" s="303"/>
      <c r="UTY745" s="303"/>
      <c r="UTZ745" s="303"/>
      <c r="UUA745" s="303"/>
      <c r="UUB745" s="303"/>
      <c r="UUC745" s="303"/>
      <c r="UUD745" s="303"/>
      <c r="UUE745" s="303"/>
      <c r="UUF745" s="303"/>
      <c r="UUG745" s="303"/>
      <c r="UUH745" s="303"/>
      <c r="UUI745" s="303"/>
      <c r="UUJ745" s="303"/>
      <c r="UUK745" s="303"/>
      <c r="UUL745" s="303"/>
      <c r="UUM745" s="303"/>
      <c r="UUN745" s="303"/>
      <c r="UUO745" s="303"/>
      <c r="UUP745" s="303"/>
      <c r="UUQ745" s="303"/>
      <c r="UUR745" s="303"/>
      <c r="UUS745" s="303"/>
      <c r="UUT745" s="303"/>
      <c r="UUU745" s="303"/>
      <c r="UUV745" s="303"/>
      <c r="UUW745" s="303"/>
      <c r="UUX745" s="303"/>
      <c r="UUY745" s="303"/>
      <c r="UUZ745" s="303"/>
      <c r="UVA745" s="303"/>
      <c r="UVB745" s="303"/>
      <c r="UVC745" s="303"/>
      <c r="UVD745" s="303"/>
      <c r="UVE745" s="303"/>
      <c r="UVF745" s="303"/>
      <c r="UVG745" s="303"/>
      <c r="UVH745" s="303"/>
      <c r="UVI745" s="303"/>
      <c r="UVJ745" s="303"/>
      <c r="UVK745" s="303"/>
      <c r="UVL745" s="303"/>
      <c r="UVM745" s="303"/>
      <c r="UVN745" s="303"/>
      <c r="UVO745" s="303"/>
      <c r="UVP745" s="303"/>
      <c r="UVQ745" s="303"/>
      <c r="UVR745" s="303"/>
      <c r="UVS745" s="303"/>
      <c r="UVT745" s="303"/>
      <c r="UVU745" s="303"/>
      <c r="UVV745" s="303"/>
      <c r="UVW745" s="303"/>
      <c r="UVX745" s="303"/>
      <c r="UVY745" s="303"/>
      <c r="UVZ745" s="303"/>
      <c r="UWA745" s="303"/>
      <c r="UWB745" s="303"/>
      <c r="UWC745" s="303"/>
      <c r="UWD745" s="303"/>
      <c r="UWE745" s="303"/>
      <c r="UWF745" s="303"/>
      <c r="UWG745" s="303"/>
      <c r="UWH745" s="303"/>
      <c r="UWI745" s="303"/>
      <c r="UWJ745" s="303"/>
      <c r="UWK745" s="303"/>
      <c r="UWL745" s="303"/>
      <c r="UWM745" s="303"/>
      <c r="UWN745" s="303"/>
      <c r="UWO745" s="303"/>
      <c r="UWP745" s="303"/>
      <c r="UWQ745" s="303"/>
      <c r="UWR745" s="303"/>
      <c r="UWS745" s="303"/>
      <c r="UWT745" s="303"/>
      <c r="UWU745" s="303"/>
      <c r="UWV745" s="303"/>
      <c r="UWW745" s="303"/>
      <c r="UWX745" s="303"/>
      <c r="UWY745" s="303"/>
      <c r="UWZ745" s="303"/>
      <c r="UXA745" s="303"/>
      <c r="UXB745" s="303"/>
      <c r="UXC745" s="303"/>
      <c r="UXD745" s="303"/>
      <c r="UXE745" s="303"/>
      <c r="UXF745" s="303"/>
      <c r="UXG745" s="303"/>
      <c r="UXH745" s="303"/>
      <c r="UXI745" s="303"/>
      <c r="UXJ745" s="303"/>
      <c r="UXK745" s="303"/>
      <c r="UXL745" s="303"/>
      <c r="UXM745" s="303"/>
      <c r="UXN745" s="303"/>
      <c r="UXO745" s="303"/>
      <c r="UXP745" s="303"/>
      <c r="UXQ745" s="303"/>
      <c r="UXR745" s="303"/>
      <c r="UXS745" s="303"/>
      <c r="UXT745" s="303"/>
      <c r="UXU745" s="303"/>
      <c r="UXV745" s="303"/>
      <c r="UXW745" s="303"/>
      <c r="UXX745" s="303"/>
      <c r="UXY745" s="303"/>
      <c r="UXZ745" s="303"/>
      <c r="UYA745" s="303"/>
      <c r="UYB745" s="303"/>
      <c r="UYC745" s="303"/>
      <c r="UYD745" s="303"/>
      <c r="UYE745" s="303"/>
      <c r="UYF745" s="303"/>
      <c r="UYG745" s="303"/>
      <c r="UYH745" s="303"/>
      <c r="UYI745" s="303"/>
      <c r="UYJ745" s="303"/>
      <c r="UYK745" s="303"/>
      <c r="UYL745" s="303"/>
      <c r="UYM745" s="303"/>
      <c r="UYN745" s="303"/>
      <c r="UYO745" s="303"/>
      <c r="UYP745" s="303"/>
      <c r="UYQ745" s="303"/>
      <c r="UYR745" s="303"/>
      <c r="UYS745" s="303"/>
      <c r="UYT745" s="303"/>
      <c r="UYU745" s="303"/>
      <c r="UYV745" s="303"/>
      <c r="UYW745" s="303"/>
      <c r="UYX745" s="303"/>
      <c r="UYY745" s="303"/>
      <c r="UYZ745" s="303"/>
      <c r="UZA745" s="303"/>
      <c r="UZB745" s="303"/>
      <c r="UZC745" s="303"/>
      <c r="UZD745" s="303"/>
      <c r="UZE745" s="303"/>
      <c r="UZF745" s="303"/>
      <c r="UZG745" s="303"/>
      <c r="UZH745" s="303"/>
      <c r="UZI745" s="303"/>
      <c r="UZJ745" s="303"/>
      <c r="UZK745" s="303"/>
      <c r="UZL745" s="303"/>
      <c r="UZM745" s="303"/>
      <c r="UZN745" s="303"/>
      <c r="UZO745" s="303"/>
      <c r="UZP745" s="303"/>
      <c r="UZQ745" s="303"/>
      <c r="UZR745" s="303"/>
      <c r="UZS745" s="303"/>
      <c r="UZT745" s="303"/>
      <c r="UZU745" s="303"/>
      <c r="UZV745" s="303"/>
      <c r="UZW745" s="303"/>
      <c r="UZX745" s="303"/>
      <c r="UZY745" s="303"/>
      <c r="UZZ745" s="303"/>
      <c r="VAA745" s="303"/>
      <c r="VAB745" s="303"/>
      <c r="VAC745" s="303"/>
      <c r="VAD745" s="303"/>
      <c r="VAE745" s="303"/>
      <c r="VAF745" s="303"/>
      <c r="VAG745" s="303"/>
      <c r="VAH745" s="303"/>
      <c r="VAI745" s="303"/>
      <c r="VAJ745" s="303"/>
      <c r="VAK745" s="303"/>
      <c r="VAL745" s="303"/>
      <c r="VAM745" s="303"/>
      <c r="VAN745" s="303"/>
      <c r="VAO745" s="303"/>
      <c r="VAP745" s="303"/>
      <c r="VAQ745" s="303"/>
      <c r="VAR745" s="303"/>
      <c r="VAS745" s="303"/>
      <c r="VAT745" s="303"/>
      <c r="VAU745" s="303"/>
      <c r="VAV745" s="303"/>
      <c r="VAW745" s="303"/>
      <c r="VAX745" s="303"/>
      <c r="VAY745" s="303"/>
      <c r="VAZ745" s="303"/>
      <c r="VBA745" s="303"/>
      <c r="VBB745" s="303"/>
      <c r="VBC745" s="303"/>
      <c r="VBD745" s="303"/>
      <c r="VBE745" s="303"/>
      <c r="VBF745" s="303"/>
      <c r="VBG745" s="303"/>
      <c r="VBH745" s="303"/>
      <c r="VBI745" s="303"/>
      <c r="VBJ745" s="303"/>
      <c r="VBK745" s="303"/>
      <c r="VBL745" s="303"/>
      <c r="VBM745" s="303"/>
      <c r="VBN745" s="303"/>
      <c r="VBO745" s="303"/>
      <c r="VBP745" s="303"/>
      <c r="VBQ745" s="303"/>
      <c r="VBR745" s="303"/>
      <c r="VBS745" s="303"/>
      <c r="VBT745" s="303"/>
      <c r="VBU745" s="303"/>
      <c r="VBV745" s="303"/>
      <c r="VBW745" s="303"/>
      <c r="VBX745" s="303"/>
      <c r="VBY745" s="303"/>
      <c r="VBZ745" s="303"/>
      <c r="VCA745" s="303"/>
      <c r="VCB745" s="303"/>
      <c r="VCC745" s="303"/>
      <c r="VCD745" s="303"/>
      <c r="VCE745" s="303"/>
      <c r="VCF745" s="303"/>
      <c r="VCG745" s="303"/>
      <c r="VCH745" s="303"/>
      <c r="VCI745" s="303"/>
      <c r="VCJ745" s="303"/>
      <c r="VCK745" s="303"/>
      <c r="VCL745" s="303"/>
      <c r="VCM745" s="303"/>
      <c r="VCN745" s="303"/>
      <c r="VCO745" s="303"/>
      <c r="VCP745" s="303"/>
      <c r="VCQ745" s="303"/>
      <c r="VCR745" s="303"/>
      <c r="VCS745" s="303"/>
      <c r="VCT745" s="303"/>
      <c r="VCU745" s="303"/>
      <c r="VCV745" s="303"/>
      <c r="VCW745" s="303"/>
      <c r="VCX745" s="303"/>
      <c r="VCY745" s="303"/>
      <c r="VCZ745" s="303"/>
      <c r="VDA745" s="303"/>
      <c r="VDB745" s="303"/>
      <c r="VDC745" s="303"/>
      <c r="VDD745" s="303"/>
      <c r="VDE745" s="303"/>
      <c r="VDF745" s="303"/>
      <c r="VDG745" s="303"/>
      <c r="VDH745" s="303"/>
      <c r="VDI745" s="303"/>
      <c r="VDJ745" s="303"/>
      <c r="VDK745" s="303"/>
      <c r="VDL745" s="303"/>
      <c r="VDM745" s="303"/>
      <c r="VDN745" s="303"/>
      <c r="VDO745" s="303"/>
      <c r="VDP745" s="303"/>
      <c r="VDQ745" s="303"/>
      <c r="VDR745" s="303"/>
      <c r="VDS745" s="303"/>
      <c r="VDT745" s="303"/>
      <c r="VDU745" s="303"/>
      <c r="VDV745" s="303"/>
      <c r="VDW745" s="303"/>
      <c r="VDX745" s="303"/>
      <c r="VDY745" s="303"/>
      <c r="VDZ745" s="303"/>
      <c r="VEA745" s="303"/>
      <c r="VEB745" s="303"/>
      <c r="VEC745" s="303"/>
      <c r="VED745" s="303"/>
      <c r="VEE745" s="303"/>
      <c r="VEF745" s="303"/>
      <c r="VEG745" s="303"/>
      <c r="VEH745" s="303"/>
      <c r="VEI745" s="303"/>
      <c r="VEJ745" s="303"/>
      <c r="VEK745" s="303"/>
      <c r="VEL745" s="303"/>
      <c r="VEM745" s="303"/>
      <c r="VEN745" s="303"/>
      <c r="VEO745" s="303"/>
      <c r="VEP745" s="303"/>
      <c r="VEQ745" s="303"/>
      <c r="VER745" s="303"/>
      <c r="VES745" s="303"/>
      <c r="VET745" s="303"/>
      <c r="VEU745" s="303"/>
      <c r="VEV745" s="303"/>
      <c r="VEW745" s="303"/>
      <c r="VEX745" s="303"/>
      <c r="VEY745" s="303"/>
      <c r="VEZ745" s="303"/>
      <c r="VFA745" s="303"/>
      <c r="VFB745" s="303"/>
      <c r="VFC745" s="303"/>
      <c r="VFD745" s="303"/>
      <c r="VFE745" s="303"/>
      <c r="VFF745" s="303"/>
      <c r="VFG745" s="303"/>
      <c r="VFH745" s="303"/>
      <c r="VFI745" s="303"/>
      <c r="VFJ745" s="303"/>
      <c r="VFK745" s="303"/>
      <c r="VFL745" s="303"/>
      <c r="VFM745" s="303"/>
      <c r="VFN745" s="303"/>
      <c r="VFO745" s="303"/>
      <c r="VFP745" s="303"/>
      <c r="VFQ745" s="303"/>
      <c r="VFR745" s="303"/>
      <c r="VFS745" s="303"/>
      <c r="VFT745" s="303"/>
      <c r="VFU745" s="303"/>
      <c r="VFV745" s="303"/>
      <c r="VFW745" s="303"/>
      <c r="VFX745" s="303"/>
      <c r="VFY745" s="303"/>
      <c r="VFZ745" s="303"/>
      <c r="VGA745" s="303"/>
      <c r="VGB745" s="303"/>
      <c r="VGC745" s="303"/>
      <c r="VGD745" s="303"/>
      <c r="VGE745" s="303"/>
      <c r="VGF745" s="303"/>
      <c r="VGG745" s="303"/>
      <c r="VGH745" s="303"/>
      <c r="VGI745" s="303"/>
      <c r="VGJ745" s="303"/>
      <c r="VGK745" s="303"/>
      <c r="VGL745" s="303"/>
      <c r="VGM745" s="303"/>
      <c r="VGN745" s="303"/>
      <c r="VGO745" s="303"/>
      <c r="VGP745" s="303"/>
      <c r="VGQ745" s="303"/>
      <c r="VGR745" s="303"/>
      <c r="VGS745" s="303"/>
      <c r="VGT745" s="303"/>
      <c r="VGU745" s="303"/>
      <c r="VGV745" s="303"/>
      <c r="VGW745" s="303"/>
      <c r="VGX745" s="303"/>
      <c r="VGY745" s="303"/>
      <c r="VGZ745" s="303"/>
      <c r="VHA745" s="303"/>
      <c r="VHB745" s="303"/>
      <c r="VHC745" s="303"/>
      <c r="VHD745" s="303"/>
      <c r="VHE745" s="303"/>
      <c r="VHF745" s="303"/>
      <c r="VHG745" s="303"/>
      <c r="VHH745" s="303"/>
      <c r="VHI745" s="303"/>
      <c r="VHJ745" s="303"/>
      <c r="VHK745" s="303"/>
      <c r="VHL745" s="303"/>
      <c r="VHM745" s="303"/>
      <c r="VHN745" s="303"/>
      <c r="VHO745" s="303"/>
      <c r="VHP745" s="303"/>
      <c r="VHQ745" s="303"/>
      <c r="VHR745" s="303"/>
      <c r="VHS745" s="303"/>
      <c r="VHT745" s="303"/>
      <c r="VHU745" s="303"/>
      <c r="VHV745" s="303"/>
      <c r="VHW745" s="303"/>
      <c r="VHX745" s="303"/>
      <c r="VHY745" s="303"/>
      <c r="VHZ745" s="303"/>
      <c r="VIA745" s="303"/>
      <c r="VIB745" s="303"/>
      <c r="VIC745" s="303"/>
      <c r="VID745" s="303"/>
      <c r="VIE745" s="303"/>
      <c r="VIF745" s="303"/>
      <c r="VIG745" s="303"/>
      <c r="VIH745" s="303"/>
      <c r="VII745" s="303"/>
      <c r="VIJ745" s="303"/>
      <c r="VIK745" s="303"/>
      <c r="VIL745" s="303"/>
      <c r="VIM745" s="303"/>
      <c r="VIN745" s="303"/>
      <c r="VIO745" s="303"/>
      <c r="VIP745" s="303"/>
      <c r="VIQ745" s="303"/>
      <c r="VIR745" s="303"/>
      <c r="VIS745" s="303"/>
      <c r="VIT745" s="303"/>
      <c r="VIU745" s="303"/>
      <c r="VIV745" s="303"/>
      <c r="VIW745" s="303"/>
      <c r="VIX745" s="303"/>
      <c r="VIY745" s="303"/>
      <c r="VIZ745" s="303"/>
      <c r="VJA745" s="303"/>
      <c r="VJB745" s="303"/>
      <c r="VJC745" s="303"/>
      <c r="VJD745" s="303"/>
      <c r="VJE745" s="303"/>
      <c r="VJF745" s="303"/>
      <c r="VJG745" s="303"/>
      <c r="VJH745" s="303"/>
      <c r="VJI745" s="303"/>
      <c r="VJJ745" s="303"/>
      <c r="VJK745" s="303"/>
      <c r="VJL745" s="303"/>
      <c r="VJM745" s="303"/>
      <c r="VJN745" s="303"/>
      <c r="VJO745" s="303"/>
      <c r="VJP745" s="303"/>
      <c r="VJQ745" s="303"/>
      <c r="VJR745" s="303"/>
      <c r="VJS745" s="303"/>
      <c r="VJT745" s="303"/>
      <c r="VJU745" s="303"/>
      <c r="VJV745" s="303"/>
      <c r="VJW745" s="303"/>
      <c r="VJX745" s="303"/>
      <c r="VJY745" s="303"/>
      <c r="VJZ745" s="303"/>
      <c r="VKA745" s="303"/>
      <c r="VKB745" s="303"/>
      <c r="VKC745" s="303"/>
      <c r="VKD745" s="303"/>
      <c r="VKE745" s="303"/>
      <c r="VKF745" s="303"/>
      <c r="VKG745" s="303"/>
      <c r="VKH745" s="303"/>
      <c r="VKI745" s="303"/>
      <c r="VKJ745" s="303"/>
      <c r="VKK745" s="303"/>
      <c r="VKL745" s="303"/>
      <c r="VKM745" s="303"/>
      <c r="VKN745" s="303"/>
      <c r="VKO745" s="303"/>
      <c r="VKP745" s="303"/>
      <c r="VKQ745" s="303"/>
      <c r="VKR745" s="303"/>
      <c r="VKS745" s="303"/>
      <c r="VKT745" s="303"/>
      <c r="VKU745" s="303"/>
      <c r="VKV745" s="303"/>
      <c r="VKW745" s="303"/>
      <c r="VKX745" s="303"/>
      <c r="VKY745" s="303"/>
      <c r="VKZ745" s="303"/>
      <c r="VLA745" s="303"/>
      <c r="VLB745" s="303"/>
      <c r="VLC745" s="303"/>
      <c r="VLD745" s="303"/>
      <c r="VLE745" s="303"/>
      <c r="VLF745" s="303"/>
      <c r="VLG745" s="303"/>
      <c r="VLH745" s="303"/>
      <c r="VLI745" s="303"/>
      <c r="VLJ745" s="303"/>
      <c r="VLK745" s="303"/>
      <c r="VLL745" s="303"/>
      <c r="VLM745" s="303"/>
      <c r="VLN745" s="303"/>
      <c r="VLO745" s="303"/>
      <c r="VLP745" s="303"/>
      <c r="VLQ745" s="303"/>
      <c r="VLR745" s="303"/>
      <c r="VLS745" s="303"/>
      <c r="VLT745" s="303"/>
      <c r="VLU745" s="303"/>
      <c r="VLV745" s="303"/>
      <c r="VLW745" s="303"/>
      <c r="VLX745" s="303"/>
      <c r="VLY745" s="303"/>
      <c r="VLZ745" s="303"/>
      <c r="VMA745" s="303"/>
      <c r="VMB745" s="303"/>
      <c r="VMC745" s="303"/>
      <c r="VMD745" s="303"/>
      <c r="VME745" s="303"/>
      <c r="VMF745" s="303"/>
      <c r="VMG745" s="303"/>
      <c r="VMH745" s="303"/>
      <c r="VMI745" s="303"/>
      <c r="VMJ745" s="303"/>
      <c r="VMK745" s="303"/>
      <c r="VML745" s="303"/>
      <c r="VMM745" s="303"/>
      <c r="VMN745" s="303"/>
      <c r="VMO745" s="303"/>
      <c r="VMP745" s="303"/>
      <c r="VMQ745" s="303"/>
      <c r="VMR745" s="303"/>
      <c r="VMS745" s="303"/>
      <c r="VMT745" s="303"/>
      <c r="VMU745" s="303"/>
      <c r="VMV745" s="303"/>
      <c r="VMW745" s="303"/>
      <c r="VMX745" s="303"/>
      <c r="VMY745" s="303"/>
      <c r="VMZ745" s="303"/>
      <c r="VNA745" s="303"/>
      <c r="VNB745" s="303"/>
      <c r="VNC745" s="303"/>
      <c r="VND745" s="303"/>
      <c r="VNE745" s="303"/>
      <c r="VNF745" s="303"/>
      <c r="VNG745" s="303"/>
      <c r="VNH745" s="303"/>
      <c r="VNI745" s="303"/>
      <c r="VNJ745" s="303"/>
      <c r="VNK745" s="303"/>
      <c r="VNL745" s="303"/>
      <c r="VNM745" s="303"/>
      <c r="VNN745" s="303"/>
      <c r="VNO745" s="303"/>
      <c r="VNP745" s="303"/>
      <c r="VNQ745" s="303"/>
      <c r="VNR745" s="303"/>
      <c r="VNS745" s="303"/>
      <c r="VNT745" s="303"/>
      <c r="VNU745" s="303"/>
      <c r="VNV745" s="303"/>
      <c r="VNW745" s="303"/>
      <c r="VNX745" s="303"/>
      <c r="VNY745" s="303"/>
      <c r="VNZ745" s="303"/>
      <c r="VOA745" s="303"/>
      <c r="VOB745" s="303"/>
      <c r="VOC745" s="303"/>
      <c r="VOD745" s="303"/>
      <c r="VOE745" s="303"/>
      <c r="VOF745" s="303"/>
      <c r="VOG745" s="303"/>
      <c r="VOH745" s="303"/>
      <c r="VOI745" s="303"/>
      <c r="VOJ745" s="303"/>
      <c r="VOK745" s="303"/>
      <c r="VOL745" s="303"/>
      <c r="VOM745" s="303"/>
      <c r="VON745" s="303"/>
      <c r="VOO745" s="303"/>
      <c r="VOP745" s="303"/>
      <c r="VOQ745" s="303"/>
      <c r="VOR745" s="303"/>
      <c r="VOS745" s="303"/>
      <c r="VOT745" s="303"/>
      <c r="VOU745" s="303"/>
      <c r="VOV745" s="303"/>
      <c r="VOW745" s="303"/>
      <c r="VOX745" s="303"/>
      <c r="VOY745" s="303"/>
      <c r="VOZ745" s="303"/>
      <c r="VPA745" s="303"/>
      <c r="VPB745" s="303"/>
      <c r="VPC745" s="303"/>
      <c r="VPD745" s="303"/>
      <c r="VPE745" s="303"/>
      <c r="VPF745" s="303"/>
      <c r="VPG745" s="303"/>
      <c r="VPH745" s="303"/>
      <c r="VPI745" s="303"/>
      <c r="VPJ745" s="303"/>
      <c r="VPK745" s="303"/>
      <c r="VPL745" s="303"/>
      <c r="VPM745" s="303"/>
      <c r="VPN745" s="303"/>
      <c r="VPO745" s="303"/>
      <c r="VPP745" s="303"/>
      <c r="VPQ745" s="303"/>
      <c r="VPR745" s="303"/>
      <c r="VPS745" s="303"/>
      <c r="VPT745" s="303"/>
      <c r="VPU745" s="303"/>
      <c r="VPV745" s="303"/>
      <c r="VPW745" s="303"/>
      <c r="VPX745" s="303"/>
      <c r="VPY745" s="303"/>
      <c r="VPZ745" s="303"/>
      <c r="VQA745" s="303"/>
      <c r="VQB745" s="303"/>
      <c r="VQC745" s="303"/>
      <c r="VQD745" s="303"/>
      <c r="VQE745" s="303"/>
      <c r="VQF745" s="303"/>
      <c r="VQG745" s="303"/>
      <c r="VQH745" s="303"/>
      <c r="VQI745" s="303"/>
      <c r="VQJ745" s="303"/>
      <c r="VQK745" s="303"/>
      <c r="VQL745" s="303"/>
      <c r="VQM745" s="303"/>
      <c r="VQN745" s="303"/>
      <c r="VQO745" s="303"/>
      <c r="VQP745" s="303"/>
      <c r="VQQ745" s="303"/>
      <c r="VQR745" s="303"/>
      <c r="VQS745" s="303"/>
      <c r="VQT745" s="303"/>
      <c r="VQU745" s="303"/>
      <c r="VQV745" s="303"/>
      <c r="VQW745" s="303"/>
      <c r="VQX745" s="303"/>
      <c r="VQY745" s="303"/>
      <c r="VQZ745" s="303"/>
      <c r="VRA745" s="303"/>
      <c r="VRB745" s="303"/>
      <c r="VRC745" s="303"/>
      <c r="VRD745" s="303"/>
      <c r="VRE745" s="303"/>
      <c r="VRF745" s="303"/>
      <c r="VRG745" s="303"/>
      <c r="VRH745" s="303"/>
      <c r="VRI745" s="303"/>
      <c r="VRJ745" s="303"/>
      <c r="VRK745" s="303"/>
      <c r="VRL745" s="303"/>
      <c r="VRM745" s="303"/>
      <c r="VRN745" s="303"/>
      <c r="VRO745" s="303"/>
      <c r="VRP745" s="303"/>
      <c r="VRQ745" s="303"/>
      <c r="VRR745" s="303"/>
      <c r="VRS745" s="303"/>
      <c r="VRT745" s="303"/>
      <c r="VRU745" s="303"/>
      <c r="VRV745" s="303"/>
      <c r="VRW745" s="303"/>
      <c r="VRX745" s="303"/>
      <c r="VRY745" s="303"/>
      <c r="VRZ745" s="303"/>
      <c r="VSA745" s="303"/>
      <c r="VSB745" s="303"/>
      <c r="VSC745" s="303"/>
      <c r="VSD745" s="303"/>
      <c r="VSE745" s="303"/>
      <c r="VSF745" s="303"/>
      <c r="VSG745" s="303"/>
      <c r="VSH745" s="303"/>
      <c r="VSI745" s="303"/>
      <c r="VSJ745" s="303"/>
      <c r="VSK745" s="303"/>
      <c r="VSL745" s="303"/>
      <c r="VSM745" s="303"/>
      <c r="VSN745" s="303"/>
      <c r="VSO745" s="303"/>
      <c r="VSP745" s="303"/>
      <c r="VSQ745" s="303"/>
      <c r="VSR745" s="303"/>
      <c r="VSS745" s="303"/>
      <c r="VST745" s="303"/>
      <c r="VSU745" s="303"/>
      <c r="VSV745" s="303"/>
      <c r="VSW745" s="303"/>
      <c r="VSX745" s="303"/>
      <c r="VSY745" s="303"/>
      <c r="VSZ745" s="303"/>
      <c r="VTA745" s="303"/>
      <c r="VTB745" s="303"/>
      <c r="VTC745" s="303"/>
      <c r="VTD745" s="303"/>
      <c r="VTE745" s="303"/>
      <c r="VTF745" s="303"/>
      <c r="VTG745" s="303"/>
      <c r="VTH745" s="303"/>
      <c r="VTI745" s="303"/>
      <c r="VTJ745" s="303"/>
      <c r="VTK745" s="303"/>
      <c r="VTL745" s="303"/>
      <c r="VTM745" s="303"/>
      <c r="VTN745" s="303"/>
      <c r="VTO745" s="303"/>
      <c r="VTP745" s="303"/>
      <c r="VTQ745" s="303"/>
      <c r="VTR745" s="303"/>
      <c r="VTS745" s="303"/>
      <c r="VTT745" s="303"/>
      <c r="VTU745" s="303"/>
      <c r="VTV745" s="303"/>
      <c r="VTW745" s="303"/>
      <c r="VTX745" s="303"/>
      <c r="VTY745" s="303"/>
      <c r="VTZ745" s="303"/>
      <c r="VUA745" s="303"/>
      <c r="VUB745" s="303"/>
      <c r="VUC745" s="303"/>
      <c r="VUD745" s="303"/>
      <c r="VUE745" s="303"/>
      <c r="VUF745" s="303"/>
      <c r="VUG745" s="303"/>
      <c r="VUH745" s="303"/>
      <c r="VUI745" s="303"/>
      <c r="VUJ745" s="303"/>
      <c r="VUK745" s="303"/>
      <c r="VUL745" s="303"/>
      <c r="VUM745" s="303"/>
      <c r="VUN745" s="303"/>
      <c r="VUO745" s="303"/>
      <c r="VUP745" s="303"/>
      <c r="VUQ745" s="303"/>
      <c r="VUR745" s="303"/>
      <c r="VUS745" s="303"/>
      <c r="VUT745" s="303"/>
      <c r="VUU745" s="303"/>
      <c r="VUV745" s="303"/>
      <c r="VUW745" s="303"/>
      <c r="VUX745" s="303"/>
      <c r="VUY745" s="303"/>
      <c r="VUZ745" s="303"/>
      <c r="VVA745" s="303"/>
      <c r="VVB745" s="303"/>
      <c r="VVC745" s="303"/>
      <c r="VVD745" s="303"/>
      <c r="VVE745" s="303"/>
      <c r="VVF745" s="303"/>
      <c r="VVG745" s="303"/>
      <c r="VVH745" s="303"/>
      <c r="VVI745" s="303"/>
      <c r="VVJ745" s="303"/>
      <c r="VVK745" s="303"/>
      <c r="VVL745" s="303"/>
      <c r="VVM745" s="303"/>
      <c r="VVN745" s="303"/>
      <c r="VVO745" s="303"/>
      <c r="VVP745" s="303"/>
      <c r="VVQ745" s="303"/>
      <c r="VVR745" s="303"/>
      <c r="VVS745" s="303"/>
      <c r="VVT745" s="303"/>
      <c r="VVU745" s="303"/>
      <c r="VVV745" s="303"/>
      <c r="VVW745" s="303"/>
      <c r="VVX745" s="303"/>
      <c r="VVY745" s="303"/>
      <c r="VVZ745" s="303"/>
      <c r="VWA745" s="303"/>
      <c r="VWB745" s="303"/>
      <c r="VWC745" s="303"/>
      <c r="VWD745" s="303"/>
      <c r="VWE745" s="303"/>
      <c r="VWF745" s="303"/>
      <c r="VWG745" s="303"/>
      <c r="VWH745" s="303"/>
      <c r="VWI745" s="303"/>
      <c r="VWJ745" s="303"/>
      <c r="VWK745" s="303"/>
      <c r="VWL745" s="303"/>
      <c r="VWM745" s="303"/>
      <c r="VWN745" s="303"/>
      <c r="VWO745" s="303"/>
      <c r="VWP745" s="303"/>
      <c r="VWQ745" s="303"/>
      <c r="VWR745" s="303"/>
      <c r="VWS745" s="303"/>
      <c r="VWT745" s="303"/>
      <c r="VWU745" s="303"/>
      <c r="VWV745" s="303"/>
      <c r="VWW745" s="303"/>
      <c r="VWX745" s="303"/>
      <c r="VWY745" s="303"/>
      <c r="VWZ745" s="303"/>
      <c r="VXA745" s="303"/>
      <c r="VXB745" s="303"/>
      <c r="VXC745" s="303"/>
      <c r="VXD745" s="303"/>
      <c r="VXE745" s="303"/>
      <c r="VXF745" s="303"/>
      <c r="VXG745" s="303"/>
      <c r="VXH745" s="303"/>
      <c r="VXI745" s="303"/>
      <c r="VXJ745" s="303"/>
      <c r="VXK745" s="303"/>
      <c r="VXL745" s="303"/>
      <c r="VXM745" s="303"/>
      <c r="VXN745" s="303"/>
      <c r="VXO745" s="303"/>
      <c r="VXP745" s="303"/>
      <c r="VXQ745" s="303"/>
      <c r="VXR745" s="303"/>
      <c r="VXS745" s="303"/>
      <c r="VXT745" s="303"/>
      <c r="VXU745" s="303"/>
      <c r="VXV745" s="303"/>
      <c r="VXW745" s="303"/>
      <c r="VXX745" s="303"/>
      <c r="VXY745" s="303"/>
      <c r="VXZ745" s="303"/>
      <c r="VYA745" s="303"/>
      <c r="VYB745" s="303"/>
      <c r="VYC745" s="303"/>
      <c r="VYD745" s="303"/>
      <c r="VYE745" s="303"/>
      <c r="VYF745" s="303"/>
      <c r="VYG745" s="303"/>
      <c r="VYH745" s="303"/>
      <c r="VYI745" s="303"/>
      <c r="VYJ745" s="303"/>
      <c r="VYK745" s="303"/>
      <c r="VYL745" s="303"/>
      <c r="VYM745" s="303"/>
      <c r="VYN745" s="303"/>
      <c r="VYO745" s="303"/>
      <c r="VYP745" s="303"/>
      <c r="VYQ745" s="303"/>
      <c r="VYR745" s="303"/>
      <c r="VYS745" s="303"/>
      <c r="VYT745" s="303"/>
      <c r="VYU745" s="303"/>
      <c r="VYV745" s="303"/>
      <c r="VYW745" s="303"/>
      <c r="VYX745" s="303"/>
      <c r="VYY745" s="303"/>
      <c r="VYZ745" s="303"/>
      <c r="VZA745" s="303"/>
      <c r="VZB745" s="303"/>
      <c r="VZC745" s="303"/>
      <c r="VZD745" s="303"/>
      <c r="VZE745" s="303"/>
      <c r="VZF745" s="303"/>
      <c r="VZG745" s="303"/>
      <c r="VZH745" s="303"/>
      <c r="VZI745" s="303"/>
      <c r="VZJ745" s="303"/>
      <c r="VZK745" s="303"/>
      <c r="VZL745" s="303"/>
      <c r="VZM745" s="303"/>
      <c r="VZN745" s="303"/>
      <c r="VZO745" s="303"/>
      <c r="VZP745" s="303"/>
      <c r="VZQ745" s="303"/>
      <c r="VZR745" s="303"/>
      <c r="VZS745" s="303"/>
      <c r="VZT745" s="303"/>
      <c r="VZU745" s="303"/>
      <c r="VZV745" s="303"/>
      <c r="VZW745" s="303"/>
      <c r="VZX745" s="303"/>
      <c r="VZY745" s="303"/>
      <c r="VZZ745" s="303"/>
      <c r="WAA745" s="303"/>
      <c r="WAB745" s="303"/>
      <c r="WAC745" s="303"/>
      <c r="WAD745" s="303"/>
      <c r="WAE745" s="303"/>
      <c r="WAF745" s="303"/>
      <c r="WAG745" s="303"/>
      <c r="WAH745" s="303"/>
      <c r="WAI745" s="303"/>
      <c r="WAJ745" s="303"/>
      <c r="WAK745" s="303"/>
      <c r="WAL745" s="303"/>
      <c r="WAM745" s="303"/>
      <c r="WAN745" s="303"/>
      <c r="WAO745" s="303"/>
      <c r="WAP745" s="303"/>
      <c r="WAQ745" s="303"/>
      <c r="WAR745" s="303"/>
      <c r="WAS745" s="303"/>
      <c r="WAT745" s="303"/>
      <c r="WAU745" s="303"/>
      <c r="WAV745" s="303"/>
      <c r="WAW745" s="303"/>
      <c r="WAX745" s="303"/>
      <c r="WAY745" s="303"/>
      <c r="WAZ745" s="303"/>
      <c r="WBA745" s="303"/>
      <c r="WBB745" s="303"/>
      <c r="WBC745" s="303"/>
      <c r="WBD745" s="303"/>
      <c r="WBE745" s="303"/>
      <c r="WBF745" s="303"/>
      <c r="WBG745" s="303"/>
      <c r="WBH745" s="303"/>
      <c r="WBI745" s="303"/>
      <c r="WBJ745" s="303"/>
      <c r="WBK745" s="303"/>
      <c r="WBL745" s="303"/>
      <c r="WBM745" s="303"/>
      <c r="WBN745" s="303"/>
      <c r="WBO745" s="303"/>
      <c r="WBP745" s="303"/>
      <c r="WBQ745" s="303"/>
      <c r="WBR745" s="303"/>
      <c r="WBS745" s="303"/>
      <c r="WBT745" s="303"/>
      <c r="WBU745" s="303"/>
      <c r="WBV745" s="303"/>
      <c r="WBW745" s="303"/>
      <c r="WBX745" s="303"/>
      <c r="WBY745" s="303"/>
      <c r="WBZ745" s="303"/>
      <c r="WCA745" s="303"/>
      <c r="WCB745" s="303"/>
      <c r="WCC745" s="303"/>
      <c r="WCD745" s="303"/>
      <c r="WCE745" s="303"/>
      <c r="WCF745" s="303"/>
      <c r="WCG745" s="303"/>
      <c r="WCH745" s="303"/>
      <c r="WCI745" s="303"/>
      <c r="WCJ745" s="303"/>
      <c r="WCK745" s="303"/>
      <c r="WCL745" s="303"/>
      <c r="WCM745" s="303"/>
      <c r="WCN745" s="303"/>
      <c r="WCO745" s="303"/>
      <c r="WCP745" s="303"/>
      <c r="WCQ745" s="303"/>
      <c r="WCR745" s="303"/>
      <c r="WCS745" s="303"/>
      <c r="WCT745" s="303"/>
      <c r="WCU745" s="303"/>
      <c r="WCV745" s="303"/>
      <c r="WCW745" s="303"/>
      <c r="WCX745" s="303"/>
      <c r="WCY745" s="303"/>
      <c r="WCZ745" s="303"/>
      <c r="WDA745" s="303"/>
      <c r="WDB745" s="303"/>
      <c r="WDC745" s="303"/>
      <c r="WDD745" s="303"/>
      <c r="WDE745" s="303"/>
      <c r="WDF745" s="303"/>
      <c r="WDG745" s="303"/>
      <c r="WDH745" s="303"/>
      <c r="WDI745" s="303"/>
      <c r="WDJ745" s="303"/>
      <c r="WDK745" s="303"/>
      <c r="WDL745" s="303"/>
      <c r="WDM745" s="303"/>
      <c r="WDN745" s="303"/>
      <c r="WDO745" s="303"/>
      <c r="WDP745" s="303"/>
      <c r="WDQ745" s="303"/>
      <c r="WDR745" s="303"/>
      <c r="WDS745" s="303"/>
      <c r="WDT745" s="303"/>
      <c r="WDU745" s="303"/>
      <c r="WDV745" s="303"/>
      <c r="WDW745" s="303"/>
      <c r="WDX745" s="303"/>
      <c r="WDY745" s="303"/>
      <c r="WDZ745" s="303"/>
      <c r="WEA745" s="303"/>
      <c r="WEB745" s="303"/>
      <c r="WEC745" s="303"/>
      <c r="WED745" s="303"/>
      <c r="WEE745" s="303"/>
      <c r="WEF745" s="303"/>
      <c r="WEG745" s="303"/>
      <c r="WEH745" s="303"/>
      <c r="WEI745" s="303"/>
      <c r="WEJ745" s="303"/>
      <c r="WEK745" s="303"/>
      <c r="WEL745" s="303"/>
      <c r="WEM745" s="303"/>
      <c r="WEN745" s="303"/>
      <c r="WEO745" s="303"/>
      <c r="WEP745" s="303"/>
      <c r="WEQ745" s="303"/>
      <c r="WER745" s="303"/>
      <c r="WES745" s="303"/>
      <c r="WET745" s="303"/>
      <c r="WEU745" s="303"/>
      <c r="WEV745" s="303"/>
      <c r="WEW745" s="303"/>
      <c r="WEX745" s="303"/>
      <c r="WEY745" s="303"/>
      <c r="WEZ745" s="303"/>
      <c r="WFA745" s="303"/>
      <c r="WFB745" s="303"/>
      <c r="WFC745" s="303"/>
      <c r="WFD745" s="303"/>
      <c r="WFE745" s="303"/>
      <c r="WFF745" s="303"/>
      <c r="WFG745" s="303"/>
      <c r="WFH745" s="303"/>
      <c r="WFI745" s="303"/>
      <c r="WFJ745" s="303"/>
      <c r="WFK745" s="303"/>
      <c r="WFL745" s="303"/>
      <c r="WFM745" s="303"/>
      <c r="WFN745" s="303"/>
      <c r="WFO745" s="303"/>
      <c r="WFP745" s="303"/>
      <c r="WFQ745" s="303"/>
      <c r="WFR745" s="303"/>
      <c r="WFS745" s="303"/>
      <c r="WFT745" s="303"/>
      <c r="WFU745" s="303"/>
      <c r="WFV745" s="303"/>
      <c r="WFW745" s="303"/>
      <c r="WFX745" s="303"/>
      <c r="WFY745" s="303"/>
      <c r="WFZ745" s="303"/>
      <c r="WGA745" s="303"/>
      <c r="WGB745" s="303"/>
      <c r="WGC745" s="303"/>
      <c r="WGD745" s="303"/>
      <c r="WGE745" s="303"/>
      <c r="WGF745" s="303"/>
      <c r="WGG745" s="303"/>
      <c r="WGH745" s="303"/>
      <c r="WGI745" s="303"/>
      <c r="WGJ745" s="303"/>
      <c r="WGK745" s="303"/>
      <c r="WGL745" s="303"/>
      <c r="WGM745" s="303"/>
      <c r="WGN745" s="303"/>
      <c r="WGO745" s="303"/>
      <c r="WGP745" s="303"/>
      <c r="WGQ745" s="303"/>
      <c r="WGR745" s="303"/>
      <c r="WGS745" s="303"/>
      <c r="WGT745" s="303"/>
      <c r="WGU745" s="303"/>
      <c r="WGV745" s="303"/>
      <c r="WGW745" s="303"/>
      <c r="WGX745" s="303"/>
      <c r="WGY745" s="303"/>
      <c r="WGZ745" s="303"/>
      <c r="WHA745" s="303"/>
      <c r="WHB745" s="303"/>
      <c r="WHC745" s="303"/>
      <c r="WHD745" s="303"/>
      <c r="WHE745" s="303"/>
      <c r="WHF745" s="303"/>
      <c r="WHG745" s="303"/>
      <c r="WHH745" s="303"/>
      <c r="WHI745" s="303"/>
      <c r="WHJ745" s="303"/>
      <c r="WHK745" s="303"/>
      <c r="WHL745" s="303"/>
      <c r="WHM745" s="303"/>
      <c r="WHN745" s="303"/>
      <c r="WHO745" s="303"/>
      <c r="WHP745" s="303"/>
      <c r="WHQ745" s="303"/>
      <c r="WHR745" s="303"/>
      <c r="WHS745" s="303"/>
      <c r="WHT745" s="303"/>
      <c r="WHU745" s="303"/>
      <c r="WHV745" s="303"/>
      <c r="WHW745" s="303"/>
      <c r="WHX745" s="303"/>
      <c r="WHY745" s="303"/>
      <c r="WHZ745" s="303"/>
      <c r="WIA745" s="303"/>
      <c r="WIB745" s="303"/>
      <c r="WIC745" s="303"/>
      <c r="WID745" s="303"/>
      <c r="WIE745" s="303"/>
      <c r="WIF745" s="303"/>
      <c r="WIG745" s="303"/>
      <c r="WIH745" s="303"/>
      <c r="WII745" s="303"/>
      <c r="WIJ745" s="303"/>
      <c r="WIK745" s="303"/>
      <c r="WIL745" s="303"/>
      <c r="WIM745" s="303"/>
      <c r="WIN745" s="303"/>
      <c r="WIO745" s="303"/>
      <c r="WIP745" s="303"/>
      <c r="WIQ745" s="303"/>
      <c r="WIR745" s="303"/>
      <c r="WIS745" s="303"/>
      <c r="WIT745" s="303"/>
      <c r="WIU745" s="303"/>
      <c r="WIV745" s="303"/>
      <c r="WIW745" s="303"/>
      <c r="WIX745" s="303"/>
      <c r="WIY745" s="303"/>
      <c r="WIZ745" s="303"/>
      <c r="WJA745" s="303"/>
      <c r="WJB745" s="303"/>
      <c r="WJC745" s="303"/>
      <c r="WJD745" s="303"/>
      <c r="WJE745" s="303"/>
      <c r="WJF745" s="303"/>
      <c r="WJG745" s="303"/>
      <c r="WJH745" s="303"/>
      <c r="WJI745" s="303"/>
      <c r="WJJ745" s="303"/>
      <c r="WJK745" s="303"/>
      <c r="WJL745" s="303"/>
      <c r="WJM745" s="303"/>
      <c r="WJN745" s="303"/>
      <c r="WJO745" s="303"/>
      <c r="WJP745" s="303"/>
      <c r="WJQ745" s="303"/>
      <c r="WJR745" s="303"/>
      <c r="WJS745" s="303"/>
      <c r="WJT745" s="303"/>
      <c r="WJU745" s="303"/>
      <c r="WJV745" s="303"/>
      <c r="WJW745" s="303"/>
      <c r="WJX745" s="303"/>
      <c r="WJY745" s="303"/>
      <c r="WJZ745" s="303"/>
      <c r="WKA745" s="303"/>
      <c r="WKB745" s="303"/>
      <c r="WKC745" s="303"/>
      <c r="WKD745" s="303"/>
      <c r="WKE745" s="303"/>
      <c r="WKF745" s="303"/>
      <c r="WKG745" s="303"/>
      <c r="WKH745" s="303"/>
      <c r="WKI745" s="303"/>
      <c r="WKJ745" s="303"/>
      <c r="WKK745" s="303"/>
      <c r="WKL745" s="303"/>
      <c r="WKM745" s="303"/>
      <c r="WKN745" s="303"/>
      <c r="WKO745" s="303"/>
      <c r="WKP745" s="303"/>
      <c r="WKQ745" s="303"/>
      <c r="WKR745" s="303"/>
      <c r="WKS745" s="303"/>
      <c r="WKT745" s="303"/>
      <c r="WKU745" s="303"/>
      <c r="WKV745" s="303"/>
      <c r="WKW745" s="303"/>
      <c r="WKX745" s="303"/>
      <c r="WKY745" s="303"/>
      <c r="WKZ745" s="303"/>
      <c r="WLA745" s="303"/>
      <c r="WLB745" s="303"/>
      <c r="WLC745" s="303"/>
      <c r="WLD745" s="303"/>
      <c r="WLE745" s="303"/>
      <c r="WLF745" s="303"/>
      <c r="WLG745" s="303"/>
      <c r="WLH745" s="303"/>
      <c r="WLI745" s="303"/>
      <c r="WLJ745" s="303"/>
      <c r="WLK745" s="303"/>
      <c r="WLL745" s="303"/>
      <c r="WLM745" s="303"/>
      <c r="WLN745" s="303"/>
      <c r="WLO745" s="303"/>
      <c r="WLP745" s="303"/>
      <c r="WLQ745" s="303"/>
      <c r="WLR745" s="303"/>
      <c r="WLS745" s="303"/>
      <c r="WLT745" s="303"/>
      <c r="WLU745" s="303"/>
      <c r="WLV745" s="303"/>
      <c r="WLW745" s="303"/>
      <c r="WLX745" s="303"/>
      <c r="WLY745" s="303"/>
      <c r="WLZ745" s="303"/>
      <c r="WMA745" s="303"/>
      <c r="WMB745" s="303"/>
      <c r="WMC745" s="303"/>
      <c r="WMD745" s="303"/>
      <c r="WME745" s="303"/>
      <c r="WMF745" s="303"/>
      <c r="WMG745" s="303"/>
      <c r="WMH745" s="303"/>
      <c r="WMI745" s="303"/>
      <c r="WMJ745" s="303"/>
      <c r="WMK745" s="303"/>
      <c r="WML745" s="303"/>
      <c r="WMM745" s="303"/>
      <c r="WMN745" s="303"/>
      <c r="WMO745" s="303"/>
      <c r="WMP745" s="303"/>
      <c r="WMQ745" s="303"/>
      <c r="WMR745" s="303"/>
      <c r="WMS745" s="303"/>
      <c r="WMT745" s="303"/>
      <c r="WMU745" s="303"/>
      <c r="WMV745" s="303"/>
      <c r="WMW745" s="303"/>
      <c r="WMX745" s="303"/>
      <c r="WMY745" s="303"/>
      <c r="WMZ745" s="303"/>
      <c r="WNA745" s="303"/>
      <c r="WNB745" s="303"/>
      <c r="WNC745" s="303"/>
      <c r="WND745" s="303"/>
      <c r="WNE745" s="303"/>
      <c r="WNF745" s="303"/>
      <c r="WNG745" s="303"/>
      <c r="WNH745" s="303"/>
      <c r="WNI745" s="303"/>
      <c r="WNJ745" s="303"/>
      <c r="WNK745" s="303"/>
      <c r="WNL745" s="303"/>
      <c r="WNM745" s="303"/>
      <c r="WNN745" s="303"/>
      <c r="WNO745" s="303"/>
      <c r="WNP745" s="303"/>
      <c r="WNQ745" s="303"/>
      <c r="WNR745" s="303"/>
      <c r="WNS745" s="303"/>
      <c r="WNT745" s="303"/>
      <c r="WNU745" s="303"/>
      <c r="WNV745" s="303"/>
      <c r="WNW745" s="303"/>
      <c r="WNX745" s="303"/>
      <c r="WNY745" s="303"/>
      <c r="WNZ745" s="303"/>
      <c r="WOA745" s="303"/>
      <c r="WOB745" s="303"/>
      <c r="WOC745" s="303"/>
      <c r="WOD745" s="303"/>
      <c r="WOE745" s="303"/>
      <c r="WOF745" s="303"/>
      <c r="WOG745" s="303"/>
      <c r="WOH745" s="303"/>
      <c r="WOI745" s="303"/>
      <c r="WOJ745" s="303"/>
      <c r="WOK745" s="303"/>
      <c r="WOL745" s="303"/>
      <c r="WOM745" s="303"/>
      <c r="WON745" s="303"/>
      <c r="WOO745" s="303"/>
      <c r="WOP745" s="303"/>
      <c r="WOQ745" s="303"/>
      <c r="WOR745" s="303"/>
      <c r="WOS745" s="303"/>
      <c r="WOT745" s="303"/>
      <c r="WOU745" s="303"/>
      <c r="WOV745" s="303"/>
      <c r="WOW745" s="303"/>
      <c r="WOX745" s="303"/>
      <c r="WOY745" s="303"/>
      <c r="WOZ745" s="303"/>
      <c r="WPA745" s="303"/>
      <c r="WPB745" s="303"/>
      <c r="WPC745" s="303"/>
      <c r="WPD745" s="303"/>
      <c r="WPE745" s="303"/>
      <c r="WPF745" s="303"/>
      <c r="WPG745" s="303"/>
      <c r="WPH745" s="303"/>
      <c r="WPI745" s="303"/>
      <c r="WPJ745" s="303"/>
      <c r="WPK745" s="303"/>
      <c r="WPL745" s="303"/>
      <c r="WPM745" s="303"/>
      <c r="WPN745" s="303"/>
      <c r="WPO745" s="303"/>
      <c r="WPP745" s="303"/>
      <c r="WPQ745" s="303"/>
      <c r="WPR745" s="303"/>
      <c r="WPS745" s="303"/>
      <c r="WPT745" s="303"/>
      <c r="WPU745" s="303"/>
      <c r="WPV745" s="303"/>
      <c r="WPW745" s="303"/>
      <c r="WPX745" s="303"/>
      <c r="WPY745" s="303"/>
      <c r="WPZ745" s="303"/>
      <c r="WQA745" s="303"/>
      <c r="WQB745" s="303"/>
      <c r="WQC745" s="303"/>
      <c r="WQD745" s="303"/>
      <c r="WQE745" s="303"/>
      <c r="WQF745" s="303"/>
      <c r="WQG745" s="303"/>
      <c r="WQH745" s="303"/>
      <c r="WQI745" s="303"/>
      <c r="WQJ745" s="303"/>
      <c r="WQK745" s="303"/>
      <c r="WQL745" s="303"/>
      <c r="WQM745" s="303"/>
      <c r="WQN745" s="303"/>
      <c r="WQO745" s="303"/>
      <c r="WQP745" s="303"/>
      <c r="WQQ745" s="303"/>
      <c r="WQR745" s="303"/>
      <c r="WQS745" s="303"/>
      <c r="WQT745" s="303"/>
      <c r="WQU745" s="303"/>
      <c r="WQV745" s="303"/>
      <c r="WQW745" s="303"/>
      <c r="WQX745" s="303"/>
      <c r="WQY745" s="303"/>
      <c r="WQZ745" s="303"/>
      <c r="WRA745" s="303"/>
      <c r="WRB745" s="303"/>
      <c r="WRC745" s="303"/>
      <c r="WRD745" s="303"/>
      <c r="WRE745" s="303"/>
      <c r="WRF745" s="303"/>
      <c r="WRG745" s="303"/>
      <c r="WRH745" s="303"/>
      <c r="WRI745" s="303"/>
      <c r="WRJ745" s="303"/>
      <c r="WRK745" s="303"/>
      <c r="WRL745" s="303"/>
      <c r="WRM745" s="303"/>
      <c r="WRN745" s="303"/>
      <c r="WRO745" s="303"/>
      <c r="WRP745" s="303"/>
      <c r="WRQ745" s="303"/>
      <c r="WRR745" s="303"/>
      <c r="WRS745" s="303"/>
      <c r="WRT745" s="303"/>
      <c r="WRU745" s="303"/>
      <c r="WRV745" s="303"/>
      <c r="WRW745" s="303"/>
      <c r="WRX745" s="303"/>
      <c r="WRY745" s="303"/>
      <c r="WRZ745" s="303"/>
      <c r="WSA745" s="303"/>
      <c r="WSB745" s="303"/>
      <c r="WSC745" s="303"/>
      <c r="WSD745" s="303"/>
      <c r="WSE745" s="303"/>
      <c r="WSF745" s="303"/>
      <c r="WSG745" s="303"/>
      <c r="WSH745" s="303"/>
      <c r="WSI745" s="303"/>
      <c r="WSJ745" s="303"/>
      <c r="WSK745" s="303"/>
      <c r="WSL745" s="303"/>
      <c r="WSM745" s="303"/>
      <c r="WSN745" s="303"/>
      <c r="WSO745" s="303"/>
      <c r="WSP745" s="303"/>
      <c r="WSQ745" s="303"/>
      <c r="WSR745" s="303"/>
      <c r="WSS745" s="303"/>
      <c r="WST745" s="303"/>
      <c r="WSU745" s="303"/>
      <c r="WSV745" s="303"/>
      <c r="WSW745" s="303"/>
      <c r="WSX745" s="303"/>
      <c r="WSY745" s="303"/>
      <c r="WSZ745" s="303"/>
      <c r="WTA745" s="303"/>
      <c r="WTB745" s="303"/>
      <c r="WTC745" s="303"/>
      <c r="WTD745" s="303"/>
      <c r="WTE745" s="303"/>
      <c r="WTF745" s="303"/>
      <c r="WTG745" s="303"/>
      <c r="WTH745" s="303"/>
      <c r="WTI745" s="303"/>
      <c r="WTJ745" s="303"/>
      <c r="WTK745" s="303"/>
      <c r="WTL745" s="303"/>
      <c r="WTM745" s="303"/>
      <c r="WTN745" s="303"/>
      <c r="WTO745" s="303"/>
      <c r="WTP745" s="303"/>
      <c r="WTQ745" s="303"/>
      <c r="WTR745" s="303"/>
      <c r="WTS745" s="303"/>
      <c r="WTT745" s="303"/>
      <c r="WTU745" s="303"/>
      <c r="WTV745" s="303"/>
      <c r="WTW745" s="303"/>
      <c r="WTX745" s="303"/>
      <c r="WTY745" s="303"/>
      <c r="WTZ745" s="303"/>
      <c r="WUA745" s="303"/>
      <c r="WUB745" s="303"/>
      <c r="WUC745" s="303"/>
      <c r="WUD745" s="303"/>
      <c r="WUE745" s="303"/>
      <c r="WUF745" s="303"/>
      <c r="WUG745" s="303"/>
      <c r="WUH745" s="303"/>
      <c r="WUI745" s="303"/>
      <c r="WUJ745" s="303"/>
      <c r="WUK745" s="303"/>
      <c r="WUL745" s="303"/>
      <c r="WUM745" s="303"/>
      <c r="WUN745" s="303"/>
      <c r="WUO745" s="303"/>
      <c r="WUP745" s="303"/>
      <c r="WUQ745" s="303"/>
      <c r="WUR745" s="303"/>
      <c r="WUS745" s="303"/>
      <c r="WUT745" s="303"/>
      <c r="WUU745" s="303"/>
      <c r="WUV745" s="303"/>
      <c r="WUW745" s="303"/>
      <c r="WUX745" s="303"/>
      <c r="WUY745" s="303"/>
      <c r="WUZ745" s="303"/>
      <c r="WVA745" s="303"/>
      <c r="WVB745" s="303"/>
      <c r="WVC745" s="303"/>
      <c r="WVD745" s="303"/>
      <c r="WVE745" s="303"/>
      <c r="WVF745" s="303"/>
      <c r="WVG745" s="303"/>
      <c r="WVH745" s="303"/>
      <c r="WVI745" s="303"/>
      <c r="WVJ745" s="303"/>
      <c r="WVK745" s="303"/>
      <c r="WVL745" s="303"/>
      <c r="WVM745" s="303"/>
      <c r="WVN745" s="303"/>
      <c r="WVO745" s="303"/>
      <c r="WVP745" s="303"/>
      <c r="WVQ745" s="303"/>
      <c r="WVR745" s="303"/>
      <c r="WVS745" s="303"/>
      <c r="WVT745" s="303"/>
      <c r="WVU745" s="303"/>
      <c r="WVV745" s="303"/>
      <c r="WVW745" s="303"/>
      <c r="WVX745" s="303"/>
      <c r="WVY745" s="303"/>
      <c r="WVZ745" s="303"/>
      <c r="WWA745" s="303"/>
      <c r="WWB745" s="303"/>
      <c r="WWC745" s="303"/>
      <c r="WWD745" s="303"/>
      <c r="WWE745" s="303"/>
      <c r="WWF745" s="303"/>
      <c r="WWG745" s="303"/>
      <c r="WWH745" s="303"/>
      <c r="WWI745" s="303"/>
      <c r="WWJ745" s="303"/>
      <c r="WWK745" s="303"/>
      <c r="WWL745" s="303"/>
      <c r="WWM745" s="303"/>
      <c r="WWN745" s="303"/>
      <c r="WWO745" s="303"/>
      <c r="WWP745" s="303"/>
      <c r="WWQ745" s="303"/>
      <c r="WWR745" s="303"/>
      <c r="WWS745" s="303"/>
      <c r="WWT745" s="303"/>
      <c r="WWU745" s="303"/>
      <c r="WWV745" s="303"/>
      <c r="WWW745" s="303"/>
      <c r="WWX745" s="303"/>
      <c r="WWY745" s="303"/>
      <c r="WWZ745" s="303"/>
      <c r="WXA745" s="303"/>
      <c r="WXB745" s="303"/>
      <c r="WXC745" s="303"/>
      <c r="WXD745" s="303"/>
      <c r="WXE745" s="303"/>
      <c r="WXF745" s="303"/>
      <c r="WXG745" s="303"/>
      <c r="WXH745" s="303"/>
      <c r="WXI745" s="303"/>
      <c r="WXJ745" s="303"/>
      <c r="WXK745" s="303"/>
      <c r="WXL745" s="303"/>
      <c r="WXM745" s="303"/>
      <c r="WXN745" s="303"/>
      <c r="WXO745" s="303"/>
      <c r="WXP745" s="303"/>
      <c r="WXQ745" s="303"/>
      <c r="WXR745" s="303"/>
      <c r="WXS745" s="303"/>
      <c r="WXT745" s="303"/>
      <c r="WXU745" s="303"/>
      <c r="WXV745" s="303"/>
      <c r="WXW745" s="303"/>
      <c r="WXX745" s="303"/>
      <c r="WXY745" s="303"/>
      <c r="WXZ745" s="303"/>
      <c r="WYA745" s="303"/>
      <c r="WYB745" s="303"/>
      <c r="WYC745" s="303"/>
      <c r="WYD745" s="303"/>
      <c r="WYE745" s="303"/>
      <c r="WYF745" s="303"/>
      <c r="WYG745" s="303"/>
      <c r="WYH745" s="303"/>
      <c r="WYI745" s="303"/>
      <c r="WYJ745" s="303"/>
      <c r="WYK745" s="303"/>
      <c r="WYL745" s="303"/>
      <c r="WYM745" s="303"/>
      <c r="WYN745" s="303"/>
      <c r="WYO745" s="303"/>
      <c r="WYP745" s="303"/>
      <c r="WYQ745" s="303"/>
      <c r="WYR745" s="303"/>
      <c r="WYS745" s="303"/>
      <c r="WYT745" s="303"/>
      <c r="WYU745" s="303"/>
      <c r="WYV745" s="303"/>
      <c r="WYW745" s="303"/>
      <c r="WYX745" s="303"/>
      <c r="WYY745" s="303"/>
      <c r="WYZ745" s="303"/>
      <c r="WZA745" s="303"/>
      <c r="WZB745" s="303"/>
      <c r="WZC745" s="303"/>
      <c r="WZD745" s="303"/>
      <c r="WZE745" s="303"/>
      <c r="WZF745" s="303"/>
      <c r="WZG745" s="303"/>
      <c r="WZH745" s="303"/>
      <c r="WZI745" s="303"/>
      <c r="WZJ745" s="303"/>
      <c r="WZK745" s="303"/>
      <c r="WZL745" s="303"/>
      <c r="WZM745" s="303"/>
      <c r="WZN745" s="303"/>
      <c r="WZO745" s="303"/>
      <c r="WZP745" s="303"/>
      <c r="WZQ745" s="303"/>
      <c r="WZR745" s="303"/>
      <c r="WZS745" s="303"/>
      <c r="WZT745" s="303"/>
      <c r="WZU745" s="303"/>
      <c r="WZV745" s="303"/>
      <c r="WZW745" s="303"/>
      <c r="WZX745" s="303"/>
      <c r="WZY745" s="303"/>
      <c r="WZZ745" s="303"/>
      <c r="XAA745" s="303"/>
      <c r="XAB745" s="303"/>
      <c r="XAC745" s="303"/>
      <c r="XAD745" s="303"/>
      <c r="XAE745" s="303"/>
      <c r="XAF745" s="303"/>
      <c r="XAG745" s="303"/>
      <c r="XAH745" s="303"/>
      <c r="XAI745" s="303"/>
      <c r="XAJ745" s="303"/>
      <c r="XAK745" s="303"/>
      <c r="XAL745" s="303"/>
      <c r="XAM745" s="303"/>
      <c r="XAN745" s="303"/>
      <c r="XAO745" s="303"/>
      <c r="XAP745" s="303"/>
      <c r="XAQ745" s="303"/>
      <c r="XAR745" s="303"/>
      <c r="XAS745" s="303"/>
      <c r="XAT745" s="303"/>
      <c r="XAU745" s="303"/>
      <c r="XAV745" s="303"/>
      <c r="XAW745" s="303"/>
      <c r="XAX745" s="303"/>
      <c r="XAY745" s="303"/>
      <c r="XAZ745" s="303"/>
      <c r="XBA745" s="303"/>
      <c r="XBB745" s="303"/>
      <c r="XBC745" s="303"/>
      <c r="XBD745" s="303"/>
      <c r="XBE745" s="303"/>
      <c r="XBF745" s="303"/>
      <c r="XBG745" s="303"/>
      <c r="XBH745" s="303"/>
      <c r="XBI745" s="303"/>
      <c r="XBJ745" s="303"/>
      <c r="XBK745" s="303"/>
      <c r="XBL745" s="303"/>
      <c r="XBM745" s="303"/>
      <c r="XBN745" s="303"/>
      <c r="XBO745" s="303"/>
      <c r="XBP745" s="303"/>
      <c r="XBQ745" s="303"/>
      <c r="XBR745" s="303"/>
      <c r="XBS745" s="303"/>
      <c r="XBT745" s="303"/>
      <c r="XBU745" s="303"/>
      <c r="XBV745" s="303"/>
      <c r="XBW745" s="303"/>
      <c r="XBX745" s="303"/>
      <c r="XBY745" s="303"/>
      <c r="XBZ745" s="303"/>
      <c r="XCA745" s="303"/>
      <c r="XCB745" s="303"/>
      <c r="XCC745" s="303"/>
      <c r="XCD745" s="303"/>
      <c r="XCE745" s="303"/>
      <c r="XCF745" s="303"/>
      <c r="XCG745" s="303"/>
      <c r="XCH745" s="303"/>
      <c r="XCI745" s="303"/>
      <c r="XCJ745" s="303"/>
      <c r="XCK745" s="303"/>
      <c r="XCL745" s="303"/>
      <c r="XCM745" s="303"/>
      <c r="XCN745" s="303"/>
      <c r="XCO745" s="303"/>
      <c r="XCP745" s="303"/>
      <c r="XCQ745" s="303"/>
      <c r="XCR745" s="303"/>
      <c r="XCS745" s="303"/>
      <c r="XCT745" s="303"/>
      <c r="XCU745" s="303"/>
      <c r="XCV745" s="303"/>
      <c r="XCW745" s="303"/>
      <c r="XCX745" s="303"/>
      <c r="XCY745" s="303"/>
      <c r="XCZ745" s="303"/>
      <c r="XDA745" s="303"/>
      <c r="XDB745" s="303"/>
      <c r="XDC745" s="303"/>
      <c r="XDD745" s="303"/>
      <c r="XDE745" s="303"/>
      <c r="XDF745" s="303"/>
      <c r="XDG745" s="303"/>
      <c r="XDH745" s="303"/>
      <c r="XDI745" s="303"/>
      <c r="XDJ745" s="303"/>
      <c r="XDK745" s="303"/>
      <c r="XDL745" s="303"/>
      <c r="XDM745" s="303"/>
      <c r="XDN745" s="303"/>
      <c r="XDO745" s="303"/>
      <c r="XDP745" s="303"/>
      <c r="XDQ745" s="303"/>
      <c r="XDR745" s="303"/>
      <c r="XDS745" s="303"/>
      <c r="XDT745" s="303"/>
      <c r="XDU745" s="303"/>
      <c r="XDV745" s="303"/>
      <c r="XDW745" s="303"/>
      <c r="XDX745" s="303"/>
      <c r="XDY745" s="303"/>
      <c r="XDZ745" s="303"/>
      <c r="XEA745" s="303"/>
      <c r="XEB745" s="303"/>
      <c r="XEC745" s="303"/>
      <c r="XED745" s="303"/>
      <c r="XEE745" s="303"/>
      <c r="XEF745" s="303"/>
      <c r="XEG745" s="303"/>
      <c r="XEH745" s="303"/>
      <c r="XEI745" s="303"/>
      <c r="XEJ745" s="303"/>
      <c r="XEK745" s="303"/>
      <c r="XEL745" s="303"/>
      <c r="XEM745" s="303"/>
      <c r="XEN745" s="303"/>
      <c r="XEO745" s="303"/>
      <c r="XEP745" s="303"/>
      <c r="XEQ745" s="303"/>
      <c r="XER745" s="303"/>
      <c r="XES745" s="303"/>
      <c r="XET745" s="303"/>
      <c r="XEU745" s="303"/>
      <c r="XEV745" s="303"/>
      <c r="XEW745" s="303"/>
      <c r="XEX745" s="303"/>
      <c r="XEY745" s="303"/>
      <c r="XEZ745" s="303"/>
      <c r="XFA745" s="303"/>
      <c r="XFB745" s="303"/>
      <c r="XFC745" s="303"/>
    </row>
    <row r="746" spans="1:16383" ht="13.2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25" customHeight="1">
      <c r="B747" s="1058"/>
      <c r="C747" s="118" t="s">
        <v>178</v>
      </c>
      <c r="D747" s="1058"/>
      <c r="E747" s="1058"/>
      <c r="F747" s="1058"/>
      <c r="G747" s="377"/>
      <c r="H747" s="377"/>
      <c r="I747" s="377"/>
      <c r="J747" s="377"/>
      <c r="K747" s="377"/>
      <c r="L747" s="1058"/>
      <c r="M747" s="1058"/>
      <c r="N747" s="1058"/>
      <c r="O747" s="1058"/>
      <c r="P747" s="1058"/>
      <c r="Q747" s="377"/>
      <c r="R747" s="377"/>
      <c r="S747" s="377"/>
      <c r="T747" s="377"/>
      <c r="U747" s="377"/>
      <c r="AT747"/>
      <c r="AU747"/>
      <c r="AV747"/>
      <c r="AW747"/>
      <c r="AX747"/>
      <c r="AY747"/>
    </row>
    <row r="748" spans="1:16383" s="3" customFormat="1" ht="13.25" customHeight="1">
      <c r="B748" s="1058"/>
      <c r="C748" s="1263" t="s">
        <v>2513</v>
      </c>
      <c r="D748" s="1263"/>
      <c r="E748" s="1263"/>
      <c r="F748" s="1263"/>
      <c r="G748" s="1263"/>
      <c r="H748" s="1263"/>
      <c r="I748" s="1263"/>
      <c r="J748" s="1263"/>
      <c r="K748" s="1263"/>
      <c r="L748" s="1263"/>
      <c r="M748" s="1263"/>
      <c r="N748" s="1263"/>
      <c r="O748" s="1263"/>
      <c r="P748" s="1263"/>
      <c r="Q748" s="1263"/>
      <c r="R748" s="1263"/>
      <c r="S748" s="1263"/>
      <c r="T748" s="1263"/>
      <c r="U748" s="1263"/>
      <c r="V748" s="1263"/>
      <c r="W748" s="1263"/>
      <c r="X748" s="1263"/>
      <c r="Y748" s="1263"/>
      <c r="Z748" s="1263"/>
      <c r="AA748" s="1263"/>
      <c r="AB748" s="1263"/>
      <c r="AC748" s="1263"/>
      <c r="AD748" s="1263"/>
      <c r="AE748" s="1263"/>
      <c r="AF748" s="1263"/>
      <c r="AG748" s="1263"/>
      <c r="AH748" s="1263"/>
      <c r="AI748" s="1263"/>
      <c r="AJ748" s="1263"/>
      <c r="AK748" s="1263"/>
      <c r="AL748" s="1263"/>
      <c r="AM748" s="1263"/>
      <c r="AN748" s="1263"/>
      <c r="AO748" s="1263"/>
      <c r="AP748" s="1263"/>
      <c r="AQ748" s="1263"/>
      <c r="AR748" s="1263"/>
      <c r="AT748"/>
      <c r="AU748"/>
      <c r="AV748"/>
      <c r="AW748"/>
      <c r="AX748"/>
      <c r="AY748"/>
    </row>
    <row r="749" spans="1:16383" s="3" customFormat="1" ht="13.25" customHeight="1">
      <c r="B749" s="1058"/>
      <c r="C749" s="1263"/>
      <c r="D749" s="1263"/>
      <c r="E749" s="1263"/>
      <c r="F749" s="1263"/>
      <c r="G749" s="1263"/>
      <c r="H749" s="1263"/>
      <c r="I749" s="1263"/>
      <c r="J749" s="1263"/>
      <c r="K749" s="1263"/>
      <c r="L749" s="1263"/>
      <c r="M749" s="1263"/>
      <c r="N749" s="1263"/>
      <c r="O749" s="1263"/>
      <c r="P749" s="1263"/>
      <c r="Q749" s="1263"/>
      <c r="R749" s="1263"/>
      <c r="S749" s="1263"/>
      <c r="T749" s="1263"/>
      <c r="U749" s="1263"/>
      <c r="V749" s="1263"/>
      <c r="W749" s="1263"/>
      <c r="X749" s="1263"/>
      <c r="Y749" s="1263"/>
      <c r="Z749" s="1263"/>
      <c r="AA749" s="1263"/>
      <c r="AB749" s="1263"/>
      <c r="AC749" s="1263"/>
      <c r="AD749" s="1263"/>
      <c r="AE749" s="1263"/>
      <c r="AF749" s="1263"/>
      <c r="AG749" s="1263"/>
      <c r="AH749" s="1263"/>
      <c r="AI749" s="1263"/>
      <c r="AJ749" s="1263"/>
      <c r="AK749" s="1263"/>
      <c r="AL749" s="1263"/>
      <c r="AM749" s="1263"/>
      <c r="AN749" s="1263"/>
      <c r="AO749" s="1263"/>
      <c r="AP749" s="1263"/>
      <c r="AQ749" s="1263"/>
      <c r="AR749" s="1263"/>
      <c r="AT749"/>
      <c r="AU749"/>
      <c r="AV749"/>
      <c r="AW749"/>
      <c r="AX749"/>
      <c r="AY749"/>
    </row>
    <row r="750" spans="1:16383" s="3" customFormat="1" ht="13.25" customHeight="1">
      <c r="B750" s="1058"/>
      <c r="C750" s="1263"/>
      <c r="D750" s="1263"/>
      <c r="E750" s="1263"/>
      <c r="F750" s="1263"/>
      <c r="G750" s="1263"/>
      <c r="H750" s="1263"/>
      <c r="I750" s="1263"/>
      <c r="J750" s="1263"/>
      <c r="K750" s="1263"/>
      <c r="L750" s="1263"/>
      <c r="M750" s="1263"/>
      <c r="N750" s="1263"/>
      <c r="O750" s="1263"/>
      <c r="P750" s="1263"/>
      <c r="Q750" s="1263"/>
      <c r="R750" s="1263"/>
      <c r="S750" s="1263"/>
      <c r="T750" s="1263"/>
      <c r="U750" s="1263"/>
      <c r="V750" s="1263"/>
      <c r="W750" s="1263"/>
      <c r="X750" s="1263"/>
      <c r="Y750" s="1263"/>
      <c r="Z750" s="1263"/>
      <c r="AA750" s="1263"/>
      <c r="AB750" s="1263"/>
      <c r="AC750" s="1263"/>
      <c r="AD750" s="1263"/>
      <c r="AE750" s="1263"/>
      <c r="AF750" s="1263"/>
      <c r="AG750" s="1263"/>
      <c r="AH750" s="1263"/>
      <c r="AI750" s="1263"/>
      <c r="AJ750" s="1263"/>
      <c r="AK750" s="1263"/>
      <c r="AL750" s="1263"/>
      <c r="AM750" s="1263"/>
      <c r="AN750" s="1263"/>
      <c r="AO750" s="1263"/>
      <c r="AP750" s="1263"/>
      <c r="AQ750" s="1263"/>
      <c r="AR750" s="1263"/>
      <c r="AT750"/>
      <c r="AU750"/>
      <c r="AV750"/>
      <c r="AW750"/>
      <c r="AX750"/>
      <c r="AY750"/>
    </row>
    <row r="751" spans="1:16383" s="3" customFormat="1" ht="13.25" customHeight="1">
      <c r="B751" s="1058"/>
      <c r="C751" s="1263" t="s">
        <v>2514</v>
      </c>
      <c r="D751" s="1263"/>
      <c r="E751" s="1263"/>
      <c r="F751" s="1263"/>
      <c r="G751" s="1263"/>
      <c r="H751" s="1263"/>
      <c r="I751" s="1263"/>
      <c r="J751" s="1263"/>
      <c r="K751" s="1263"/>
      <c r="L751" s="1263"/>
      <c r="M751" s="1263"/>
      <c r="N751" s="1263"/>
      <c r="O751" s="1263"/>
      <c r="P751" s="1263"/>
      <c r="Q751" s="1263"/>
      <c r="R751" s="1263"/>
      <c r="S751" s="1263"/>
      <c r="T751" s="1263"/>
      <c r="U751" s="1263"/>
      <c r="V751" s="1263"/>
      <c r="W751" s="1263"/>
      <c r="X751" s="1263"/>
      <c r="Y751" s="1263"/>
      <c r="Z751" s="1263"/>
      <c r="AA751" s="1263"/>
      <c r="AB751" s="1263"/>
      <c r="AC751" s="1263"/>
      <c r="AD751" s="1263"/>
      <c r="AE751" s="1263"/>
      <c r="AF751" s="1263"/>
      <c r="AG751" s="1263"/>
      <c r="AH751" s="1263"/>
      <c r="AI751" s="1263"/>
      <c r="AJ751" s="1263"/>
      <c r="AK751" s="1263"/>
      <c r="AL751" s="1263"/>
      <c r="AM751" s="1263"/>
      <c r="AN751" s="1263"/>
      <c r="AO751" s="1263"/>
      <c r="AP751" s="1263"/>
      <c r="AQ751" s="1263"/>
      <c r="AR751" s="1263"/>
      <c r="AT751"/>
      <c r="AU751"/>
      <c r="AV751"/>
      <c r="AW751"/>
      <c r="AX751"/>
      <c r="AY751"/>
    </row>
    <row r="752" spans="1:16383" s="3" customFormat="1" ht="13.25" customHeight="1">
      <c r="B752" s="1058"/>
      <c r="C752" s="1263"/>
      <c r="D752" s="1263"/>
      <c r="E752" s="1263"/>
      <c r="F752" s="1263"/>
      <c r="G752" s="1263"/>
      <c r="H752" s="1263"/>
      <c r="I752" s="1263"/>
      <c r="J752" s="1263"/>
      <c r="K752" s="1263"/>
      <c r="L752" s="1263"/>
      <c r="M752" s="1263"/>
      <c r="N752" s="1263"/>
      <c r="O752" s="1263"/>
      <c r="P752" s="1263"/>
      <c r="Q752" s="1263"/>
      <c r="R752" s="1263"/>
      <c r="S752" s="1263"/>
      <c r="T752" s="1263"/>
      <c r="U752" s="1263"/>
      <c r="V752" s="1263"/>
      <c r="W752" s="1263"/>
      <c r="X752" s="1263"/>
      <c r="Y752" s="1263"/>
      <c r="Z752" s="1263"/>
      <c r="AA752" s="1263"/>
      <c r="AB752" s="1263"/>
      <c r="AC752" s="1263"/>
      <c r="AD752" s="1263"/>
      <c r="AE752" s="1263"/>
      <c r="AF752" s="1263"/>
      <c r="AG752" s="1263"/>
      <c r="AH752" s="1263"/>
      <c r="AI752" s="1263"/>
      <c r="AJ752" s="1263"/>
      <c r="AK752" s="1263"/>
      <c r="AL752" s="1263"/>
      <c r="AM752" s="1263"/>
      <c r="AN752" s="1263"/>
      <c r="AO752" s="1263"/>
      <c r="AP752" s="1263"/>
      <c r="AQ752" s="1263"/>
      <c r="AR752" s="1263"/>
      <c r="AT752"/>
      <c r="AU752"/>
      <c r="AV752"/>
      <c r="AW752"/>
      <c r="AX752"/>
      <c r="AY752"/>
    </row>
    <row r="753" spans="1:110" s="3" customFormat="1" ht="13.25" customHeight="1">
      <c r="B753" s="1058"/>
      <c r="C753" s="1263"/>
      <c r="D753" s="1263"/>
      <c r="E753" s="1263"/>
      <c r="F753" s="1263"/>
      <c r="G753" s="1263"/>
      <c r="H753" s="1263"/>
      <c r="I753" s="1263"/>
      <c r="J753" s="1263"/>
      <c r="K753" s="1263"/>
      <c r="L753" s="1263"/>
      <c r="M753" s="1263"/>
      <c r="N753" s="1263"/>
      <c r="O753" s="1263"/>
      <c r="P753" s="1263"/>
      <c r="Q753" s="1263"/>
      <c r="R753" s="1263"/>
      <c r="S753" s="1263"/>
      <c r="T753" s="1263"/>
      <c r="U753" s="1263"/>
      <c r="V753" s="1263"/>
      <c r="W753" s="1263"/>
      <c r="X753" s="1263"/>
      <c r="Y753" s="1263"/>
      <c r="Z753" s="1263"/>
      <c r="AA753" s="1263"/>
      <c r="AB753" s="1263"/>
      <c r="AC753" s="1263"/>
      <c r="AD753" s="1263"/>
      <c r="AE753" s="1263"/>
      <c r="AF753" s="1263"/>
      <c r="AG753" s="1263"/>
      <c r="AH753" s="1263"/>
      <c r="AI753" s="1263"/>
      <c r="AJ753" s="1263"/>
      <c r="AK753" s="1263"/>
      <c r="AL753" s="1263"/>
      <c r="AM753" s="1263"/>
      <c r="AN753" s="1263"/>
      <c r="AO753" s="1263"/>
      <c r="AP753" s="1263"/>
      <c r="AQ753" s="1263"/>
      <c r="AR753" s="1263"/>
      <c r="AT753"/>
      <c r="AU753"/>
      <c r="AV753"/>
      <c r="AW753"/>
      <c r="AX753"/>
      <c r="AY753"/>
    </row>
    <row r="754" spans="1:110" ht="13.25" customHeight="1">
      <c r="J754" s="1405" t="s">
        <v>391</v>
      </c>
      <c r="K754" s="1394"/>
      <c r="L754" s="1394"/>
      <c r="M754" s="1394"/>
      <c r="N754" s="1395"/>
      <c r="O754" s="1671" t="s">
        <v>287</v>
      </c>
      <c r="P754" s="1671"/>
      <c r="Q754" s="1671"/>
      <c r="R754" s="1671"/>
      <c r="S754" s="1671"/>
      <c r="T754" s="1627" t="s">
        <v>1939</v>
      </c>
      <c r="U754" s="1628"/>
      <c r="V754" s="1628"/>
      <c r="W754" s="1629"/>
      <c r="X754" s="1405" t="s">
        <v>457</v>
      </c>
      <c r="Y754" s="1394"/>
      <c r="Z754" s="1394"/>
      <c r="AA754" s="1394"/>
      <c r="AB754" s="1395"/>
      <c r="AC754" s="1405" t="s">
        <v>288</v>
      </c>
      <c r="AD754" s="1394"/>
      <c r="AE754" s="1394"/>
      <c r="AF754" s="1394"/>
      <c r="AG754" s="139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25" customHeight="1">
      <c r="J755" s="1396"/>
      <c r="K755" s="1397"/>
      <c r="L755" s="1397"/>
      <c r="M755" s="1397"/>
      <c r="N755" s="1398"/>
      <c r="O755" s="1671"/>
      <c r="P755" s="1671"/>
      <c r="Q755" s="1671"/>
      <c r="R755" s="1671"/>
      <c r="S755" s="1671"/>
      <c r="T755" s="1630"/>
      <c r="U755" s="1631"/>
      <c r="V755" s="1631"/>
      <c r="W755" s="1632"/>
      <c r="X755" s="1396"/>
      <c r="Y755" s="1397"/>
      <c r="Z755" s="1397"/>
      <c r="AA755" s="1397"/>
      <c r="AB755" s="1398"/>
      <c r="AC755" s="1396"/>
      <c r="AD755" s="1397"/>
      <c r="AE755" s="1397"/>
      <c r="AF755" s="1397"/>
      <c r="AG755" s="139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25" customHeight="1">
      <c r="J756" s="1396"/>
      <c r="K756" s="1397"/>
      <c r="L756" s="1397"/>
      <c r="M756" s="1397"/>
      <c r="N756" s="1398"/>
      <c r="O756" s="1671"/>
      <c r="P756" s="1671"/>
      <c r="Q756" s="1671"/>
      <c r="R756" s="1671"/>
      <c r="S756" s="1671"/>
      <c r="T756" s="1630"/>
      <c r="U756" s="1631"/>
      <c r="V756" s="1631"/>
      <c r="W756" s="1632"/>
      <c r="X756" s="1396"/>
      <c r="Y756" s="1397"/>
      <c r="Z756" s="1397"/>
      <c r="AA756" s="1397"/>
      <c r="AB756" s="1398"/>
      <c r="AC756" s="1396"/>
      <c r="AD756" s="1397"/>
      <c r="AE756" s="1397"/>
      <c r="AF756" s="1397"/>
      <c r="AG756" s="139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25" customHeight="1">
      <c r="J757" s="1399"/>
      <c r="K757" s="1400"/>
      <c r="L757" s="1400"/>
      <c r="M757" s="1400"/>
      <c r="N757" s="1401"/>
      <c r="O757" s="1671"/>
      <c r="P757" s="1671"/>
      <c r="Q757" s="1671"/>
      <c r="R757" s="1671"/>
      <c r="S757" s="1671"/>
      <c r="T757" s="1726"/>
      <c r="U757" s="1727"/>
      <c r="V757" s="1727"/>
      <c r="W757" s="1728"/>
      <c r="X757" s="1399"/>
      <c r="Y757" s="1400"/>
      <c r="Z757" s="1400"/>
      <c r="AA757" s="1400"/>
      <c r="AB757" s="1401"/>
      <c r="AC757" s="1399"/>
      <c r="AD757" s="1400"/>
      <c r="AE757" s="1400"/>
      <c r="AF757" s="1400"/>
      <c r="AG757" s="140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25" customHeight="1">
      <c r="J758" s="1383" t="s">
        <v>164</v>
      </c>
      <c r="K758" s="1384"/>
      <c r="L758" s="1384"/>
      <c r="M758" s="1384"/>
      <c r="N758" s="1385"/>
      <c r="O758" s="1622">
        <v>1</v>
      </c>
      <c r="P758" s="1622"/>
      <c r="Q758" s="1622"/>
      <c r="R758" s="1622"/>
      <c r="S758" s="1622"/>
      <c r="T758" s="1566">
        <v>776</v>
      </c>
      <c r="U758" s="1567"/>
      <c r="V758" s="1567"/>
      <c r="W758" s="1568"/>
      <c r="X758" s="1563"/>
      <c r="Y758" s="1564"/>
      <c r="Z758" s="1564"/>
      <c r="AA758" s="1564"/>
      <c r="AB758" s="1565"/>
      <c r="AC758" s="1390">
        <f>X758*O758</f>
        <v>0</v>
      </c>
      <c r="AD758" s="1391"/>
      <c r="AE758" s="1391"/>
      <c r="AF758" s="1391"/>
      <c r="AG758" s="1392"/>
      <c r="AH758" s="1040"/>
      <c r="AI758" s="116"/>
      <c r="AJ758" s="116"/>
      <c r="AK758" s="1040"/>
      <c r="AL758" s="104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25" customHeight="1">
      <c r="J759" s="1383"/>
      <c r="K759" s="1384"/>
      <c r="L759" s="1384"/>
      <c r="M759" s="1384"/>
      <c r="N759" s="1385"/>
      <c r="O759" s="1622"/>
      <c r="P759" s="1622"/>
      <c r="Q759" s="1622"/>
      <c r="R759" s="1622"/>
      <c r="S759" s="1622"/>
      <c r="T759" s="1566"/>
      <c r="U759" s="1567"/>
      <c r="V759" s="1567"/>
      <c r="W759" s="1568"/>
      <c r="X759" s="1563"/>
      <c r="Y759" s="1564"/>
      <c r="Z759" s="1564"/>
      <c r="AA759" s="1564"/>
      <c r="AB759" s="1565"/>
      <c r="AC759" s="1390">
        <f>X759*O759</f>
        <v>0</v>
      </c>
      <c r="AD759" s="1391"/>
      <c r="AE759" s="1391"/>
      <c r="AF759" s="1391"/>
      <c r="AG759" s="1392"/>
      <c r="AH759" s="1040"/>
      <c r="AI759" s="1040"/>
      <c r="AJ759" s="1040"/>
      <c r="AK759" s="1040"/>
      <c r="AL759" s="1040"/>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25" customHeight="1">
      <c r="J760" s="1383"/>
      <c r="K760" s="1384"/>
      <c r="L760" s="1384"/>
      <c r="M760" s="1384"/>
      <c r="N760" s="1385"/>
      <c r="O760" s="1622"/>
      <c r="P760" s="1622"/>
      <c r="Q760" s="1622"/>
      <c r="R760" s="1622"/>
      <c r="S760" s="1622"/>
      <c r="T760" s="1566"/>
      <c r="U760" s="1567"/>
      <c r="V760" s="1567"/>
      <c r="W760" s="1568"/>
      <c r="X760" s="1563"/>
      <c r="Y760" s="1564"/>
      <c r="Z760" s="1564"/>
      <c r="AA760" s="1564"/>
      <c r="AB760" s="1565"/>
      <c r="AC760" s="1390">
        <f>X760*O760</f>
        <v>0</v>
      </c>
      <c r="AD760" s="1391"/>
      <c r="AE760" s="1391"/>
      <c r="AF760" s="1391"/>
      <c r="AG760" s="1392"/>
      <c r="AH760" s="1040"/>
      <c r="AI760" s="1040"/>
      <c r="AJ760" s="1040"/>
      <c r="AK760" s="1040"/>
      <c r="AL760" s="104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25" customHeight="1">
      <c r="J761" s="1383"/>
      <c r="K761" s="1384"/>
      <c r="L761" s="1384"/>
      <c r="M761" s="1384"/>
      <c r="N761" s="1385"/>
      <c r="O761" s="1622"/>
      <c r="P761" s="1622"/>
      <c r="Q761" s="1622"/>
      <c r="R761" s="1622"/>
      <c r="S761" s="1622"/>
      <c r="T761" s="1566"/>
      <c r="U761" s="1567"/>
      <c r="V761" s="1567"/>
      <c r="W761" s="1568"/>
      <c r="X761" s="1563"/>
      <c r="Y761" s="1564"/>
      <c r="Z761" s="1564"/>
      <c r="AA761" s="1564"/>
      <c r="AB761" s="1565"/>
      <c r="AC761" s="1390">
        <f>X761*O761</f>
        <v>0</v>
      </c>
      <c r="AD761" s="1391"/>
      <c r="AE761" s="1391"/>
      <c r="AF761" s="1391"/>
      <c r="AG761" s="1392"/>
      <c r="AH761" s="1040"/>
      <c r="AI761" s="1040"/>
      <c r="AJ761" s="1040"/>
      <c r="AK761" s="1040"/>
      <c r="AL761" s="1040"/>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25" customHeight="1">
      <c r="J762" s="1577" t="s">
        <v>126</v>
      </c>
      <c r="K762" s="1578"/>
      <c r="L762" s="1578"/>
      <c r="M762" s="1578"/>
      <c r="N762" s="1579"/>
      <c r="O762" s="1427">
        <f>SUM(O758:S761)</f>
        <v>1</v>
      </c>
      <c r="P762" s="1590"/>
      <c r="Q762" s="1590"/>
      <c r="R762" s="1590"/>
      <c r="S762" s="1428"/>
      <c r="X762" s="1577" t="s">
        <v>125</v>
      </c>
      <c r="Y762" s="1578"/>
      <c r="Z762" s="1578"/>
      <c r="AA762" s="1578"/>
      <c r="AB762" s="1579"/>
      <c r="AC762" s="1390">
        <f>SUM(AC758:AG761)</f>
        <v>0</v>
      </c>
      <c r="AD762" s="1391"/>
      <c r="AE762" s="1391"/>
      <c r="AF762" s="1391"/>
      <c r="AG762" s="1392"/>
      <c r="AI762" s="1040"/>
      <c r="AJ762" s="1040"/>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2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25" customHeight="1">
      <c r="B764" s="56"/>
      <c r="C764" s="56"/>
      <c r="D764" s="56"/>
      <c r="E764" s="56"/>
      <c r="F764" s="56"/>
      <c r="G764" s="6"/>
      <c r="H764" s="6"/>
      <c r="I764" s="6"/>
      <c r="J764" s="1731" t="s">
        <v>679</v>
      </c>
      <c r="K764" s="1731"/>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2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2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25" customHeight="1">
      <c r="B767" s="56"/>
      <c r="C767" s="56"/>
      <c r="D767" s="56"/>
      <c r="E767" s="56"/>
      <c r="F767" s="56"/>
      <c r="G767" s="6"/>
      <c r="H767" s="6"/>
      <c r="I767" s="6"/>
      <c r="J767" s="538"/>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25" customHeight="1">
      <c r="J768" s="1405" t="s">
        <v>391</v>
      </c>
      <c r="K768" s="1394"/>
      <c r="L768" s="1394"/>
      <c r="M768" s="1394"/>
      <c r="N768" s="1395"/>
      <c r="O768" s="1671" t="s">
        <v>287</v>
      </c>
      <c r="P768" s="1671"/>
      <c r="Q768" s="1671"/>
      <c r="R768" s="1671"/>
      <c r="S768" s="1671"/>
      <c r="T768" s="1627" t="s">
        <v>1939</v>
      </c>
      <c r="U768" s="1628"/>
      <c r="V768" s="1628"/>
      <c r="W768" s="1629"/>
      <c r="X768" s="1405" t="s">
        <v>457</v>
      </c>
      <c r="Y768" s="1394"/>
      <c r="Z768" s="1394"/>
      <c r="AA768" s="1394"/>
      <c r="AB768" s="1395"/>
      <c r="AC768" s="1405" t="s">
        <v>288</v>
      </c>
      <c r="AD768" s="1394"/>
      <c r="AE768" s="1394"/>
      <c r="AF768" s="1394"/>
      <c r="AG768" s="1395"/>
      <c r="AH768" s="1723" t="s">
        <v>2132</v>
      </c>
      <c r="AI768" s="1724"/>
      <c r="AJ768" s="1724"/>
      <c r="AK768" s="1724"/>
      <c r="AL768" s="172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25" customHeight="1">
      <c r="J769" s="1396"/>
      <c r="K769" s="1397"/>
      <c r="L769" s="1397"/>
      <c r="M769" s="1397"/>
      <c r="N769" s="1398"/>
      <c r="O769" s="1671"/>
      <c r="P769" s="1671"/>
      <c r="Q769" s="1671"/>
      <c r="R769" s="1671"/>
      <c r="S769" s="1671"/>
      <c r="T769" s="1630"/>
      <c r="U769" s="1631"/>
      <c r="V769" s="1631"/>
      <c r="W769" s="1632"/>
      <c r="X769" s="1396"/>
      <c r="Y769" s="1397"/>
      <c r="Z769" s="1397"/>
      <c r="AA769" s="1397"/>
      <c r="AB769" s="1398"/>
      <c r="AC769" s="1396"/>
      <c r="AD769" s="1397"/>
      <c r="AE769" s="1397"/>
      <c r="AF769" s="1397"/>
      <c r="AG769" s="1398"/>
      <c r="AH769" s="1723"/>
      <c r="AI769" s="1724"/>
      <c r="AJ769" s="1724"/>
      <c r="AK769" s="1724"/>
      <c r="AL769" s="172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25" customHeight="1">
      <c r="J770" s="1396"/>
      <c r="K770" s="1397"/>
      <c r="L770" s="1397"/>
      <c r="M770" s="1397"/>
      <c r="N770" s="1398"/>
      <c r="O770" s="1671"/>
      <c r="P770" s="1671"/>
      <c r="Q770" s="1671"/>
      <c r="R770" s="1671"/>
      <c r="S770" s="1671"/>
      <c r="T770" s="1630"/>
      <c r="U770" s="1631"/>
      <c r="V770" s="1631"/>
      <c r="W770" s="1632"/>
      <c r="X770" s="1396"/>
      <c r="Y770" s="1397"/>
      <c r="Z770" s="1397"/>
      <c r="AA770" s="1397"/>
      <c r="AB770" s="1398"/>
      <c r="AC770" s="1396"/>
      <c r="AD770" s="1397"/>
      <c r="AE770" s="1397"/>
      <c r="AF770" s="1397"/>
      <c r="AG770" s="1398"/>
      <c r="AH770" s="1723"/>
      <c r="AI770" s="1724"/>
      <c r="AJ770" s="1724"/>
      <c r="AK770" s="1724"/>
      <c r="AL770" s="172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25" customHeight="1">
      <c r="J771" s="1399"/>
      <c r="K771" s="1400"/>
      <c r="L771" s="1400"/>
      <c r="M771" s="1400"/>
      <c r="N771" s="1401"/>
      <c r="O771" s="1671"/>
      <c r="P771" s="1671"/>
      <c r="Q771" s="1671"/>
      <c r="R771" s="1671"/>
      <c r="S771" s="1671"/>
      <c r="T771" s="1726"/>
      <c r="U771" s="1727"/>
      <c r="V771" s="1727"/>
      <c r="W771" s="1728"/>
      <c r="X771" s="1399"/>
      <c r="Y771" s="1400"/>
      <c r="Z771" s="1400"/>
      <c r="AA771" s="1400"/>
      <c r="AB771" s="1401"/>
      <c r="AC771" s="1399"/>
      <c r="AD771" s="1400"/>
      <c r="AE771" s="1400"/>
      <c r="AF771" s="1400"/>
      <c r="AG771" s="1401"/>
      <c r="AH771" s="1723"/>
      <c r="AI771" s="1724"/>
      <c r="AJ771" s="1724"/>
      <c r="AK771" s="1724"/>
      <c r="AL771" s="172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25" customHeight="1">
      <c r="J772" s="1383"/>
      <c r="K772" s="1384"/>
      <c r="L772" s="1384"/>
      <c r="M772" s="1384"/>
      <c r="N772" s="1385"/>
      <c r="O772" s="1622"/>
      <c r="P772" s="1622"/>
      <c r="Q772" s="1622"/>
      <c r="R772" s="1622"/>
      <c r="S772" s="1622"/>
      <c r="T772" s="1566"/>
      <c r="U772" s="1567"/>
      <c r="V772" s="1567"/>
      <c r="W772" s="1568"/>
      <c r="X772" s="1563"/>
      <c r="Y772" s="1564"/>
      <c r="Z772" s="1564"/>
      <c r="AA772" s="1564"/>
      <c r="AB772" s="1565"/>
      <c r="AC772" s="1390">
        <f t="shared" ref="AC772:AC781" si="55">X772*O772</f>
        <v>0</v>
      </c>
      <c r="AD772" s="1391"/>
      <c r="AE772" s="1391"/>
      <c r="AF772" s="1391"/>
      <c r="AG772" s="1392"/>
      <c r="AH772" s="1623"/>
      <c r="AI772" s="1624"/>
      <c r="AJ772" s="1624"/>
      <c r="AK772" s="1624"/>
      <c r="AL772" s="162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25" customHeight="1">
      <c r="J773" s="1383"/>
      <c r="K773" s="1384"/>
      <c r="L773" s="1384"/>
      <c r="M773" s="1384"/>
      <c r="N773" s="1385"/>
      <c r="O773" s="1622"/>
      <c r="P773" s="1622"/>
      <c r="Q773" s="1622"/>
      <c r="R773" s="1622"/>
      <c r="S773" s="1622"/>
      <c r="T773" s="1566"/>
      <c r="U773" s="1567"/>
      <c r="V773" s="1567"/>
      <c r="W773" s="1568"/>
      <c r="X773" s="1563"/>
      <c r="Y773" s="1564"/>
      <c r="Z773" s="1564"/>
      <c r="AA773" s="1564"/>
      <c r="AB773" s="1565"/>
      <c r="AC773" s="1390">
        <f t="shared" si="55"/>
        <v>0</v>
      </c>
      <c r="AD773" s="1391"/>
      <c r="AE773" s="1391"/>
      <c r="AF773" s="1391"/>
      <c r="AG773" s="1392"/>
      <c r="AH773" s="1623"/>
      <c r="AI773" s="1624"/>
      <c r="AJ773" s="1624"/>
      <c r="AK773" s="1624"/>
      <c r="AL773" s="162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25" customHeight="1">
      <c r="J774" s="1383"/>
      <c r="K774" s="1384"/>
      <c r="L774" s="1384"/>
      <c r="M774" s="1384"/>
      <c r="N774" s="1385"/>
      <c r="O774" s="1622"/>
      <c r="P774" s="1622"/>
      <c r="Q774" s="1622"/>
      <c r="R774" s="1622"/>
      <c r="S774" s="1622"/>
      <c r="T774" s="1566"/>
      <c r="U774" s="1567"/>
      <c r="V774" s="1567"/>
      <c r="W774" s="1568"/>
      <c r="X774" s="1563"/>
      <c r="Y774" s="1564"/>
      <c r="Z774" s="1564"/>
      <c r="AA774" s="1564"/>
      <c r="AB774" s="1565"/>
      <c r="AC774" s="1390">
        <f t="shared" si="55"/>
        <v>0</v>
      </c>
      <c r="AD774" s="1391"/>
      <c r="AE774" s="1391"/>
      <c r="AF774" s="1391"/>
      <c r="AG774" s="1392"/>
      <c r="AH774" s="1623"/>
      <c r="AI774" s="1624"/>
      <c r="AJ774" s="1624"/>
      <c r="AK774" s="1624"/>
      <c r="AL774" s="162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25" customHeight="1">
      <c r="J775" s="1383"/>
      <c r="K775" s="1384"/>
      <c r="L775" s="1384"/>
      <c r="M775" s="1384"/>
      <c r="N775" s="1385"/>
      <c r="O775" s="1622"/>
      <c r="P775" s="1622"/>
      <c r="Q775" s="1622"/>
      <c r="R775" s="1622"/>
      <c r="S775" s="1622"/>
      <c r="T775" s="1566"/>
      <c r="U775" s="1567"/>
      <c r="V775" s="1567"/>
      <c r="W775" s="1568"/>
      <c r="X775" s="1563"/>
      <c r="Y775" s="1564"/>
      <c r="Z775" s="1564"/>
      <c r="AA775" s="1564"/>
      <c r="AB775" s="1565"/>
      <c r="AC775" s="1390">
        <f t="shared" si="55"/>
        <v>0</v>
      </c>
      <c r="AD775" s="1391"/>
      <c r="AE775" s="1391"/>
      <c r="AF775" s="1391"/>
      <c r="AG775" s="1392"/>
      <c r="AH775" s="1623"/>
      <c r="AI775" s="1624"/>
      <c r="AJ775" s="1624"/>
      <c r="AK775" s="1624"/>
      <c r="AL775" s="162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25" customHeight="1">
      <c r="J776" s="1383"/>
      <c r="K776" s="1384"/>
      <c r="L776" s="1384"/>
      <c r="M776" s="1384"/>
      <c r="N776" s="1385"/>
      <c r="O776" s="1622"/>
      <c r="P776" s="1622"/>
      <c r="Q776" s="1622"/>
      <c r="R776" s="1622"/>
      <c r="S776" s="1622"/>
      <c r="T776" s="1566"/>
      <c r="U776" s="1567"/>
      <c r="V776" s="1567"/>
      <c r="W776" s="1568"/>
      <c r="X776" s="1563"/>
      <c r="Y776" s="1564"/>
      <c r="Z776" s="1564"/>
      <c r="AA776" s="1564"/>
      <c r="AB776" s="1565"/>
      <c r="AC776" s="1390">
        <f t="shared" si="55"/>
        <v>0</v>
      </c>
      <c r="AD776" s="1391"/>
      <c r="AE776" s="1391"/>
      <c r="AF776" s="1391"/>
      <c r="AG776" s="1392"/>
      <c r="AH776" s="1623"/>
      <c r="AI776" s="1624"/>
      <c r="AJ776" s="1624"/>
      <c r="AK776" s="1624"/>
      <c r="AL776" s="162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25" customHeight="1">
      <c r="J777" s="1383"/>
      <c r="K777" s="1384"/>
      <c r="L777" s="1384"/>
      <c r="M777" s="1384"/>
      <c r="N777" s="1385"/>
      <c r="O777" s="1622"/>
      <c r="P777" s="1622"/>
      <c r="Q777" s="1622"/>
      <c r="R777" s="1622"/>
      <c r="S777" s="1622"/>
      <c r="T777" s="1566"/>
      <c r="U777" s="1567"/>
      <c r="V777" s="1567"/>
      <c r="W777" s="1568"/>
      <c r="X777" s="1563"/>
      <c r="Y777" s="1564"/>
      <c r="Z777" s="1564"/>
      <c r="AA777" s="1564"/>
      <c r="AB777" s="1565"/>
      <c r="AC777" s="1390">
        <f t="shared" si="55"/>
        <v>0</v>
      </c>
      <c r="AD777" s="1391"/>
      <c r="AE777" s="1391"/>
      <c r="AF777" s="1391"/>
      <c r="AG777" s="1392"/>
      <c r="AH777" s="1623"/>
      <c r="AI777" s="1624"/>
      <c r="AJ777" s="1624"/>
      <c r="AK777" s="1624"/>
      <c r="AL777" s="162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25" customHeight="1">
      <c r="J778" s="1383"/>
      <c r="K778" s="1384"/>
      <c r="L778" s="1384"/>
      <c r="M778" s="1384"/>
      <c r="N778" s="1385"/>
      <c r="O778" s="1622"/>
      <c r="P778" s="1622"/>
      <c r="Q778" s="1622"/>
      <c r="R778" s="1622"/>
      <c r="S778" s="1622"/>
      <c r="T778" s="1566"/>
      <c r="U778" s="1567"/>
      <c r="V778" s="1567"/>
      <c r="W778" s="1568"/>
      <c r="X778" s="1563"/>
      <c r="Y778" s="1564"/>
      <c r="Z778" s="1564"/>
      <c r="AA778" s="1564"/>
      <c r="AB778" s="1565"/>
      <c r="AC778" s="1390">
        <f t="shared" si="55"/>
        <v>0</v>
      </c>
      <c r="AD778" s="1391"/>
      <c r="AE778" s="1391"/>
      <c r="AF778" s="1391"/>
      <c r="AG778" s="1392"/>
      <c r="AH778" s="1623"/>
      <c r="AI778" s="1624"/>
      <c r="AJ778" s="1624"/>
      <c r="AK778" s="1624"/>
      <c r="AL778" s="162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25" customHeight="1">
      <c r="J779" s="1383"/>
      <c r="K779" s="1384"/>
      <c r="L779" s="1384"/>
      <c r="M779" s="1384"/>
      <c r="N779" s="1385"/>
      <c r="O779" s="1622"/>
      <c r="P779" s="1622"/>
      <c r="Q779" s="1622"/>
      <c r="R779" s="1622"/>
      <c r="S779" s="1622"/>
      <c r="T779" s="1566"/>
      <c r="U779" s="1567"/>
      <c r="V779" s="1567"/>
      <c r="W779" s="1568"/>
      <c r="X779" s="1563"/>
      <c r="Y779" s="1564"/>
      <c r="Z779" s="1564"/>
      <c r="AA779" s="1564"/>
      <c r="AB779" s="1565"/>
      <c r="AC779" s="1390">
        <f t="shared" si="55"/>
        <v>0</v>
      </c>
      <c r="AD779" s="1391"/>
      <c r="AE779" s="1391"/>
      <c r="AF779" s="1391"/>
      <c r="AG779" s="1392"/>
      <c r="AH779" s="1623"/>
      <c r="AI779" s="1624"/>
      <c r="AJ779" s="1624"/>
      <c r="AK779" s="1624"/>
      <c r="AL779" s="162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25" customHeight="1">
      <c r="J780" s="1383"/>
      <c r="K780" s="1384"/>
      <c r="L780" s="1384"/>
      <c r="M780" s="1384"/>
      <c r="N780" s="1385"/>
      <c r="O780" s="1622"/>
      <c r="P780" s="1622"/>
      <c r="Q780" s="1622"/>
      <c r="R780" s="1622"/>
      <c r="S780" s="1622"/>
      <c r="T780" s="1566"/>
      <c r="U780" s="1567"/>
      <c r="V780" s="1567"/>
      <c r="W780" s="1568"/>
      <c r="X780" s="1563"/>
      <c r="Y780" s="1564"/>
      <c r="Z780" s="1564"/>
      <c r="AA780" s="1564"/>
      <c r="AB780" s="1565"/>
      <c r="AC780" s="1390">
        <f t="shared" si="55"/>
        <v>0</v>
      </c>
      <c r="AD780" s="1391"/>
      <c r="AE780" s="1391"/>
      <c r="AF780" s="1391"/>
      <c r="AG780" s="1392"/>
      <c r="AH780" s="1623"/>
      <c r="AI780" s="1624"/>
      <c r="AJ780" s="1624"/>
      <c r="AK780" s="1624"/>
      <c r="AL780" s="162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25" customHeight="1">
      <c r="J781" s="1383"/>
      <c r="K781" s="1384"/>
      <c r="L781" s="1384"/>
      <c r="M781" s="1384"/>
      <c r="N781" s="1385"/>
      <c r="O781" s="1622"/>
      <c r="P781" s="1622"/>
      <c r="Q781" s="1622"/>
      <c r="R781" s="1622"/>
      <c r="S781" s="1622"/>
      <c r="T781" s="1566"/>
      <c r="U781" s="1567"/>
      <c r="V781" s="1567"/>
      <c r="W781" s="1568"/>
      <c r="X781" s="1563"/>
      <c r="Y781" s="1564"/>
      <c r="Z781" s="1564"/>
      <c r="AA781" s="1564"/>
      <c r="AB781" s="1565"/>
      <c r="AC781" s="1390">
        <f t="shared" si="55"/>
        <v>0</v>
      </c>
      <c r="AD781" s="1391"/>
      <c r="AE781" s="1391"/>
      <c r="AF781" s="1391"/>
      <c r="AG781" s="1392"/>
      <c r="AH781" s="1623"/>
      <c r="AI781" s="1624"/>
      <c r="AJ781" s="1624"/>
      <c r="AK781" s="1624"/>
      <c r="AL781" s="162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25" customHeight="1">
      <c r="J782" s="1577" t="s">
        <v>126</v>
      </c>
      <c r="K782" s="1578"/>
      <c r="L782" s="1578"/>
      <c r="M782" s="1578"/>
      <c r="N782" s="1579"/>
      <c r="O782" s="1407">
        <f>SUM(O772:S781)</f>
        <v>0</v>
      </c>
      <c r="P782" s="1407"/>
      <c r="Q782" s="1407"/>
      <c r="R782" s="1407"/>
      <c r="S782" s="1407"/>
      <c r="X782" s="930" t="s">
        <v>125</v>
      </c>
      <c r="Y782" s="11"/>
      <c r="Z782" s="11"/>
      <c r="AA782" s="11"/>
      <c r="AB782" s="937"/>
      <c r="AC782" s="1390">
        <f>SUM(AC772:AG781)</f>
        <v>0</v>
      </c>
      <c r="AD782" s="1391"/>
      <c r="AE782" s="1391"/>
      <c r="AF782" s="1391"/>
      <c r="AG782" s="13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2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25" customHeight="1">
      <c r="J784" s="45"/>
      <c r="K784" s="5"/>
      <c r="L784" s="5"/>
      <c r="M784" s="5"/>
      <c r="N784" s="5"/>
      <c r="O784" s="5"/>
      <c r="P784" s="5"/>
      <c r="Q784" s="5"/>
      <c r="R784" s="5"/>
      <c r="S784" s="5"/>
      <c r="T784" s="5"/>
      <c r="U784" s="5"/>
      <c r="V784" s="5"/>
      <c r="W784" s="5"/>
      <c r="X784" s="54" t="s">
        <v>162</v>
      </c>
      <c r="Y784" s="1672">
        <f>O739+AC762+AC782</f>
        <v>225358</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25" customHeight="1">
      <c r="J785" s="47"/>
      <c r="K785" s="48"/>
      <c r="L785" s="48"/>
      <c r="M785" s="48"/>
      <c r="N785" s="48"/>
      <c r="O785" s="48"/>
      <c r="P785" s="48"/>
      <c r="Q785" s="48"/>
      <c r="R785" s="48"/>
      <c r="S785" s="48"/>
      <c r="T785" s="48"/>
      <c r="U785" s="48"/>
      <c r="V785" s="48"/>
      <c r="W785" s="48"/>
      <c r="X785" s="94" t="s">
        <v>163</v>
      </c>
      <c r="Y785" s="1672">
        <f>(O739+AC762+AC782)*12</f>
        <v>2704296</v>
      </c>
      <c r="Z785" s="1672"/>
      <c r="AA785" s="1672"/>
      <c r="AB785" s="1672"/>
      <c r="AC785" s="1672"/>
      <c r="AZ785" s="3"/>
      <c r="BA785" s="14" t="s">
        <v>642</v>
      </c>
      <c r="BB785" s="14"/>
      <c r="BC785" s="14"/>
      <c r="BD785" s="14"/>
      <c r="BE785" s="14"/>
      <c r="BF785" s="14"/>
      <c r="BG785" s="14"/>
      <c r="BH785" s="14"/>
      <c r="BI785" s="14"/>
      <c r="BJ785" s="14"/>
      <c r="BK785" s="14"/>
      <c r="BL785" s="14"/>
      <c r="BM785" s="14"/>
      <c r="BN785" s="1669" t="s">
        <v>479</v>
      </c>
      <c r="BO785" s="1670"/>
      <c r="BP785" s="3"/>
      <c r="BQ785" s="3"/>
      <c r="BR785" s="3"/>
      <c r="BS785" s="14" t="s">
        <v>644</v>
      </c>
      <c r="BT785" s="14"/>
      <c r="BU785" s="14"/>
      <c r="BV785" s="14"/>
      <c r="BW785" s="14"/>
      <c r="BX785" s="14"/>
      <c r="BY785" s="14"/>
      <c r="BZ785" s="14"/>
      <c r="CA785" s="14"/>
      <c r="CB785" s="1666" t="str">
        <f>T189</f>
        <v>San Mateo</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2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2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2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2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2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4">
        <v>15</v>
      </c>
      <c r="AA790" s="1585"/>
      <c r="AB790" s="1585"/>
      <c r="AC790" s="1585"/>
      <c r="AD790" s="1585"/>
      <c r="AE790" s="158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2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9">
        <v>40</v>
      </c>
      <c r="AA791" s="1585"/>
      <c r="AB791" s="1585"/>
      <c r="AC791" s="1585"/>
      <c r="AD791" s="1585"/>
      <c r="AE791" s="158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2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5">
        <v>60268</v>
      </c>
      <c r="AA792" s="1676"/>
      <c r="AB792" s="1676"/>
      <c r="AC792" s="1676"/>
      <c r="AD792" s="1676"/>
      <c r="AE792" s="167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2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7">
        <f>'Subsidy Contract Calculation'!J30</f>
        <v>364632</v>
      </c>
      <c r="AA793" s="1588"/>
      <c r="AB793" s="1588"/>
      <c r="AC793" s="1588"/>
      <c r="AD793" s="1588"/>
      <c r="AE793" s="158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2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2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43">
        <v>473390</v>
      </c>
      <c r="BQ795" s="343">
        <v>545814</v>
      </c>
      <c r="BR795" s="343">
        <v>658400</v>
      </c>
      <c r="BS795" s="343">
        <v>842752</v>
      </c>
      <c r="BT795" s="343">
        <v>938878</v>
      </c>
      <c r="BU795" s="14"/>
      <c r="BV795" s="23" t="s">
        <v>646</v>
      </c>
      <c r="BW795" s="343">
        <v>473390</v>
      </c>
      <c r="BX795" s="343">
        <v>545814</v>
      </c>
      <c r="BY795" s="343">
        <v>658400</v>
      </c>
      <c r="BZ795" s="343">
        <v>842752</v>
      </c>
      <c r="CA795" s="343">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2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41">
        <v>352022</v>
      </c>
      <c r="BQ796" s="341">
        <v>405878</v>
      </c>
      <c r="BR796" s="341">
        <v>489600</v>
      </c>
      <c r="BS796" s="341">
        <v>626688</v>
      </c>
      <c r="BT796" s="341">
        <v>698170</v>
      </c>
      <c r="BU796" s="14"/>
      <c r="BV796" s="23" t="s">
        <v>647</v>
      </c>
      <c r="BW796" s="341">
        <v>352022</v>
      </c>
      <c r="BX796" s="341">
        <v>405878</v>
      </c>
      <c r="BY796" s="341">
        <v>489600</v>
      </c>
      <c r="BZ796" s="341">
        <v>626688</v>
      </c>
      <c r="CA796" s="341">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2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0">
        <v>13056</v>
      </c>
      <c r="AA797" s="1421"/>
      <c r="AB797" s="1421"/>
      <c r="AC797" s="1421"/>
      <c r="AD797" s="1421"/>
      <c r="AE797" s="142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43">
        <v>352022</v>
      </c>
      <c r="BQ797" s="343">
        <v>405878</v>
      </c>
      <c r="BR797" s="343">
        <v>489600</v>
      </c>
      <c r="BS797" s="343">
        <v>626688</v>
      </c>
      <c r="BT797" s="343">
        <v>698170</v>
      </c>
      <c r="BU797" s="14"/>
      <c r="BV797" s="23" t="s">
        <v>341</v>
      </c>
      <c r="BW797" s="343">
        <v>352022</v>
      </c>
      <c r="BX797" s="343">
        <v>405878</v>
      </c>
      <c r="BY797" s="343">
        <v>489600</v>
      </c>
      <c r="BZ797" s="343">
        <v>626688</v>
      </c>
      <c r="CA797" s="343">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2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0"/>
      <c r="AA798" s="1421"/>
      <c r="AB798" s="1421"/>
      <c r="AC798" s="1421"/>
      <c r="AD798" s="1421"/>
      <c r="AE798" s="142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41">
        <v>319236</v>
      </c>
      <c r="BQ798" s="341">
        <v>368076</v>
      </c>
      <c r="BR798" s="341">
        <v>444000</v>
      </c>
      <c r="BS798" s="341">
        <v>568320</v>
      </c>
      <c r="BT798" s="341">
        <v>633144</v>
      </c>
      <c r="BU798" s="14"/>
      <c r="BV798" s="23" t="s">
        <v>670</v>
      </c>
      <c r="BW798" s="341">
        <v>319236</v>
      </c>
      <c r="BX798" s="341">
        <v>368076</v>
      </c>
      <c r="BY798" s="341">
        <v>444000</v>
      </c>
      <c r="BZ798" s="341">
        <v>568320</v>
      </c>
      <c r="CA798" s="341">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2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0"/>
      <c r="AA799" s="1421"/>
      <c r="AB799" s="1421"/>
      <c r="AC799" s="1421"/>
      <c r="AD799" s="1421"/>
      <c r="AE799" s="142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43">
        <v>352022</v>
      </c>
      <c r="BQ799" s="343">
        <v>405878</v>
      </c>
      <c r="BR799" s="343">
        <v>489600</v>
      </c>
      <c r="BS799" s="343">
        <v>626688</v>
      </c>
      <c r="BT799" s="343">
        <v>698170</v>
      </c>
      <c r="BU799" s="14"/>
      <c r="BV799" s="23" t="s">
        <v>671</v>
      </c>
      <c r="BW799" s="343">
        <v>352022</v>
      </c>
      <c r="BX799" s="343">
        <v>405878</v>
      </c>
      <c r="BY799" s="343">
        <v>489600</v>
      </c>
      <c r="BZ799" s="343">
        <v>626688</v>
      </c>
      <c r="CA799" s="343">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25" customHeight="1">
      <c r="A800"/>
      <c r="B800"/>
      <c r="C800"/>
      <c r="D800"/>
      <c r="E800"/>
      <c r="F800"/>
      <c r="G800"/>
      <c r="H800" s="45" t="s">
        <v>39</v>
      </c>
      <c r="I800" s="5"/>
      <c r="J800" s="5"/>
      <c r="K800" s="5"/>
      <c r="L800" s="5"/>
      <c r="M800" s="5"/>
      <c r="N800" s="5"/>
      <c r="O800" s="5"/>
      <c r="P800" s="1534" t="s">
        <v>336</v>
      </c>
      <c r="Q800" s="1535"/>
      <c r="R800" s="1535"/>
      <c r="S800" s="1535"/>
      <c r="T800" s="1535"/>
      <c r="U800" s="1535"/>
      <c r="V800" s="1535"/>
      <c r="W800" s="1535"/>
      <c r="X800" s="1535"/>
      <c r="Y800" s="1536"/>
      <c r="Z800" s="1420"/>
      <c r="AA800" s="1421"/>
      <c r="AB800" s="1421"/>
      <c r="AC800" s="1421"/>
      <c r="AD800" s="1421"/>
      <c r="AE800" s="142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41">
        <v>352022</v>
      </c>
      <c r="BQ800" s="341">
        <v>405878</v>
      </c>
      <c r="BR800" s="341">
        <v>489600</v>
      </c>
      <c r="BS800" s="341">
        <v>626688</v>
      </c>
      <c r="BT800" s="341">
        <v>698170</v>
      </c>
      <c r="BU800" s="14"/>
      <c r="BV800" s="23" t="s">
        <v>672</v>
      </c>
      <c r="BW800" s="341">
        <v>352022</v>
      </c>
      <c r="BX800" s="341">
        <v>405878</v>
      </c>
      <c r="BY800" s="341">
        <v>489600</v>
      </c>
      <c r="BZ800" s="341">
        <v>626688</v>
      </c>
      <c r="CA800" s="341">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2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7">
        <f>SUM(Z797:AE800)</f>
        <v>13056</v>
      </c>
      <c r="AA801" s="1588"/>
      <c r="AB801" s="1588"/>
      <c r="AC801" s="1588"/>
      <c r="AD801" s="1588"/>
      <c r="AE801" s="158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43">
        <v>473390</v>
      </c>
      <c r="BQ801" s="343">
        <v>545814</v>
      </c>
      <c r="BR801" s="343">
        <v>658400</v>
      </c>
      <c r="BS801" s="343">
        <v>842752</v>
      </c>
      <c r="BT801" s="343">
        <v>938878</v>
      </c>
      <c r="BU801" s="14"/>
      <c r="BV801" s="23" t="s">
        <v>673</v>
      </c>
      <c r="BW801" s="343">
        <v>473390</v>
      </c>
      <c r="BX801" s="343">
        <v>545814</v>
      </c>
      <c r="BY801" s="343">
        <v>658400</v>
      </c>
      <c r="BZ801" s="343">
        <v>842752</v>
      </c>
      <c r="CA801" s="343">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2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7">
        <f>Z801+Y785+Z793</f>
        <v>3081984</v>
      </c>
      <c r="AA802" s="1588"/>
      <c r="AB802" s="1588"/>
      <c r="AC802" s="1588"/>
      <c r="AD802" s="1588"/>
      <c r="AE802" s="158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41">
        <v>352022</v>
      </c>
      <c r="BQ802" s="341">
        <v>405878</v>
      </c>
      <c r="BR802" s="341">
        <v>489600</v>
      </c>
      <c r="BS802" s="341">
        <v>626688</v>
      </c>
      <c r="BT802" s="341">
        <v>698170</v>
      </c>
      <c r="BU802" s="14"/>
      <c r="BV802" s="23" t="s">
        <v>674</v>
      </c>
      <c r="BW802" s="341">
        <v>352022</v>
      </c>
      <c r="BX802" s="341">
        <v>405878</v>
      </c>
      <c r="BY802" s="341">
        <v>489600</v>
      </c>
      <c r="BZ802" s="341">
        <v>626688</v>
      </c>
      <c r="CA802" s="341">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2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43">
        <v>331890</v>
      </c>
      <c r="BQ803" s="343">
        <v>382666</v>
      </c>
      <c r="BR803" s="343">
        <v>461600</v>
      </c>
      <c r="BS803" s="343">
        <v>590848</v>
      </c>
      <c r="BT803" s="343">
        <v>658242</v>
      </c>
      <c r="BU803" s="14"/>
      <c r="BV803" s="23" t="s">
        <v>675</v>
      </c>
      <c r="BW803" s="343">
        <v>331890</v>
      </c>
      <c r="BX803" s="343">
        <v>382666</v>
      </c>
      <c r="BY803" s="343">
        <v>461600</v>
      </c>
      <c r="BZ803" s="343">
        <v>590848</v>
      </c>
      <c r="CA803" s="343">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2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41">
        <v>307732</v>
      </c>
      <c r="BQ804" s="341">
        <v>354812</v>
      </c>
      <c r="BR804" s="341">
        <v>428000</v>
      </c>
      <c r="BS804" s="341">
        <v>547840</v>
      </c>
      <c r="BT804" s="341">
        <v>610328</v>
      </c>
      <c r="BU804" s="14"/>
      <c r="BV804" s="23" t="s">
        <v>677</v>
      </c>
      <c r="BW804" s="341">
        <v>307732</v>
      </c>
      <c r="BX804" s="341">
        <v>354812</v>
      </c>
      <c r="BY804" s="341">
        <v>428000</v>
      </c>
      <c r="BZ804" s="341">
        <v>547840</v>
      </c>
      <c r="CA804" s="341">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2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43">
        <v>352022</v>
      </c>
      <c r="BQ805" s="343">
        <v>405878</v>
      </c>
      <c r="BR805" s="343">
        <v>489600</v>
      </c>
      <c r="BS805" s="343">
        <v>626688</v>
      </c>
      <c r="BT805" s="343">
        <v>698170</v>
      </c>
      <c r="BU805" s="14"/>
      <c r="BV805" s="23" t="s">
        <v>680</v>
      </c>
      <c r="BW805" s="343">
        <v>352022</v>
      </c>
      <c r="BX805" s="343">
        <v>405878</v>
      </c>
      <c r="BY805" s="343">
        <v>489600</v>
      </c>
      <c r="BZ805" s="343">
        <v>626688</v>
      </c>
      <c r="CA805" s="343">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2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41">
        <v>352022</v>
      </c>
      <c r="BQ806" s="341">
        <v>405878</v>
      </c>
      <c r="BR806" s="341">
        <v>489600</v>
      </c>
      <c r="BS806" s="341">
        <v>626688</v>
      </c>
      <c r="BT806" s="341">
        <v>698170</v>
      </c>
      <c r="BU806" s="14"/>
      <c r="BV806" s="23" t="s">
        <v>681</v>
      </c>
      <c r="BW806" s="341">
        <v>352022</v>
      </c>
      <c r="BX806" s="341">
        <v>405878</v>
      </c>
      <c r="BY806" s="341">
        <v>489600</v>
      </c>
      <c r="BZ806" s="341">
        <v>626688</v>
      </c>
      <c r="CA806" s="341">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25" customHeight="1">
      <c r="A807"/>
      <c r="B807"/>
      <c r="C807" s="41"/>
      <c r="D807" s="42"/>
      <c r="E807" s="42"/>
      <c r="F807" s="42"/>
      <c r="G807" s="42"/>
      <c r="H807" s="42"/>
      <c r="I807" s="42"/>
      <c r="J807" s="42"/>
      <c r="K807" s="42"/>
      <c r="L807" s="58"/>
      <c r="M807" s="1520" t="s">
        <v>127</v>
      </c>
      <c r="N807" s="1520"/>
      <c r="O807" s="1520"/>
      <c r="P807" s="1741"/>
      <c r="Q807" s="1583" t="s">
        <v>292</v>
      </c>
      <c r="R807" s="1583"/>
      <c r="S807" s="1583"/>
      <c r="T807" s="1583"/>
      <c r="U807" s="1583" t="s">
        <v>293</v>
      </c>
      <c r="V807" s="1583"/>
      <c r="W807" s="1583"/>
      <c r="X807" s="1583"/>
      <c r="Y807" s="1583" t="s">
        <v>294</v>
      </c>
      <c r="Z807" s="1583"/>
      <c r="AA807" s="1583"/>
      <c r="AB807" s="1583"/>
      <c r="AC807" s="1583" t="s">
        <v>363</v>
      </c>
      <c r="AD807" s="1583"/>
      <c r="AE807" s="1583"/>
      <c r="AF807" s="1583"/>
      <c r="AG807" s="1717" t="s">
        <v>337</v>
      </c>
      <c r="AH807" s="1717"/>
      <c r="AI807" s="1717"/>
      <c r="AJ807" s="171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43">
        <v>314634</v>
      </c>
      <c r="BQ807" s="343">
        <v>362770</v>
      </c>
      <c r="BR807" s="343">
        <v>437600</v>
      </c>
      <c r="BS807" s="343">
        <v>560128</v>
      </c>
      <c r="BT807" s="343">
        <v>624018</v>
      </c>
      <c r="BU807" s="14"/>
      <c r="BV807" s="23" t="s">
        <v>683</v>
      </c>
      <c r="BW807" s="343">
        <v>314634</v>
      </c>
      <c r="BX807" s="343">
        <v>362770</v>
      </c>
      <c r="BY807" s="343">
        <v>437600</v>
      </c>
      <c r="BZ807" s="343">
        <v>560128</v>
      </c>
      <c r="CA807" s="343">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25" customHeight="1">
      <c r="A808"/>
      <c r="B808"/>
      <c r="C808" s="47"/>
      <c r="D808" s="48"/>
      <c r="E808" s="48"/>
      <c r="F808" s="48"/>
      <c r="G808" s="48"/>
      <c r="H808" s="48"/>
      <c r="I808" s="48"/>
      <c r="J808" s="48"/>
      <c r="K808" s="48"/>
      <c r="L808" s="49"/>
      <c r="M808" s="1524"/>
      <c r="N808" s="1524"/>
      <c r="O808" s="1524"/>
      <c r="P808" s="1707"/>
      <c r="Q808" s="1583"/>
      <c r="R808" s="1583"/>
      <c r="S808" s="1583"/>
      <c r="T808" s="1583"/>
      <c r="U808" s="1583"/>
      <c r="V808" s="1583"/>
      <c r="W808" s="1583"/>
      <c r="X808" s="1583"/>
      <c r="Y808" s="1583"/>
      <c r="Z808" s="1583"/>
      <c r="AA808" s="1583"/>
      <c r="AB808" s="1583"/>
      <c r="AC808" s="1583"/>
      <c r="AD808" s="1583"/>
      <c r="AE808" s="1583"/>
      <c r="AF808" s="1583"/>
      <c r="AG808" s="1717"/>
      <c r="AH808" s="1717"/>
      <c r="AI808" s="1717"/>
      <c r="AJ808" s="171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41">
        <v>352022</v>
      </c>
      <c r="BQ808" s="341">
        <v>405878</v>
      </c>
      <c r="BR808" s="341">
        <v>489600</v>
      </c>
      <c r="BS808" s="341">
        <v>626688</v>
      </c>
      <c r="BT808" s="341">
        <v>698170</v>
      </c>
      <c r="BU808" s="14"/>
      <c r="BV808" s="23" t="s">
        <v>684</v>
      </c>
      <c r="BW808" s="341">
        <v>352022</v>
      </c>
      <c r="BX808" s="341">
        <v>405878</v>
      </c>
      <c r="BY808" s="341">
        <v>489600</v>
      </c>
      <c r="BZ808" s="341">
        <v>626688</v>
      </c>
      <c r="CA808" s="34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25" customHeight="1">
      <c r="A809"/>
      <c r="B809"/>
      <c r="C809" s="1680" t="s">
        <v>40</v>
      </c>
      <c r="D809" s="1348"/>
      <c r="E809" s="1348"/>
      <c r="F809" s="1348"/>
      <c r="G809" s="1348"/>
      <c r="H809" s="1348"/>
      <c r="I809" s="48"/>
      <c r="J809" s="48"/>
      <c r="K809" s="48"/>
      <c r="L809" s="49"/>
      <c r="M809" s="1572">
        <v>18</v>
      </c>
      <c r="N809" s="1572"/>
      <c r="O809" s="1572"/>
      <c r="P809" s="1572"/>
      <c r="Q809" s="1572">
        <v>22</v>
      </c>
      <c r="R809" s="1572"/>
      <c r="S809" s="1572"/>
      <c r="T809" s="1572"/>
      <c r="U809" s="1572">
        <v>27</v>
      </c>
      <c r="V809" s="1572"/>
      <c r="W809" s="1572"/>
      <c r="X809" s="1572"/>
      <c r="Y809" s="1572">
        <v>33</v>
      </c>
      <c r="Z809" s="1572"/>
      <c r="AA809" s="1572"/>
      <c r="AB809" s="1572"/>
      <c r="AC809" s="1364">
        <v>39</v>
      </c>
      <c r="AD809" s="1365"/>
      <c r="AE809" s="1365"/>
      <c r="AF809" s="1366"/>
      <c r="AG809" s="1364"/>
      <c r="AH809" s="1365"/>
      <c r="AI809" s="1365"/>
      <c r="AJ809" s="136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43">
        <v>307732</v>
      </c>
      <c r="BQ809" s="343">
        <v>354812</v>
      </c>
      <c r="BR809" s="343">
        <v>428000</v>
      </c>
      <c r="BS809" s="343">
        <v>547840</v>
      </c>
      <c r="BT809" s="343">
        <v>610328</v>
      </c>
      <c r="BU809" s="14"/>
      <c r="BV809" s="23" t="s">
        <v>213</v>
      </c>
      <c r="BW809" s="343">
        <v>307732</v>
      </c>
      <c r="BX809" s="343">
        <v>354812</v>
      </c>
      <c r="BY809" s="343">
        <v>428000</v>
      </c>
      <c r="BZ809" s="343">
        <v>547840</v>
      </c>
      <c r="CA809" s="343">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25" customHeight="1">
      <c r="A810"/>
      <c r="B810"/>
      <c r="C810" s="1636" t="s">
        <v>41</v>
      </c>
      <c r="D810" s="1637"/>
      <c r="E810" s="1637"/>
      <c r="F810" s="1637"/>
      <c r="G810" s="1637"/>
      <c r="H810" s="1637"/>
      <c r="I810" s="5"/>
      <c r="J810" s="5"/>
      <c r="K810" s="5"/>
      <c r="L810" s="46"/>
      <c r="M810" s="1572"/>
      <c r="N810" s="1572"/>
      <c r="O810" s="1572"/>
      <c r="P810" s="1572"/>
      <c r="Q810" s="1572"/>
      <c r="R810" s="1572"/>
      <c r="S810" s="1572"/>
      <c r="T810" s="1572"/>
      <c r="U810" s="1572"/>
      <c r="V810" s="1572"/>
      <c r="W810" s="1572"/>
      <c r="X810" s="1572"/>
      <c r="Y810" s="1572"/>
      <c r="Z810" s="1572"/>
      <c r="AA810" s="1572"/>
      <c r="AB810" s="1572"/>
      <c r="AC810" s="1364"/>
      <c r="AD810" s="1365"/>
      <c r="AE810" s="1365"/>
      <c r="AF810" s="1366"/>
      <c r="AG810" s="1364"/>
      <c r="AH810" s="1365"/>
      <c r="AI810" s="1365"/>
      <c r="AJ810" s="136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1">
        <v>307732</v>
      </c>
      <c r="BQ810" s="341">
        <v>354812</v>
      </c>
      <c r="BR810" s="341">
        <v>428000</v>
      </c>
      <c r="BS810" s="341">
        <v>547840</v>
      </c>
      <c r="BT810" s="341">
        <v>610328</v>
      </c>
      <c r="BU810" s="14"/>
      <c r="BV810" s="23" t="s">
        <v>215</v>
      </c>
      <c r="BW810" s="341">
        <v>307732</v>
      </c>
      <c r="BX810" s="341">
        <v>354812</v>
      </c>
      <c r="BY810" s="341">
        <v>428000</v>
      </c>
      <c r="BZ810" s="341">
        <v>547840</v>
      </c>
      <c r="CA810" s="341">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25" customHeight="1">
      <c r="A811"/>
      <c r="B811"/>
      <c r="C811" s="1636" t="s">
        <v>42</v>
      </c>
      <c r="D811" s="1637"/>
      <c r="E811" s="1637"/>
      <c r="F811" s="1637"/>
      <c r="G811" s="1637"/>
      <c r="H811" s="1637"/>
      <c r="I811" s="60"/>
      <c r="J811" s="60"/>
      <c r="K811" s="60"/>
      <c r="L811" s="61"/>
      <c r="M811" s="1572">
        <v>8</v>
      </c>
      <c r="N811" s="1572"/>
      <c r="O811" s="1572"/>
      <c r="P811" s="1572"/>
      <c r="Q811" s="1572">
        <v>9</v>
      </c>
      <c r="R811" s="1572"/>
      <c r="S811" s="1572"/>
      <c r="T811" s="1572"/>
      <c r="U811" s="1572">
        <v>13</v>
      </c>
      <c r="V811" s="1572"/>
      <c r="W811" s="1572"/>
      <c r="X811" s="1572"/>
      <c r="Y811" s="1572">
        <v>17</v>
      </c>
      <c r="Z811" s="1572"/>
      <c r="AA811" s="1572"/>
      <c r="AB811" s="1572"/>
      <c r="AC811" s="1364">
        <v>21</v>
      </c>
      <c r="AD811" s="1365"/>
      <c r="AE811" s="1365"/>
      <c r="AF811" s="1366"/>
      <c r="AG811" s="1364"/>
      <c r="AH811" s="1365"/>
      <c r="AI811" s="1365"/>
      <c r="AJ811" s="136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43">
        <v>352022</v>
      </c>
      <c r="BQ811" s="343">
        <v>405878</v>
      </c>
      <c r="BR811" s="343">
        <v>489600</v>
      </c>
      <c r="BS811" s="343">
        <v>626688</v>
      </c>
      <c r="BT811" s="343">
        <v>698170</v>
      </c>
      <c r="BU811" s="14"/>
      <c r="BV811" s="23" t="s">
        <v>216</v>
      </c>
      <c r="BW811" s="343">
        <v>352022</v>
      </c>
      <c r="BX811" s="343">
        <v>405878</v>
      </c>
      <c r="BY811" s="343">
        <v>489600</v>
      </c>
      <c r="BZ811" s="343">
        <v>626688</v>
      </c>
      <c r="CA811" s="343">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25" customHeight="1">
      <c r="A812"/>
      <c r="B812"/>
      <c r="C812" s="1636" t="s">
        <v>787</v>
      </c>
      <c r="D812" s="1637"/>
      <c r="E812" s="1637"/>
      <c r="F812" s="1637"/>
      <c r="G812" s="1637"/>
      <c r="H812" s="1637"/>
      <c r="I812" s="60"/>
      <c r="J812" s="60"/>
      <c r="K812" s="60"/>
      <c r="L812" s="61"/>
      <c r="M812" s="1572"/>
      <c r="N812" s="1572"/>
      <c r="O812" s="1572"/>
      <c r="P812" s="1572"/>
      <c r="Q812" s="1572"/>
      <c r="R812" s="1572"/>
      <c r="S812" s="1572"/>
      <c r="T812" s="1572"/>
      <c r="U812" s="1572"/>
      <c r="V812" s="1572"/>
      <c r="W812" s="1572"/>
      <c r="X812" s="1572"/>
      <c r="Y812" s="1572"/>
      <c r="Z812" s="1572"/>
      <c r="AA812" s="1572"/>
      <c r="AB812" s="1572"/>
      <c r="AC812" s="1364"/>
      <c r="AD812" s="1365"/>
      <c r="AE812" s="1365"/>
      <c r="AF812" s="1366"/>
      <c r="AG812" s="1364"/>
      <c r="AH812" s="1365"/>
      <c r="AI812" s="1365"/>
      <c r="AJ812" s="136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1">
        <v>352022</v>
      </c>
      <c r="BQ812" s="341">
        <v>405878</v>
      </c>
      <c r="BR812" s="341">
        <v>489600</v>
      </c>
      <c r="BS812" s="341">
        <v>626688</v>
      </c>
      <c r="BT812" s="341">
        <v>698170</v>
      </c>
      <c r="BU812" s="14"/>
      <c r="BV812" s="23" t="s">
        <v>218</v>
      </c>
      <c r="BW812" s="341">
        <v>352022</v>
      </c>
      <c r="BX812" s="341">
        <v>405878</v>
      </c>
      <c r="BY812" s="341">
        <v>489600</v>
      </c>
      <c r="BZ812" s="341">
        <v>626688</v>
      </c>
      <c r="CA812" s="341">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25" customHeight="1">
      <c r="A813"/>
      <c r="B813"/>
      <c r="C813" s="1636" t="s">
        <v>469</v>
      </c>
      <c r="D813" s="1637"/>
      <c r="E813" s="1637"/>
      <c r="F813" s="1637"/>
      <c r="G813" s="1637"/>
      <c r="H813" s="1637"/>
      <c r="I813" s="60"/>
      <c r="J813" s="60"/>
      <c r="K813" s="60"/>
      <c r="L813" s="61"/>
      <c r="M813" s="1572">
        <v>26</v>
      </c>
      <c r="N813" s="1572"/>
      <c r="O813" s="1572"/>
      <c r="P813" s="1572"/>
      <c r="Q813" s="1572">
        <v>32</v>
      </c>
      <c r="R813" s="1572"/>
      <c r="S813" s="1572"/>
      <c r="T813" s="1572"/>
      <c r="U813" s="1572">
        <v>45</v>
      </c>
      <c r="V813" s="1572"/>
      <c r="W813" s="1572"/>
      <c r="X813" s="1572"/>
      <c r="Y813" s="1572">
        <v>62</v>
      </c>
      <c r="Z813" s="1572"/>
      <c r="AA813" s="1572"/>
      <c r="AB813" s="1572"/>
      <c r="AC813" s="1364">
        <v>78</v>
      </c>
      <c r="AD813" s="1365"/>
      <c r="AE813" s="1365"/>
      <c r="AF813" s="1366"/>
      <c r="AG813" s="1364"/>
      <c r="AH813" s="1365"/>
      <c r="AI813" s="1365"/>
      <c r="AJ813" s="136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43">
        <v>437727</v>
      </c>
      <c r="BQ813" s="343">
        <v>504695</v>
      </c>
      <c r="BR813" s="343">
        <v>608800</v>
      </c>
      <c r="BS813" s="343">
        <v>779264</v>
      </c>
      <c r="BT813" s="343">
        <v>868149</v>
      </c>
      <c r="BU813" s="14"/>
      <c r="BV813" s="23" t="s">
        <v>219</v>
      </c>
      <c r="BW813" s="343">
        <v>437727</v>
      </c>
      <c r="BX813" s="343">
        <v>504695</v>
      </c>
      <c r="BY813" s="343">
        <v>608800</v>
      </c>
      <c r="BZ813" s="343">
        <v>779264</v>
      </c>
      <c r="CA813" s="343">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25" customHeight="1">
      <c r="A814"/>
      <c r="B814"/>
      <c r="C814" s="1718" t="s">
        <v>808</v>
      </c>
      <c r="D814" s="1637"/>
      <c r="E814" s="1637"/>
      <c r="F814" s="1637"/>
      <c r="G814" s="1637"/>
      <c r="H814" s="1637"/>
      <c r="I814" s="60"/>
      <c r="J814" s="60"/>
      <c r="K814" s="60"/>
      <c r="L814" s="61"/>
      <c r="M814" s="1572">
        <v>72</v>
      </c>
      <c r="N814" s="1572"/>
      <c r="O814" s="1572"/>
      <c r="P814" s="1572"/>
      <c r="Q814" s="1572">
        <v>74</v>
      </c>
      <c r="R814" s="1572"/>
      <c r="S814" s="1572"/>
      <c r="T814" s="1572"/>
      <c r="U814" s="1572">
        <v>93</v>
      </c>
      <c r="V814" s="1572"/>
      <c r="W814" s="1572"/>
      <c r="X814" s="1572"/>
      <c r="Y814" s="1572">
        <v>115</v>
      </c>
      <c r="Z814" s="1572"/>
      <c r="AA814" s="1572"/>
      <c r="AB814" s="1572"/>
      <c r="AC814" s="1364">
        <v>138</v>
      </c>
      <c r="AD814" s="1365"/>
      <c r="AE814" s="1365"/>
      <c r="AF814" s="1366"/>
      <c r="AG814" s="1364"/>
      <c r="AH814" s="1365"/>
      <c r="AI814" s="1365"/>
      <c r="AJ814" s="136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1">
        <v>307732</v>
      </c>
      <c r="BQ814" s="341">
        <v>354812</v>
      </c>
      <c r="BR814" s="341">
        <v>428000</v>
      </c>
      <c r="BS814" s="341">
        <v>547840</v>
      </c>
      <c r="BT814" s="341">
        <v>610328</v>
      </c>
      <c r="BU814" s="14"/>
      <c r="BV814" s="23" t="s">
        <v>221</v>
      </c>
      <c r="BW814" s="341">
        <v>307732</v>
      </c>
      <c r="BX814" s="341">
        <v>354812</v>
      </c>
      <c r="BY814" s="341">
        <v>428000</v>
      </c>
      <c r="BZ814" s="341">
        <v>547840</v>
      </c>
      <c r="CA814" s="341">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25" customHeight="1">
      <c r="A815"/>
      <c r="B815"/>
      <c r="C815" s="59" t="s">
        <v>295</v>
      </c>
      <c r="D815" s="60"/>
      <c r="E815" s="60"/>
      <c r="F815" s="1534" t="s">
        <v>2736</v>
      </c>
      <c r="G815" s="1535"/>
      <c r="H815" s="1535"/>
      <c r="I815" s="1535"/>
      <c r="J815" s="1535"/>
      <c r="K815" s="1535"/>
      <c r="L815" s="1535"/>
      <c r="M815" s="1572">
        <v>4</v>
      </c>
      <c r="N815" s="1572"/>
      <c r="O815" s="1572"/>
      <c r="P815" s="1572"/>
      <c r="Q815" s="1572">
        <v>4</v>
      </c>
      <c r="R815" s="1572"/>
      <c r="S815" s="1572"/>
      <c r="T815" s="1572"/>
      <c r="U815" s="1572">
        <v>6</v>
      </c>
      <c r="V815" s="1572"/>
      <c r="W815" s="1572"/>
      <c r="X815" s="1572"/>
      <c r="Y815" s="1572">
        <v>7</v>
      </c>
      <c r="Z815" s="1572"/>
      <c r="AA815" s="1572"/>
      <c r="AB815" s="1572"/>
      <c r="AC815" s="1364">
        <v>9</v>
      </c>
      <c r="AD815" s="1365"/>
      <c r="AE815" s="1365"/>
      <c r="AF815" s="1366"/>
      <c r="AG815" s="1364"/>
      <c r="AH815" s="1365"/>
      <c r="AI815" s="1365"/>
      <c r="AJ815" s="136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43">
        <v>384234</v>
      </c>
      <c r="BQ815" s="343">
        <v>443018</v>
      </c>
      <c r="BR815" s="343">
        <v>534400</v>
      </c>
      <c r="BS815" s="343">
        <v>684032</v>
      </c>
      <c r="BT815" s="343">
        <v>762054</v>
      </c>
      <c r="BU815" s="14"/>
      <c r="BV815" s="23" t="s">
        <v>222</v>
      </c>
      <c r="BW815" s="343">
        <v>384234</v>
      </c>
      <c r="BX815" s="343">
        <v>443018</v>
      </c>
      <c r="BY815" s="343">
        <v>534400</v>
      </c>
      <c r="BZ815" s="343">
        <v>684032</v>
      </c>
      <c r="CA815" s="343">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25" customHeight="1">
      <c r="A816"/>
      <c r="B816"/>
      <c r="C816" s="1577" t="s">
        <v>125</v>
      </c>
      <c r="D816" s="1578"/>
      <c r="E816" s="1578"/>
      <c r="F816" s="1578"/>
      <c r="G816" s="1578"/>
      <c r="H816" s="1578"/>
      <c r="I816" s="1578"/>
      <c r="J816" s="1578"/>
      <c r="K816" s="1578"/>
      <c r="L816" s="1579"/>
      <c r="M816" s="1708">
        <f>SUM(M809:P815)</f>
        <v>128</v>
      </c>
      <c r="N816" s="1708"/>
      <c r="O816" s="1708"/>
      <c r="P816" s="1708"/>
      <c r="Q816" s="1708">
        <f>SUM(Q809:T815)</f>
        <v>141</v>
      </c>
      <c r="R816" s="1708"/>
      <c r="S816" s="1708"/>
      <c r="T816" s="1708"/>
      <c r="U816" s="1708">
        <f>SUM(U809:X815)</f>
        <v>184</v>
      </c>
      <c r="V816" s="1708"/>
      <c r="W816" s="1708"/>
      <c r="X816" s="1708"/>
      <c r="Y816" s="1708">
        <f>SUM(Y809:AB815)</f>
        <v>234</v>
      </c>
      <c r="Z816" s="1708"/>
      <c r="AA816" s="1708"/>
      <c r="AB816" s="1708"/>
      <c r="AC816" s="1708">
        <f>SUM(AC809:AF815)</f>
        <v>285</v>
      </c>
      <c r="AD816" s="1708"/>
      <c r="AE816" s="1708"/>
      <c r="AF816" s="1708"/>
      <c r="AG816" s="1708">
        <f>SUM(AG809:AJ815)</f>
        <v>0</v>
      </c>
      <c r="AH816" s="1708"/>
      <c r="AI816" s="1708"/>
      <c r="AJ816" s="170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1">
        <v>352022</v>
      </c>
      <c r="BQ816" s="341">
        <v>405878</v>
      </c>
      <c r="BR816" s="341">
        <v>489600</v>
      </c>
      <c r="BS816" s="341">
        <v>626688</v>
      </c>
      <c r="BT816" s="341">
        <v>698170</v>
      </c>
      <c r="BU816" s="14"/>
      <c r="BV816" s="23" t="s">
        <v>223</v>
      </c>
      <c r="BW816" s="341">
        <v>352022</v>
      </c>
      <c r="BX816" s="341">
        <v>405878</v>
      </c>
      <c r="BY816" s="341">
        <v>489600</v>
      </c>
      <c r="BZ816" s="341">
        <v>626688</v>
      </c>
      <c r="CA816" s="34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2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43">
        <v>352022</v>
      </c>
      <c r="BQ817" s="343">
        <v>405878</v>
      </c>
      <c r="BR817" s="343">
        <v>489600</v>
      </c>
      <c r="BS817" s="343">
        <v>626688</v>
      </c>
      <c r="BT817" s="343">
        <v>698170</v>
      </c>
      <c r="BU817" s="14"/>
      <c r="BV817" s="23" t="s">
        <v>224</v>
      </c>
      <c r="BW817" s="343">
        <v>352022</v>
      </c>
      <c r="BX817" s="343">
        <v>405878</v>
      </c>
      <c r="BY817" s="343">
        <v>489600</v>
      </c>
      <c r="BZ817" s="343">
        <v>626688</v>
      </c>
      <c r="CA817" s="343">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2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1">
        <v>307732</v>
      </c>
      <c r="BQ818" s="341">
        <v>354812</v>
      </c>
      <c r="BR818" s="341">
        <v>428000</v>
      </c>
      <c r="BS818" s="341">
        <v>547840</v>
      </c>
      <c r="BT818" s="341">
        <v>610328</v>
      </c>
      <c r="BU818" s="14"/>
      <c r="BV818" s="23" t="s">
        <v>226</v>
      </c>
      <c r="BW818" s="341">
        <v>307732</v>
      </c>
      <c r="BX818" s="341">
        <v>354812</v>
      </c>
      <c r="BY818" s="341">
        <v>428000</v>
      </c>
      <c r="BZ818" s="341">
        <v>547840</v>
      </c>
      <c r="CA818" s="341">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2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43">
        <v>352022</v>
      </c>
      <c r="BQ819" s="343">
        <v>405878</v>
      </c>
      <c r="BR819" s="343">
        <v>489600</v>
      </c>
      <c r="BS819" s="343">
        <v>626688</v>
      </c>
      <c r="BT819" s="343">
        <v>698170</v>
      </c>
      <c r="BU819" s="14"/>
      <c r="BV819" s="23" t="s">
        <v>227</v>
      </c>
      <c r="BW819" s="343">
        <v>352022</v>
      </c>
      <c r="BX819" s="343">
        <v>405878</v>
      </c>
      <c r="BY819" s="343">
        <v>489600</v>
      </c>
      <c r="BZ819" s="343">
        <v>626688</v>
      </c>
      <c r="CA819" s="343">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2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1">
        <v>352022</v>
      </c>
      <c r="BQ820" s="341">
        <v>405878</v>
      </c>
      <c r="BR820" s="341">
        <v>489600</v>
      </c>
      <c r="BS820" s="341">
        <v>626688</v>
      </c>
      <c r="BT820" s="341">
        <v>698170</v>
      </c>
      <c r="BU820" s="14"/>
      <c r="BV820" s="23" t="s">
        <v>228</v>
      </c>
      <c r="BW820" s="341">
        <v>352022</v>
      </c>
      <c r="BX820" s="341">
        <v>405878</v>
      </c>
      <c r="BY820" s="341">
        <v>489600</v>
      </c>
      <c r="BZ820" s="341">
        <v>626688</v>
      </c>
      <c r="CA820" s="341">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25" customHeight="1">
      <c r="A821"/>
      <c r="B821"/>
      <c r="C821" s="1692" t="s">
        <v>2737</v>
      </c>
      <c r="D821" s="1693"/>
      <c r="E821" s="1693"/>
      <c r="F821" s="1693"/>
      <c r="G821" s="1693"/>
      <c r="H821" s="1693"/>
      <c r="I821" s="1693"/>
      <c r="J821" s="1693"/>
      <c r="K821" s="1693"/>
      <c r="L821" s="1693"/>
      <c r="M821" s="1693"/>
      <c r="N821" s="1693"/>
      <c r="O821" s="1693"/>
      <c r="P821" s="1693"/>
      <c r="Q821" s="1693"/>
      <c r="R821" s="1693"/>
      <c r="S821" s="1693"/>
      <c r="T821" s="1693"/>
      <c r="U821" s="1693"/>
      <c r="V821" s="1693"/>
      <c r="W821" s="1693"/>
      <c r="X821" s="1693"/>
      <c r="Y821" s="1693"/>
      <c r="Z821" s="1693"/>
      <c r="AA821" s="1693"/>
      <c r="AB821" s="1693"/>
      <c r="AC821" s="1693"/>
      <c r="AD821" s="1693"/>
      <c r="AE821" s="1693"/>
      <c r="AF821" s="1693"/>
      <c r="AG821" s="1693"/>
      <c r="AH821" s="1693"/>
      <c r="AI821" s="1693"/>
      <c r="AJ821" s="169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43">
        <v>387110</v>
      </c>
      <c r="BQ821" s="343">
        <v>446334</v>
      </c>
      <c r="BR821" s="343">
        <v>538400</v>
      </c>
      <c r="BS821" s="343">
        <v>689152</v>
      </c>
      <c r="BT821" s="343">
        <v>767758</v>
      </c>
      <c r="BU821" s="14"/>
      <c r="BV821" s="23" t="s">
        <v>230</v>
      </c>
      <c r="BW821" s="343">
        <v>387110</v>
      </c>
      <c r="BX821" s="343">
        <v>446334</v>
      </c>
      <c r="BY821" s="343">
        <v>538400</v>
      </c>
      <c r="BZ821" s="343">
        <v>689152</v>
      </c>
      <c r="CA821" s="343">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2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1">
        <v>384234</v>
      </c>
      <c r="BQ822" s="341">
        <v>443018</v>
      </c>
      <c r="BR822" s="341">
        <v>534400</v>
      </c>
      <c r="BS822" s="341">
        <v>684032</v>
      </c>
      <c r="BT822" s="341">
        <v>762054</v>
      </c>
      <c r="BU822" s="14"/>
      <c r="BV822" s="23" t="s">
        <v>232</v>
      </c>
      <c r="BW822" s="341">
        <v>384234</v>
      </c>
      <c r="BX822" s="341">
        <v>443018</v>
      </c>
      <c r="BY822" s="341">
        <v>534400</v>
      </c>
      <c r="BZ822" s="341">
        <v>684032</v>
      </c>
      <c r="CA822" s="341">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2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43">
        <v>352022</v>
      </c>
      <c r="BQ823" s="343">
        <v>405878</v>
      </c>
      <c r="BR823" s="343">
        <v>489600</v>
      </c>
      <c r="BS823" s="343">
        <v>626688</v>
      </c>
      <c r="BT823" s="343">
        <v>698170</v>
      </c>
      <c r="BV823" s="23" t="s">
        <v>233</v>
      </c>
      <c r="BW823" s="343">
        <v>352022</v>
      </c>
      <c r="BX823" s="343">
        <v>405878</v>
      </c>
      <c r="BY823" s="343">
        <v>489600</v>
      </c>
      <c r="BZ823" s="343">
        <v>626688</v>
      </c>
      <c r="CA823" s="343">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2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1">
        <v>396888</v>
      </c>
      <c r="BQ824" s="341">
        <v>457608</v>
      </c>
      <c r="BR824" s="341">
        <v>552000</v>
      </c>
      <c r="BS824" s="341">
        <v>706560</v>
      </c>
      <c r="BT824" s="341">
        <v>787152</v>
      </c>
      <c r="BV824" s="23" t="s">
        <v>234</v>
      </c>
      <c r="BW824" s="341">
        <v>396888</v>
      </c>
      <c r="BX824" s="341">
        <v>457608</v>
      </c>
      <c r="BY824" s="341">
        <v>552000</v>
      </c>
      <c r="BZ824" s="341">
        <v>706560</v>
      </c>
      <c r="CA824" s="341">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2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43">
        <v>331890</v>
      </c>
      <c r="BQ825" s="343">
        <v>382666</v>
      </c>
      <c r="BR825" s="343">
        <v>461600</v>
      </c>
      <c r="BS825" s="343">
        <v>590848</v>
      </c>
      <c r="BT825" s="343">
        <v>658242</v>
      </c>
      <c r="BV825" s="23" t="s">
        <v>235</v>
      </c>
      <c r="BW825" s="343">
        <v>331890</v>
      </c>
      <c r="BX825" s="343">
        <v>382666</v>
      </c>
      <c r="BY825" s="343">
        <v>461600</v>
      </c>
      <c r="BZ825" s="343">
        <v>590848</v>
      </c>
      <c r="CA825" s="343">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25" customHeight="1">
      <c r="A826"/>
      <c r="B826"/>
      <c r="C826" s="2" t="s">
        <v>345</v>
      </c>
      <c r="D826"/>
      <c r="E826"/>
      <c r="F826"/>
      <c r="G826"/>
      <c r="H826"/>
      <c r="I826"/>
      <c r="J826" s="45" t="s">
        <v>358</v>
      </c>
      <c r="K826" s="5"/>
      <c r="L826" s="5"/>
      <c r="M826" s="5"/>
      <c r="N826" s="5"/>
      <c r="O826" s="5"/>
      <c r="P826" s="5"/>
      <c r="Q826" s="5"/>
      <c r="R826" s="5"/>
      <c r="S826" s="5"/>
      <c r="T826" s="5"/>
      <c r="U826" s="5"/>
      <c r="V826" s="46"/>
      <c r="W826" s="1423">
        <v>5528</v>
      </c>
      <c r="X826" s="1423"/>
      <c r="Y826" s="1423"/>
      <c r="Z826" s="1423"/>
      <c r="AA826" s="1423"/>
      <c r="AB826" s="1423"/>
      <c r="AC826" s="1423"/>
      <c r="AD826"/>
      <c r="AE826"/>
      <c r="AF826"/>
      <c r="AG826"/>
      <c r="AH826"/>
      <c r="AI826"/>
      <c r="AJ826"/>
      <c r="AK826"/>
      <c r="AL826"/>
      <c r="AM826"/>
      <c r="AN826"/>
      <c r="AO826"/>
      <c r="AP826"/>
      <c r="AQ826"/>
      <c r="AR826"/>
      <c r="AS826"/>
      <c r="AT826"/>
      <c r="AU826"/>
      <c r="AV826"/>
      <c r="AW826"/>
      <c r="AX826"/>
      <c r="AY826"/>
      <c r="AZ826" s="30"/>
      <c r="BA826" s="30"/>
      <c r="BO826" s="23" t="s">
        <v>237</v>
      </c>
      <c r="BP826" s="341">
        <v>352022</v>
      </c>
      <c r="BQ826" s="341">
        <v>405878</v>
      </c>
      <c r="BR826" s="341">
        <v>489600</v>
      </c>
      <c r="BS826" s="341">
        <v>626688</v>
      </c>
      <c r="BT826" s="341">
        <v>698170</v>
      </c>
      <c r="BV826" s="23" t="s">
        <v>237</v>
      </c>
      <c r="BW826" s="341">
        <v>352022</v>
      </c>
      <c r="BX826" s="341">
        <v>405878</v>
      </c>
      <c r="BY826" s="341">
        <v>489600</v>
      </c>
      <c r="BZ826" s="341">
        <v>626688</v>
      </c>
      <c r="CA826" s="341">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25" customHeight="1">
      <c r="A827"/>
      <c r="B827"/>
      <c r="C827"/>
      <c r="D827"/>
      <c r="E827"/>
      <c r="F827"/>
      <c r="G827"/>
      <c r="H827"/>
      <c r="I827"/>
      <c r="J827" s="45" t="s">
        <v>357</v>
      </c>
      <c r="K827" s="5"/>
      <c r="L827" s="5"/>
      <c r="M827" s="5"/>
      <c r="N827" s="5"/>
      <c r="O827" s="5"/>
      <c r="P827" s="5"/>
      <c r="Q827" s="5"/>
      <c r="R827" s="5"/>
      <c r="S827" s="5"/>
      <c r="T827" s="5"/>
      <c r="U827" s="5"/>
      <c r="V827" s="46"/>
      <c r="W827" s="1423">
        <v>1750</v>
      </c>
      <c r="X827" s="1423"/>
      <c r="Y827" s="1423"/>
      <c r="Z827" s="1423"/>
      <c r="AA827" s="1423"/>
      <c r="AB827" s="1423"/>
      <c r="AC827" s="1423"/>
      <c r="AD827"/>
      <c r="AE827"/>
      <c r="AF827"/>
      <c r="AG827"/>
      <c r="AH827"/>
      <c r="AI827"/>
      <c r="AJ827"/>
      <c r="AK827"/>
      <c r="AL827"/>
      <c r="AM827"/>
      <c r="AN827"/>
      <c r="AO827"/>
      <c r="AP827"/>
      <c r="AQ827"/>
      <c r="AR827"/>
      <c r="AS827"/>
      <c r="AT827"/>
      <c r="AU827"/>
      <c r="AV827"/>
      <c r="AW827"/>
      <c r="AX827"/>
      <c r="AY827"/>
      <c r="BO827" s="23" t="s">
        <v>238</v>
      </c>
      <c r="BP827" s="343">
        <v>314634</v>
      </c>
      <c r="BQ827" s="343">
        <v>362770</v>
      </c>
      <c r="BR827" s="343">
        <v>437600</v>
      </c>
      <c r="BS827" s="343">
        <v>560128</v>
      </c>
      <c r="BT827" s="343">
        <v>624018</v>
      </c>
      <c r="BV827" s="23" t="s">
        <v>238</v>
      </c>
      <c r="BW827" s="343">
        <v>314634</v>
      </c>
      <c r="BX827" s="343">
        <v>362770</v>
      </c>
      <c r="BY827" s="343">
        <v>437600</v>
      </c>
      <c r="BZ827" s="343">
        <v>560128</v>
      </c>
      <c r="CA827" s="343">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25" customHeight="1">
      <c r="A828"/>
      <c r="B828"/>
      <c r="C828"/>
      <c r="D828"/>
      <c r="E828"/>
      <c r="F828"/>
      <c r="G828"/>
      <c r="H828"/>
      <c r="I828"/>
      <c r="J828" s="45" t="s">
        <v>356</v>
      </c>
      <c r="K828" s="5"/>
      <c r="L828" s="5"/>
      <c r="M828" s="5"/>
      <c r="N828" s="5"/>
      <c r="O828" s="5"/>
      <c r="P828" s="5"/>
      <c r="Q828" s="5"/>
      <c r="R828" s="5"/>
      <c r="S828" s="5"/>
      <c r="T828" s="5"/>
      <c r="U828" s="5"/>
      <c r="V828" s="46"/>
      <c r="W828" s="1423">
        <v>31480</v>
      </c>
      <c r="X828" s="1423"/>
      <c r="Y828" s="1423"/>
      <c r="Z828" s="1423"/>
      <c r="AA828" s="1423"/>
      <c r="AB828" s="1423"/>
      <c r="AC828" s="1423"/>
      <c r="AD828"/>
      <c r="AE828"/>
      <c r="AF828"/>
      <c r="AG828"/>
      <c r="AH828"/>
      <c r="AI828"/>
      <c r="AJ828"/>
      <c r="AK828"/>
      <c r="AL828"/>
      <c r="AM828"/>
      <c r="AN828"/>
      <c r="AO828"/>
      <c r="AP828"/>
      <c r="AQ828"/>
      <c r="AR828"/>
      <c r="AS828"/>
      <c r="AT828"/>
      <c r="AU828"/>
      <c r="AV828"/>
      <c r="AW828"/>
      <c r="AX828"/>
      <c r="AY828"/>
      <c r="BO828" s="23" t="s">
        <v>645</v>
      </c>
      <c r="BP828" s="341">
        <v>331890</v>
      </c>
      <c r="BQ828" s="341">
        <v>382666</v>
      </c>
      <c r="BR828" s="341">
        <v>461600</v>
      </c>
      <c r="BS828" s="341">
        <v>590848</v>
      </c>
      <c r="BT828" s="341">
        <v>658242</v>
      </c>
      <c r="BV828" s="23" t="s">
        <v>645</v>
      </c>
      <c r="BW828" s="341">
        <v>331890</v>
      </c>
      <c r="BX828" s="341">
        <v>382666</v>
      </c>
      <c r="BY828" s="341">
        <v>461600</v>
      </c>
      <c r="BZ828" s="341">
        <v>590848</v>
      </c>
      <c r="CA828" s="341">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25" customHeight="1">
      <c r="A829"/>
      <c r="B829"/>
      <c r="C829"/>
      <c r="D829"/>
      <c r="E829"/>
      <c r="F829"/>
      <c r="G829"/>
      <c r="H829"/>
      <c r="I829"/>
      <c r="J829" s="45" t="s">
        <v>355</v>
      </c>
      <c r="K829" s="5"/>
      <c r="L829" s="5"/>
      <c r="M829" s="5"/>
      <c r="N829" s="5"/>
      <c r="O829" s="5"/>
      <c r="P829" s="5"/>
      <c r="Q829" s="5"/>
      <c r="R829" s="5"/>
      <c r="S829" s="5"/>
      <c r="T829" s="5"/>
      <c r="U829" s="5"/>
      <c r="V829" s="46"/>
      <c r="W829" s="1423">
        <v>36000</v>
      </c>
      <c r="X829" s="1423"/>
      <c r="Y829" s="1423"/>
      <c r="Z829" s="1423"/>
      <c r="AA829" s="1423"/>
      <c r="AB829" s="1423"/>
      <c r="AC829" s="1423"/>
      <c r="AD829"/>
      <c r="AE829"/>
      <c r="AF829"/>
      <c r="AG829"/>
      <c r="AH829"/>
      <c r="AI829"/>
      <c r="AJ829"/>
      <c r="AK829"/>
      <c r="AL829"/>
      <c r="AM829"/>
      <c r="AN829"/>
      <c r="AO829"/>
      <c r="AP829"/>
      <c r="AQ829"/>
      <c r="AR829"/>
      <c r="AS829"/>
      <c r="AT829"/>
      <c r="AU829"/>
      <c r="AV829"/>
      <c r="AW829"/>
      <c r="AX829"/>
      <c r="AY829"/>
      <c r="BO829" s="23" t="s">
        <v>699</v>
      </c>
      <c r="BP829" s="343">
        <v>352022</v>
      </c>
      <c r="BQ829" s="343">
        <v>405878</v>
      </c>
      <c r="BR829" s="343">
        <v>489600</v>
      </c>
      <c r="BS829" s="343">
        <v>626688</v>
      </c>
      <c r="BT829" s="343">
        <v>698170</v>
      </c>
      <c r="BV829" s="23" t="s">
        <v>699</v>
      </c>
      <c r="BW829" s="343">
        <v>352022</v>
      </c>
      <c r="BX829" s="343">
        <v>405878</v>
      </c>
      <c r="BY829" s="343">
        <v>489600</v>
      </c>
      <c r="BZ829" s="343">
        <v>626688</v>
      </c>
      <c r="CA829" s="343">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25" customHeight="1">
      <c r="A830"/>
      <c r="B830"/>
      <c r="C830"/>
      <c r="D830"/>
      <c r="E830"/>
      <c r="F830"/>
      <c r="G830"/>
      <c r="H830"/>
      <c r="I830"/>
      <c r="J830" s="45" t="s">
        <v>171</v>
      </c>
      <c r="K830" s="5"/>
      <c r="L830" s="5"/>
      <c r="M830" s="1534" t="s">
        <v>2738</v>
      </c>
      <c r="N830" s="1535"/>
      <c r="O830" s="1535"/>
      <c r="P830" s="1535"/>
      <c r="Q830" s="1535"/>
      <c r="R830" s="1535"/>
      <c r="S830" s="1535"/>
      <c r="T830" s="1535"/>
      <c r="U830" s="1535"/>
      <c r="V830" s="1536"/>
      <c r="W830" s="1423">
        <v>57652</v>
      </c>
      <c r="X830" s="1423"/>
      <c r="Y830" s="1423"/>
      <c r="Z830" s="1423"/>
      <c r="AA830" s="1423"/>
      <c r="AB830" s="1423"/>
      <c r="AC830" s="1423"/>
      <c r="AD830"/>
      <c r="AE830"/>
      <c r="AF830"/>
      <c r="AG830"/>
      <c r="AH830"/>
      <c r="AI830"/>
      <c r="AJ830"/>
      <c r="AK830"/>
      <c r="AL830"/>
      <c r="AM830"/>
      <c r="AN830"/>
      <c r="AO830"/>
      <c r="AP830"/>
      <c r="AQ830"/>
      <c r="AR830"/>
      <c r="AS830"/>
      <c r="AT830"/>
      <c r="AU830"/>
      <c r="AV830"/>
      <c r="AW830"/>
      <c r="AX830"/>
      <c r="AY830"/>
      <c r="BI830" s="1634">
        <f>ROUNDDOWN(BC918*2,2)</f>
        <v>0</v>
      </c>
      <c r="BJ830" s="1634"/>
      <c r="BK830" s="1634"/>
      <c r="BL830" s="1634"/>
      <c r="BO830" s="23" t="s">
        <v>700</v>
      </c>
      <c r="BP830" s="341">
        <v>314634</v>
      </c>
      <c r="BQ830" s="341">
        <v>362770</v>
      </c>
      <c r="BR830" s="341">
        <v>437600</v>
      </c>
      <c r="BS830" s="341">
        <v>560128</v>
      </c>
      <c r="BT830" s="341">
        <v>624018</v>
      </c>
      <c r="BV830" s="23" t="s">
        <v>700</v>
      </c>
      <c r="BW830" s="341">
        <v>314634</v>
      </c>
      <c r="BX830" s="341">
        <v>362770</v>
      </c>
      <c r="BY830" s="341">
        <v>437600</v>
      </c>
      <c r="BZ830" s="341">
        <v>560128</v>
      </c>
      <c r="CA830" s="341">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25" customHeight="1">
      <c r="A831"/>
      <c r="B831"/>
      <c r="C831"/>
      <c r="D831"/>
      <c r="E831"/>
      <c r="F831"/>
      <c r="G831"/>
      <c r="H831"/>
      <c r="I831"/>
      <c r="J831" s="45"/>
      <c r="K831" s="5"/>
      <c r="L831" s="5"/>
      <c r="M831" s="5"/>
      <c r="N831" s="5"/>
      <c r="O831" s="5"/>
      <c r="P831" s="5"/>
      <c r="Q831" s="5"/>
      <c r="R831" s="5"/>
      <c r="S831" s="5"/>
      <c r="T831" s="5"/>
      <c r="U831" s="5"/>
      <c r="V831" s="54" t="s">
        <v>344</v>
      </c>
      <c r="W831" s="1587">
        <f>SUM(W826:AC830)</f>
        <v>132410</v>
      </c>
      <c r="X831" s="1588"/>
      <c r="Y831" s="1588"/>
      <c r="Z831" s="1588"/>
      <c r="AA831" s="1588"/>
      <c r="AB831" s="1588"/>
      <c r="AC831" s="1589"/>
      <c r="AD831"/>
      <c r="AE831"/>
      <c r="AF831"/>
      <c r="AG831"/>
      <c r="AH831"/>
      <c r="AI831"/>
      <c r="AJ831"/>
      <c r="AK831"/>
      <c r="AL831"/>
      <c r="AM831"/>
      <c r="AN831"/>
      <c r="AO831"/>
      <c r="AP831"/>
      <c r="AQ831"/>
      <c r="AR831"/>
      <c r="AS831"/>
      <c r="AT831"/>
      <c r="AU831"/>
      <c r="AV831"/>
      <c r="AW831"/>
      <c r="AX831"/>
      <c r="AY831"/>
      <c r="AZ831" s="30"/>
      <c r="BA831" s="30"/>
      <c r="BO831" s="23" t="s">
        <v>701</v>
      </c>
      <c r="BP831" s="343">
        <v>353173</v>
      </c>
      <c r="BQ831" s="343">
        <v>407205</v>
      </c>
      <c r="BR831" s="343">
        <v>491200</v>
      </c>
      <c r="BS831" s="343">
        <v>628736</v>
      </c>
      <c r="BT831" s="343">
        <v>700451</v>
      </c>
      <c r="BV831" s="23" t="s">
        <v>701</v>
      </c>
      <c r="BW831" s="343">
        <v>353173</v>
      </c>
      <c r="BX831" s="343">
        <v>407205</v>
      </c>
      <c r="BY831" s="343">
        <v>491200</v>
      </c>
      <c r="BZ831" s="343">
        <v>628736</v>
      </c>
      <c r="CA831" s="343">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2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41">
        <v>689665</v>
      </c>
      <c r="BQ832" s="341">
        <v>795177</v>
      </c>
      <c r="BR832" s="341">
        <v>959200</v>
      </c>
      <c r="BS832" s="341">
        <v>1227776</v>
      </c>
      <c r="BT832" s="341">
        <v>1367819</v>
      </c>
      <c r="BV832" s="23" t="s">
        <v>702</v>
      </c>
      <c r="BW832" s="341">
        <v>689665</v>
      </c>
      <c r="BX832" s="341">
        <v>795177</v>
      </c>
      <c r="BY832" s="341">
        <v>959200</v>
      </c>
      <c r="BZ832" s="341">
        <v>1227776</v>
      </c>
      <c r="CA832" s="341">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25" customHeight="1">
      <c r="A833"/>
      <c r="B833"/>
      <c r="C833" s="2" t="s">
        <v>346</v>
      </c>
      <c r="D833"/>
      <c r="E833"/>
      <c r="F833"/>
      <c r="G833"/>
      <c r="H833"/>
      <c r="I833"/>
      <c r="J833" s="1577" t="s">
        <v>347</v>
      </c>
      <c r="K833" s="1578"/>
      <c r="L833" s="1578"/>
      <c r="M833" s="1578"/>
      <c r="N833" s="1578"/>
      <c r="O833" s="1578"/>
      <c r="P833" s="1578"/>
      <c r="Q833" s="1578"/>
      <c r="R833" s="1578"/>
      <c r="S833" s="1578"/>
      <c r="T833" s="1578"/>
      <c r="U833" s="1578"/>
      <c r="V833" s="1579"/>
      <c r="W833" s="1420">
        <v>122400</v>
      </c>
      <c r="X833" s="1421"/>
      <c r="Y833" s="1421"/>
      <c r="Z833" s="1421"/>
      <c r="AA833" s="1421"/>
      <c r="AB833" s="1421"/>
      <c r="AC833" s="1422"/>
      <c r="AD833" s="559"/>
      <c r="AE833"/>
      <c r="AF833"/>
      <c r="AG833"/>
      <c r="AH833"/>
      <c r="AI833"/>
      <c r="AJ833"/>
      <c r="AK833"/>
      <c r="AL833"/>
      <c r="AM833"/>
      <c r="AN833"/>
      <c r="AO833"/>
      <c r="AP833"/>
      <c r="AQ833"/>
      <c r="AR833"/>
      <c r="AS833"/>
      <c r="AT833"/>
      <c r="AU833"/>
      <c r="AV833"/>
      <c r="AW833"/>
      <c r="AX833"/>
      <c r="AY833"/>
      <c r="AZ833" s="30"/>
      <c r="BA833" s="30"/>
      <c r="BO833" s="23" t="s">
        <v>244</v>
      </c>
      <c r="BP833" s="343">
        <v>307732</v>
      </c>
      <c r="BQ833" s="343">
        <v>354812</v>
      </c>
      <c r="BR833" s="343">
        <v>428000</v>
      </c>
      <c r="BS833" s="343">
        <v>547840</v>
      </c>
      <c r="BT833" s="343">
        <v>610328</v>
      </c>
      <c r="BV833" s="23" t="s">
        <v>244</v>
      </c>
      <c r="BW833" s="343">
        <v>307732</v>
      </c>
      <c r="BX833" s="343">
        <v>354812</v>
      </c>
      <c r="BY833" s="343">
        <v>428000</v>
      </c>
      <c r="BZ833" s="343">
        <v>547840</v>
      </c>
      <c r="CA833" s="343">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25" customHeight="1">
      <c r="A834"/>
      <c r="B834"/>
      <c r="C834"/>
      <c r="D834"/>
      <c r="E834"/>
      <c r="F834"/>
      <c r="G834"/>
      <c r="H834"/>
      <c r="I834"/>
      <c r="J834"/>
      <c r="K834"/>
      <c r="L834"/>
      <c r="M834"/>
      <c r="N834"/>
      <c r="O834"/>
      <c r="P834"/>
      <c r="Q834"/>
      <c r="R834"/>
      <c r="S834"/>
      <c r="T834"/>
      <c r="U834"/>
      <c r="V834"/>
      <c r="W834"/>
      <c r="X834"/>
      <c r="Y834"/>
      <c r="Z834"/>
      <c r="AA834"/>
      <c r="AB834"/>
      <c r="AC834"/>
      <c r="AD834" s="559"/>
      <c r="AE834"/>
      <c r="AF834"/>
      <c r="AG834"/>
      <c r="AH834"/>
      <c r="AI834"/>
      <c r="AJ834"/>
      <c r="AK834"/>
      <c r="AL834"/>
      <c r="AM834"/>
      <c r="AN834"/>
      <c r="AO834"/>
      <c r="AP834"/>
      <c r="AQ834"/>
      <c r="AR834"/>
      <c r="AS834"/>
      <c r="AT834"/>
      <c r="AU834"/>
      <c r="AV834"/>
      <c r="AW834"/>
      <c r="AX834"/>
      <c r="AY834"/>
      <c r="AZ834" s="30"/>
      <c r="BA834" s="30"/>
      <c r="BO834" s="23" t="s">
        <v>245</v>
      </c>
      <c r="BP834" s="341">
        <v>387110</v>
      </c>
      <c r="BQ834" s="341">
        <v>446334</v>
      </c>
      <c r="BR834" s="341">
        <v>538400</v>
      </c>
      <c r="BS834" s="341">
        <v>689152</v>
      </c>
      <c r="BT834" s="341">
        <v>767758</v>
      </c>
      <c r="BV834" s="23" t="s">
        <v>245</v>
      </c>
      <c r="BW834" s="341">
        <v>387110</v>
      </c>
      <c r="BX834" s="341">
        <v>446334</v>
      </c>
      <c r="BY834" s="341">
        <v>538400</v>
      </c>
      <c r="BZ834" s="341">
        <v>689152</v>
      </c>
      <c r="CA834" s="341">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25" customHeight="1">
      <c r="A835"/>
      <c r="B835"/>
      <c r="C835" s="2" t="s">
        <v>571</v>
      </c>
      <c r="D835"/>
      <c r="E835"/>
      <c r="F835"/>
      <c r="G835"/>
      <c r="H835"/>
      <c r="I835"/>
      <c r="J835" s="45" t="s">
        <v>354</v>
      </c>
      <c r="K835" s="5"/>
      <c r="L835" s="5"/>
      <c r="M835" s="5"/>
      <c r="N835" s="5"/>
      <c r="O835" s="5"/>
      <c r="P835" s="5"/>
      <c r="Q835" s="5"/>
      <c r="R835" s="5"/>
      <c r="S835" s="5"/>
      <c r="T835" s="5"/>
      <c r="U835" s="5"/>
      <c r="V835" s="46"/>
      <c r="W835" s="1701"/>
      <c r="X835" s="1701"/>
      <c r="Y835" s="1701"/>
      <c r="Z835" s="1701"/>
      <c r="AA835" s="1701"/>
      <c r="AB835" s="1701"/>
      <c r="AC835" s="1701"/>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42">
        <v>532060</v>
      </c>
      <c r="BQ835" s="342">
        <v>613460</v>
      </c>
      <c r="BR835" s="343">
        <v>740000</v>
      </c>
      <c r="BS835" s="342">
        <v>947200</v>
      </c>
      <c r="BT835" s="342">
        <v>1055240</v>
      </c>
      <c r="BV835" s="23" t="s">
        <v>246</v>
      </c>
      <c r="BW835" s="342">
        <v>532060</v>
      </c>
      <c r="BX835" s="342">
        <v>613460</v>
      </c>
      <c r="BY835" s="342">
        <v>740000</v>
      </c>
      <c r="BZ835" s="342">
        <v>947200</v>
      </c>
      <c r="CA835" s="342">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25" customHeight="1">
      <c r="A836"/>
      <c r="B836"/>
      <c r="C836"/>
      <c r="D836"/>
      <c r="E836"/>
      <c r="F836"/>
      <c r="G836"/>
      <c r="H836"/>
      <c r="I836"/>
      <c r="J836" s="45" t="s">
        <v>353</v>
      </c>
      <c r="K836" s="5"/>
      <c r="L836" s="5"/>
      <c r="M836" s="5"/>
      <c r="N836" s="5"/>
      <c r="O836" s="5"/>
      <c r="P836" s="5"/>
      <c r="Q836" s="5"/>
      <c r="R836" s="5"/>
      <c r="S836" s="5"/>
      <c r="T836" s="5"/>
      <c r="U836" s="5"/>
      <c r="V836" s="46"/>
      <c r="W836" s="1701"/>
      <c r="X836" s="1701"/>
      <c r="Y836" s="1701"/>
      <c r="Z836" s="1701"/>
      <c r="AA836" s="1701"/>
      <c r="AB836" s="1701"/>
      <c r="AC836" s="1701"/>
      <c r="AD836"/>
      <c r="AE836"/>
      <c r="AF836"/>
      <c r="AG836"/>
      <c r="AH836"/>
      <c r="AI836"/>
      <c r="AJ836"/>
      <c r="AK836"/>
      <c r="AL836"/>
      <c r="AM836"/>
      <c r="AN836"/>
      <c r="AO836"/>
      <c r="AP836"/>
      <c r="AQ836"/>
      <c r="AR836"/>
      <c r="AS836"/>
      <c r="AT836"/>
      <c r="AU836"/>
      <c r="AV836"/>
      <c r="AW836"/>
      <c r="AX836"/>
      <c r="AY836"/>
      <c r="AZ836" s="30"/>
      <c r="BA836" s="30"/>
      <c r="BO836" s="23" t="s">
        <v>708</v>
      </c>
      <c r="BP836" s="341">
        <v>387110</v>
      </c>
      <c r="BQ836" s="341">
        <v>446334</v>
      </c>
      <c r="BR836" s="341">
        <v>538400</v>
      </c>
      <c r="BS836" s="341">
        <v>689152</v>
      </c>
      <c r="BT836" s="341">
        <v>767758</v>
      </c>
      <c r="BV836" s="23" t="s">
        <v>708</v>
      </c>
      <c r="BW836" s="341">
        <v>387110</v>
      </c>
      <c r="BX836" s="341">
        <v>446334</v>
      </c>
      <c r="BY836" s="341">
        <v>538400</v>
      </c>
      <c r="BZ836" s="341">
        <v>689152</v>
      </c>
      <c r="CA836" s="341">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25" customHeight="1">
      <c r="A837"/>
      <c r="B837"/>
      <c r="C837"/>
      <c r="D837"/>
      <c r="E837"/>
      <c r="F837"/>
      <c r="G837"/>
      <c r="H837"/>
      <c r="I837"/>
      <c r="J837" s="45" t="s">
        <v>469</v>
      </c>
      <c r="K837" s="5"/>
      <c r="L837" s="5"/>
      <c r="M837" s="5"/>
      <c r="N837" s="5"/>
      <c r="O837" s="5"/>
      <c r="P837" s="5"/>
      <c r="Q837" s="5"/>
      <c r="R837" s="5"/>
      <c r="S837" s="5"/>
      <c r="T837" s="5"/>
      <c r="U837" s="5"/>
      <c r="V837" s="46"/>
      <c r="W837" s="1701">
        <v>26500</v>
      </c>
      <c r="X837" s="1701"/>
      <c r="Y837" s="1701"/>
      <c r="Z837" s="1701"/>
      <c r="AA837" s="1701"/>
      <c r="AB837" s="1701"/>
      <c r="AC837" s="1701"/>
      <c r="AD837"/>
      <c r="AE837"/>
      <c r="AF837"/>
      <c r="AG837"/>
      <c r="AH837"/>
      <c r="AI837"/>
      <c r="AJ837"/>
      <c r="AK837"/>
      <c r="AL837"/>
      <c r="AM837"/>
      <c r="AN837"/>
      <c r="AO837"/>
      <c r="AP837"/>
      <c r="AQ837"/>
      <c r="AR837"/>
      <c r="AS837"/>
      <c r="AT837"/>
      <c r="AU837"/>
      <c r="AV837"/>
      <c r="AW837"/>
      <c r="AX837"/>
      <c r="AY837"/>
      <c r="AZ837" s="30"/>
      <c r="BA837" s="30"/>
      <c r="BG837" s="1644"/>
      <c r="BH837" s="1644"/>
      <c r="BI837" s="1644"/>
      <c r="BJ837" s="1644"/>
      <c r="BK837" s="1644"/>
      <c r="BL837" s="1644"/>
      <c r="BO837" s="23" t="s">
        <v>709</v>
      </c>
      <c r="BP837" s="342">
        <v>532060</v>
      </c>
      <c r="BQ837" s="342">
        <v>613460</v>
      </c>
      <c r="BR837" s="342">
        <v>740000</v>
      </c>
      <c r="BS837" s="342">
        <v>947200</v>
      </c>
      <c r="BT837" s="342">
        <v>1055240</v>
      </c>
      <c r="BV837" s="23" t="s">
        <v>709</v>
      </c>
      <c r="BW837" s="342">
        <v>532060</v>
      </c>
      <c r="BX837" s="342">
        <v>613460</v>
      </c>
      <c r="BY837" s="342">
        <v>740000</v>
      </c>
      <c r="BZ837" s="342">
        <v>947200</v>
      </c>
      <c r="CA837" s="342">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25" customHeight="1">
      <c r="A838"/>
      <c r="B838"/>
      <c r="C838"/>
      <c r="D838"/>
      <c r="E838"/>
      <c r="F838"/>
      <c r="G838"/>
      <c r="H838"/>
      <c r="I838"/>
      <c r="J838" s="62" t="s">
        <v>630</v>
      </c>
      <c r="K838" s="5"/>
      <c r="L838" s="5"/>
      <c r="M838" s="5"/>
      <c r="N838" s="5"/>
      <c r="O838" s="5"/>
      <c r="P838" s="5"/>
      <c r="Q838" s="5"/>
      <c r="R838" s="5"/>
      <c r="S838" s="5"/>
      <c r="T838" s="5"/>
      <c r="U838" s="5"/>
      <c r="V838" s="46"/>
      <c r="W838" s="1701">
        <v>127820</v>
      </c>
      <c r="X838" s="1701"/>
      <c r="Y838" s="1701"/>
      <c r="Z838" s="1701"/>
      <c r="AA838" s="1701"/>
      <c r="AB838" s="1701"/>
      <c r="AC838" s="170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41">
        <v>387110</v>
      </c>
      <c r="BQ838" s="341">
        <v>446334</v>
      </c>
      <c r="BR838" s="341">
        <v>538400</v>
      </c>
      <c r="BS838" s="341">
        <v>689152</v>
      </c>
      <c r="BT838" s="341">
        <v>767758</v>
      </c>
      <c r="BV838" s="23" t="s">
        <v>710</v>
      </c>
      <c r="BW838" s="341">
        <v>387110</v>
      </c>
      <c r="BX838" s="341">
        <v>446334</v>
      </c>
      <c r="BY838" s="341">
        <v>538400</v>
      </c>
      <c r="BZ838" s="341">
        <v>689152</v>
      </c>
      <c r="CA838" s="341">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25" customHeight="1">
      <c r="A839"/>
      <c r="B839"/>
      <c r="C839"/>
      <c r="D839"/>
      <c r="E839"/>
      <c r="F839"/>
      <c r="G839"/>
      <c r="H839"/>
      <c r="I839"/>
      <c r="J839" s="63"/>
      <c r="K839" s="48"/>
      <c r="L839" s="48"/>
      <c r="M839" s="48"/>
      <c r="N839" s="48"/>
      <c r="O839" s="48"/>
      <c r="P839" s="48"/>
      <c r="Q839" s="48"/>
      <c r="R839" s="48"/>
      <c r="S839" s="48"/>
      <c r="T839" s="48"/>
      <c r="U839" s="48"/>
      <c r="V839" s="54" t="s">
        <v>274</v>
      </c>
      <c r="W839" s="1716">
        <f>SUM(W835:AC838)</f>
        <v>154320</v>
      </c>
      <c r="X839" s="1716"/>
      <c r="Y839" s="1716"/>
      <c r="Z839" s="1716"/>
      <c r="AA839" s="1716"/>
      <c r="AB839" s="1716"/>
      <c r="AC839" s="171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43">
        <v>319236</v>
      </c>
      <c r="BQ839" s="343">
        <v>368076</v>
      </c>
      <c r="BR839" s="343">
        <v>444000</v>
      </c>
      <c r="BS839" s="343">
        <v>568320</v>
      </c>
      <c r="BT839" s="343">
        <v>633144</v>
      </c>
      <c r="BV839" s="23" t="s">
        <v>711</v>
      </c>
      <c r="BW839" s="343">
        <v>319236</v>
      </c>
      <c r="BX839" s="343">
        <v>368076</v>
      </c>
      <c r="BY839" s="343">
        <v>444000</v>
      </c>
      <c r="BZ839" s="343">
        <v>568320</v>
      </c>
      <c r="CA839" s="343">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2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2">
        <f>SUM(AZ807:AZ835)</f>
        <v>7.5000000000000011E-2</v>
      </c>
      <c r="BA840" s="1712"/>
      <c r="BO840" s="23" t="s">
        <v>712</v>
      </c>
      <c r="BP840" s="341">
        <v>352022</v>
      </c>
      <c r="BQ840" s="341">
        <v>405878</v>
      </c>
      <c r="BR840" s="341">
        <v>489600</v>
      </c>
      <c r="BS840" s="341">
        <v>626688</v>
      </c>
      <c r="BT840" s="341">
        <v>698170</v>
      </c>
      <c r="BV840" s="23" t="s">
        <v>712</v>
      </c>
      <c r="BW840" s="341">
        <v>352022</v>
      </c>
      <c r="BX840" s="341">
        <v>405878</v>
      </c>
      <c r="BY840" s="341">
        <v>489600</v>
      </c>
      <c r="BZ840" s="341">
        <v>626688</v>
      </c>
      <c r="CA840" s="34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25" customHeight="1">
      <c r="A841"/>
      <c r="B841"/>
      <c r="C841" s="2" t="s">
        <v>348</v>
      </c>
      <c r="D841"/>
      <c r="E841"/>
      <c r="F841"/>
      <c r="G841"/>
      <c r="H841"/>
      <c r="I841"/>
      <c r="J841" s="45" t="s">
        <v>629</v>
      </c>
      <c r="K841" s="5"/>
      <c r="L841" s="5"/>
      <c r="M841" s="5"/>
      <c r="N841" s="5"/>
      <c r="O841" s="5"/>
      <c r="P841" s="5"/>
      <c r="Q841" s="5"/>
      <c r="R841" s="5"/>
      <c r="S841" s="5"/>
      <c r="T841" s="5"/>
      <c r="U841" s="5"/>
      <c r="V841" s="46"/>
      <c r="W841" s="1641">
        <v>142218</v>
      </c>
      <c r="X841" s="1642"/>
      <c r="Y841" s="1642"/>
      <c r="Z841" s="1642"/>
      <c r="AA841" s="1642"/>
      <c r="AB841" s="1642"/>
      <c r="AC841" s="1643"/>
      <c r="AD841" s="554"/>
      <c r="AE841"/>
      <c r="AF841"/>
      <c r="AG841"/>
      <c r="AH841"/>
      <c r="AI841"/>
      <c r="AJ841"/>
      <c r="AK841"/>
      <c r="AL841"/>
      <c r="AM841"/>
      <c r="AN841"/>
      <c r="AO841"/>
      <c r="AP841"/>
      <c r="AQ841"/>
      <c r="AR841"/>
      <c r="AS841"/>
      <c r="AT841"/>
      <c r="AU841"/>
      <c r="AV841"/>
      <c r="AW841"/>
      <c r="AX841"/>
      <c r="AY841"/>
      <c r="AZ841" s="30"/>
      <c r="BA841" s="30"/>
      <c r="BO841" s="23" t="s">
        <v>713</v>
      </c>
      <c r="BP841" s="343">
        <v>352022</v>
      </c>
      <c r="BQ841" s="343">
        <v>405878</v>
      </c>
      <c r="BR841" s="343">
        <v>489600</v>
      </c>
      <c r="BS841" s="343">
        <v>626688</v>
      </c>
      <c r="BT841" s="343">
        <v>698170</v>
      </c>
      <c r="BV841" s="23" t="s">
        <v>713</v>
      </c>
      <c r="BW841" s="343">
        <v>352022</v>
      </c>
      <c r="BX841" s="343">
        <v>405878</v>
      </c>
      <c r="BY841" s="343">
        <v>489600</v>
      </c>
      <c r="BZ841" s="343">
        <v>626688</v>
      </c>
      <c r="CA841" s="343">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25" customHeight="1">
      <c r="A842"/>
      <c r="B842"/>
      <c r="C842" s="2" t="s">
        <v>349</v>
      </c>
      <c r="D842"/>
      <c r="E842"/>
      <c r="F842"/>
      <c r="G842"/>
      <c r="H842"/>
      <c r="I842"/>
      <c r="J842" s="121" t="s">
        <v>1836</v>
      </c>
      <c r="K842" s="5"/>
      <c r="L842" s="5"/>
      <c r="M842" s="5"/>
      <c r="N842" s="5"/>
      <c r="O842" s="5"/>
      <c r="P842" s="5"/>
      <c r="Q842" s="5"/>
      <c r="R842" s="5"/>
      <c r="S842" s="5"/>
      <c r="T842" s="1699">
        <v>2</v>
      </c>
      <c r="U842" s="1659"/>
      <c r="V842" s="1700"/>
      <c r="W842" s="901"/>
      <c r="X842" s="902"/>
      <c r="Y842" s="902"/>
      <c r="Z842" s="902"/>
      <c r="AA842" s="902"/>
      <c r="AB842" s="902"/>
      <c r="AC842" s="903"/>
      <c r="AD842" s="554"/>
      <c r="AE842"/>
      <c r="AF842"/>
      <c r="AG842"/>
      <c r="AH842"/>
      <c r="AI842"/>
      <c r="AJ842"/>
      <c r="AK842"/>
      <c r="AL842"/>
      <c r="AM842"/>
      <c r="AN842"/>
      <c r="AO842"/>
      <c r="AP842"/>
      <c r="AQ842"/>
      <c r="AR842"/>
      <c r="AS842"/>
      <c r="AT842"/>
      <c r="AU842"/>
      <c r="AV842"/>
      <c r="AW842"/>
      <c r="AX842"/>
      <c r="AY842"/>
      <c r="AZ842" s="30"/>
      <c r="BA842" s="30"/>
      <c r="BO842" s="23" t="s">
        <v>714</v>
      </c>
      <c r="BP842" s="341">
        <v>384234</v>
      </c>
      <c r="BQ842" s="341">
        <v>443018</v>
      </c>
      <c r="BR842" s="341">
        <v>534400</v>
      </c>
      <c r="BS842" s="341">
        <v>684032</v>
      </c>
      <c r="BT842" s="341">
        <v>762054</v>
      </c>
      <c r="BV842" s="23" t="s">
        <v>714</v>
      </c>
      <c r="BW842" s="341">
        <v>384234</v>
      </c>
      <c r="BX842" s="341">
        <v>443018</v>
      </c>
      <c r="BY842" s="341">
        <v>534400</v>
      </c>
      <c r="BZ842" s="341">
        <v>684032</v>
      </c>
      <c r="CA842" s="341">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25" customHeight="1">
      <c r="C843" s="2"/>
      <c r="J843" s="45" t="s">
        <v>628</v>
      </c>
      <c r="K843" s="5"/>
      <c r="L843" s="5"/>
      <c r="M843" s="5"/>
      <c r="N843" s="5"/>
      <c r="O843" s="5"/>
      <c r="P843" s="5"/>
      <c r="Q843" s="5"/>
      <c r="R843" s="5"/>
      <c r="S843" s="5"/>
      <c r="T843" s="5"/>
      <c r="U843" s="5"/>
      <c r="V843" s="46"/>
      <c r="W843" s="1641">
        <v>116535</v>
      </c>
      <c r="X843" s="1642"/>
      <c r="Y843" s="1642"/>
      <c r="Z843" s="1642"/>
      <c r="AA843" s="1642"/>
      <c r="AB843" s="1642"/>
      <c r="AC843" s="1643"/>
      <c r="AD843" s="559"/>
      <c r="AZ843" s="34"/>
      <c r="BA843" s="34"/>
      <c r="BB843" s="34"/>
      <c r="BC843" s="34"/>
      <c r="BD843" s="34"/>
      <c r="BE843" s="34"/>
      <c r="BF843" s="34"/>
      <c r="BG843" s="34"/>
      <c r="BH843" s="34"/>
      <c r="BI843" s="34"/>
      <c r="BJ843" s="34"/>
      <c r="BK843" s="34"/>
      <c r="BL843" s="34"/>
      <c r="BM843" s="34"/>
      <c r="BN843" s="34"/>
      <c r="BO843" s="23" t="s">
        <v>110</v>
      </c>
      <c r="BP843" s="343">
        <v>384234</v>
      </c>
      <c r="BQ843" s="343">
        <v>443018</v>
      </c>
      <c r="BR843" s="343">
        <v>534400</v>
      </c>
      <c r="BS843" s="343">
        <v>684032</v>
      </c>
      <c r="BT843" s="343">
        <v>762054</v>
      </c>
      <c r="BU843" s="14"/>
      <c r="BV843" s="23" t="s">
        <v>110</v>
      </c>
      <c r="BW843" s="343">
        <v>384234</v>
      </c>
      <c r="BX843" s="343">
        <v>443018</v>
      </c>
      <c r="BY843" s="343">
        <v>534400</v>
      </c>
      <c r="BZ843" s="343">
        <v>684032</v>
      </c>
      <c r="CA843" s="343">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25" customHeight="1">
      <c r="C844" s="2"/>
      <c r="J844" s="121" t="s">
        <v>1837</v>
      </c>
      <c r="K844" s="5"/>
      <c r="L844" s="5"/>
      <c r="M844" s="5"/>
      <c r="N844" s="5"/>
      <c r="O844" s="5"/>
      <c r="P844" s="5"/>
      <c r="Q844" s="5"/>
      <c r="R844" s="5"/>
      <c r="S844" s="5"/>
      <c r="T844" s="1699">
        <v>1</v>
      </c>
      <c r="U844" s="1659"/>
      <c r="V844" s="1700"/>
      <c r="W844" s="901"/>
      <c r="X844" s="902"/>
      <c r="Y844" s="902"/>
      <c r="Z844" s="902"/>
      <c r="AA844" s="902"/>
      <c r="AB844" s="902"/>
      <c r="AC844" s="903"/>
      <c r="AD844" s="559"/>
      <c r="AZ844" s="34"/>
      <c r="BA844" s="34"/>
      <c r="BB844" s="34"/>
      <c r="BC844" s="34"/>
      <c r="BD844" s="34"/>
      <c r="BE844" s="34"/>
      <c r="BF844" s="34"/>
      <c r="BG844" s="34"/>
      <c r="BH844" s="34"/>
      <c r="BI844" s="34"/>
      <c r="BJ844" s="34"/>
      <c r="BK844" s="34"/>
      <c r="BL844" s="34"/>
      <c r="BM844" s="34"/>
      <c r="BN844" s="34"/>
      <c r="BO844" s="23" t="s">
        <v>111</v>
      </c>
      <c r="BP844" s="341">
        <v>307732</v>
      </c>
      <c r="BQ844" s="341">
        <v>354812</v>
      </c>
      <c r="BR844" s="341">
        <v>428000</v>
      </c>
      <c r="BS844" s="341">
        <v>547840</v>
      </c>
      <c r="BT844" s="341">
        <v>610328</v>
      </c>
      <c r="BU844" s="14"/>
      <c r="BV844" s="23" t="s">
        <v>111</v>
      </c>
      <c r="BW844" s="341">
        <v>307732</v>
      </c>
      <c r="BX844" s="341">
        <v>354812</v>
      </c>
      <c r="BY844" s="341">
        <v>428000</v>
      </c>
      <c r="BZ844" s="341">
        <v>547840</v>
      </c>
      <c r="CA844" s="341">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25" customHeight="1">
      <c r="J845" s="45" t="s">
        <v>171</v>
      </c>
      <c r="K845" s="5"/>
      <c r="L845" s="5"/>
      <c r="M845" s="1534" t="s">
        <v>2739</v>
      </c>
      <c r="N845" s="1535"/>
      <c r="O845" s="1535"/>
      <c r="P845" s="1535"/>
      <c r="Q845" s="1535"/>
      <c r="R845" s="1535"/>
      <c r="S845" s="1535"/>
      <c r="T845" s="1535"/>
      <c r="U845" s="1535"/>
      <c r="V845" s="1536"/>
      <c r="W845" s="1641">
        <v>116617</v>
      </c>
      <c r="X845" s="1642"/>
      <c r="Y845" s="1642"/>
      <c r="Z845" s="1642"/>
      <c r="AA845" s="1642"/>
      <c r="AB845" s="1642"/>
      <c r="AC845" s="1643"/>
      <c r="AD845" s="554"/>
      <c r="AZ845" s="34"/>
      <c r="BA845" s="34"/>
      <c r="BB845" s="34"/>
      <c r="BC845" s="34"/>
      <c r="BD845" s="34"/>
      <c r="BE845" s="34"/>
      <c r="BF845" s="34"/>
      <c r="BG845" s="34"/>
      <c r="BH845" s="34"/>
      <c r="BI845" s="34"/>
      <c r="BJ845" s="34"/>
      <c r="BK845" s="34"/>
      <c r="BL845" s="34"/>
      <c r="BM845" s="34"/>
      <c r="BN845" s="34"/>
      <c r="BO845" s="23" t="s">
        <v>45</v>
      </c>
      <c r="BP845" s="343">
        <v>331890</v>
      </c>
      <c r="BQ845" s="343">
        <v>382666</v>
      </c>
      <c r="BR845" s="343">
        <v>461600</v>
      </c>
      <c r="BS845" s="343">
        <v>590848</v>
      </c>
      <c r="BT845" s="343">
        <v>658242</v>
      </c>
      <c r="BU845" s="14"/>
      <c r="BV845" s="23" t="s">
        <v>45</v>
      </c>
      <c r="BW845" s="343">
        <v>331890</v>
      </c>
      <c r="BX845" s="343">
        <v>382666</v>
      </c>
      <c r="BY845" s="343">
        <v>461600</v>
      </c>
      <c r="BZ845" s="343">
        <v>590848</v>
      </c>
      <c r="CA845" s="343">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25" customHeight="1">
      <c r="J846" s="45"/>
      <c r="K846" s="5"/>
      <c r="L846" s="5"/>
      <c r="M846" s="5"/>
      <c r="N846" s="5"/>
      <c r="O846" s="5"/>
      <c r="P846" s="5"/>
      <c r="Q846" s="5"/>
      <c r="R846" s="5"/>
      <c r="S846" s="5"/>
      <c r="T846" s="5"/>
      <c r="U846" s="5"/>
      <c r="V846" s="54" t="s">
        <v>275</v>
      </c>
      <c r="W846" s="1713">
        <f>SUM(W841:AC845)</f>
        <v>375370</v>
      </c>
      <c r="X846" s="1714"/>
      <c r="Y846" s="1714"/>
      <c r="Z846" s="1714"/>
      <c r="AA846" s="1714"/>
      <c r="AB846" s="1714"/>
      <c r="AC846" s="1715"/>
      <c r="AD846" s="559"/>
      <c r="AZ846" s="34"/>
      <c r="BA846" s="34"/>
      <c r="BB846" s="34"/>
      <c r="BC846" s="34"/>
      <c r="BD846" s="34"/>
      <c r="BE846" s="34"/>
      <c r="BF846" s="34"/>
      <c r="BG846" s="34"/>
      <c r="BH846" s="34"/>
      <c r="BI846" s="34"/>
      <c r="BJ846" s="34"/>
      <c r="BK846" s="34"/>
      <c r="BL846" s="34"/>
      <c r="BM846" s="34"/>
      <c r="BN846" s="34"/>
      <c r="BO846" s="23" t="s">
        <v>46</v>
      </c>
      <c r="BP846" s="341">
        <v>352022</v>
      </c>
      <c r="BQ846" s="341">
        <v>405878</v>
      </c>
      <c r="BR846" s="341">
        <v>489600</v>
      </c>
      <c r="BS846" s="341">
        <v>626688</v>
      </c>
      <c r="BT846" s="341">
        <v>698170</v>
      </c>
      <c r="BU846" s="14"/>
      <c r="BV846" s="23" t="s">
        <v>46</v>
      </c>
      <c r="BW846" s="341">
        <v>352022</v>
      </c>
      <c r="BX846" s="341">
        <v>405878</v>
      </c>
      <c r="BY846" s="341">
        <v>489600</v>
      </c>
      <c r="BZ846" s="341">
        <v>626688</v>
      </c>
      <c r="CA846" s="341">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25" customHeight="1">
      <c r="J847" s="45"/>
      <c r="K847" s="5"/>
      <c r="L847" s="5"/>
      <c r="M847" s="5"/>
      <c r="N847" s="5"/>
      <c r="O847" s="5"/>
      <c r="P847" s="5"/>
      <c r="Q847" s="5"/>
      <c r="R847" s="5"/>
      <c r="S847" s="5"/>
      <c r="T847" s="5"/>
      <c r="U847" s="5"/>
      <c r="V847" s="54" t="s">
        <v>276</v>
      </c>
      <c r="W847" s="1641">
        <v>175993</v>
      </c>
      <c r="X847" s="1642"/>
      <c r="Y847" s="1642"/>
      <c r="Z847" s="1642"/>
      <c r="AA847" s="1642"/>
      <c r="AB847" s="1642"/>
      <c r="AC847" s="1643"/>
      <c r="AZ847" s="34"/>
      <c r="BA847" s="34"/>
      <c r="BB847" s="34"/>
      <c r="BC847" s="34"/>
      <c r="BD847" s="34"/>
      <c r="BE847" s="34"/>
      <c r="BF847" s="34"/>
      <c r="BG847" s="34"/>
      <c r="BH847" s="34"/>
      <c r="BI847" s="34"/>
      <c r="BJ847" s="34"/>
      <c r="BK847" s="34"/>
      <c r="BL847" s="34"/>
      <c r="BM847" s="34"/>
      <c r="BN847" s="34"/>
      <c r="BO847" s="23" t="s">
        <v>47</v>
      </c>
      <c r="BP847" s="343">
        <v>352022</v>
      </c>
      <c r="BQ847" s="343">
        <v>405878</v>
      </c>
      <c r="BR847" s="343">
        <v>489600</v>
      </c>
      <c r="BS847" s="343">
        <v>626688</v>
      </c>
      <c r="BT847" s="343">
        <v>698170</v>
      </c>
      <c r="BU847" s="14"/>
      <c r="BV847" s="23" t="s">
        <v>47</v>
      </c>
      <c r="BW847" s="343">
        <v>352022</v>
      </c>
      <c r="BX847" s="343">
        <v>405878</v>
      </c>
      <c r="BY847" s="343">
        <v>489600</v>
      </c>
      <c r="BZ847" s="343">
        <v>626688</v>
      </c>
      <c r="CA847" s="343">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25" customHeight="1">
      <c r="J848" s="538"/>
      <c r="AZ848" s="34"/>
      <c r="BA848" s="34"/>
      <c r="BB848" s="34"/>
      <c r="BC848" s="34"/>
      <c r="BD848" s="34"/>
      <c r="BE848" s="34"/>
      <c r="BF848" s="34"/>
      <c r="BG848" s="34"/>
      <c r="BH848" s="34"/>
      <c r="BI848" s="34"/>
      <c r="BJ848" s="34"/>
      <c r="BK848" s="34"/>
      <c r="BL848" s="34"/>
      <c r="BM848" s="34"/>
      <c r="BN848" s="34"/>
      <c r="BO848" s="23" t="s">
        <v>48</v>
      </c>
      <c r="BP848" s="341">
        <v>307732</v>
      </c>
      <c r="BQ848" s="341">
        <v>354812</v>
      </c>
      <c r="BR848" s="341">
        <v>428000</v>
      </c>
      <c r="BS848" s="341">
        <v>547840</v>
      </c>
      <c r="BT848" s="341">
        <v>610328</v>
      </c>
      <c r="BU848" s="14"/>
      <c r="BV848" s="23" t="s">
        <v>48</v>
      </c>
      <c r="BW848" s="341">
        <v>307732</v>
      </c>
      <c r="BX848" s="341">
        <v>354812</v>
      </c>
      <c r="BY848" s="341">
        <v>428000</v>
      </c>
      <c r="BZ848" s="341">
        <v>547840</v>
      </c>
      <c r="CA848" s="341">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25" customHeight="1">
      <c r="C849" s="2" t="s">
        <v>392</v>
      </c>
      <c r="J849" s="45" t="s">
        <v>627</v>
      </c>
      <c r="K849" s="5"/>
      <c r="L849" s="5"/>
      <c r="M849" s="5"/>
      <c r="N849" s="5"/>
      <c r="O849" s="5"/>
      <c r="P849" s="5"/>
      <c r="Q849" s="5"/>
      <c r="R849" s="5"/>
      <c r="S849" s="5"/>
      <c r="T849" s="5"/>
      <c r="U849" s="5"/>
      <c r="V849" s="46"/>
      <c r="W849" s="1423">
        <v>2916</v>
      </c>
      <c r="X849" s="1423"/>
      <c r="Y849" s="1423"/>
      <c r="Z849" s="1423"/>
      <c r="AA849" s="1423"/>
      <c r="AB849" s="1423"/>
      <c r="AC849" s="1423"/>
      <c r="AZ849" s="34"/>
      <c r="BA849" s="34"/>
      <c r="BB849" s="34"/>
      <c r="BC849" s="34"/>
      <c r="BD849" s="34"/>
      <c r="BE849" s="34"/>
      <c r="BF849" s="34"/>
      <c r="BG849" s="34"/>
      <c r="BH849" s="34"/>
      <c r="BI849" s="34"/>
      <c r="BJ849" s="34"/>
      <c r="BK849" s="34"/>
      <c r="BL849" s="34"/>
      <c r="BM849" s="34"/>
      <c r="BN849" s="34"/>
      <c r="BO849" s="23" t="s">
        <v>130</v>
      </c>
      <c r="BP849" s="343">
        <v>352022</v>
      </c>
      <c r="BQ849" s="343">
        <v>405878</v>
      </c>
      <c r="BR849" s="343">
        <v>489600</v>
      </c>
      <c r="BS849" s="343">
        <v>626688</v>
      </c>
      <c r="BT849" s="343">
        <v>698170</v>
      </c>
      <c r="BU849" s="14"/>
      <c r="BV849" s="23" t="s">
        <v>130</v>
      </c>
      <c r="BW849" s="343">
        <v>352022</v>
      </c>
      <c r="BX849" s="343">
        <v>405878</v>
      </c>
      <c r="BY849" s="343">
        <v>489600</v>
      </c>
      <c r="BZ849" s="343">
        <v>626688</v>
      </c>
      <c r="CA849" s="343">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25" customHeight="1">
      <c r="J850" s="45" t="s">
        <v>532</v>
      </c>
      <c r="K850" s="5"/>
      <c r="L850" s="5"/>
      <c r="M850" s="5"/>
      <c r="N850" s="5"/>
      <c r="O850" s="5"/>
      <c r="P850" s="5"/>
      <c r="Q850" s="5"/>
      <c r="R850" s="5"/>
      <c r="S850" s="5"/>
      <c r="T850" s="5"/>
      <c r="U850" s="5"/>
      <c r="V850" s="46"/>
      <c r="W850" s="1423">
        <v>54019</v>
      </c>
      <c r="X850" s="1423"/>
      <c r="Y850" s="1423"/>
      <c r="Z850" s="1423"/>
      <c r="AA850" s="1423"/>
      <c r="AB850" s="1423"/>
      <c r="AC850" s="1423"/>
      <c r="AZ850" s="34"/>
      <c r="BA850" s="34"/>
      <c r="BB850" s="34"/>
      <c r="BC850" s="34"/>
      <c r="BD850" s="34"/>
      <c r="BE850" s="34"/>
      <c r="BF850" s="34"/>
      <c r="BG850" s="34"/>
      <c r="BH850" s="34"/>
      <c r="BI850" s="34"/>
      <c r="BJ850" s="34"/>
      <c r="BK850" s="34"/>
      <c r="BL850" s="34"/>
      <c r="BM850" s="34"/>
      <c r="BN850" s="34"/>
      <c r="BO850" s="23" t="s">
        <v>49</v>
      </c>
      <c r="BP850" s="341">
        <v>387110</v>
      </c>
      <c r="BQ850" s="341">
        <v>446334</v>
      </c>
      <c r="BR850" s="341">
        <v>538400</v>
      </c>
      <c r="BS850" s="341">
        <v>689152</v>
      </c>
      <c r="BT850" s="341">
        <v>767758</v>
      </c>
      <c r="BU850" s="14"/>
      <c r="BV850" s="23" t="s">
        <v>49</v>
      </c>
      <c r="BW850" s="341">
        <v>387110</v>
      </c>
      <c r="BX850" s="341">
        <v>446334</v>
      </c>
      <c r="BY850" s="341">
        <v>538400</v>
      </c>
      <c r="BZ850" s="341">
        <v>689152</v>
      </c>
      <c r="CA850" s="341">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25" customHeight="1">
      <c r="J851" s="45" t="s">
        <v>531</v>
      </c>
      <c r="K851" s="5"/>
      <c r="L851" s="5"/>
      <c r="M851" s="5"/>
      <c r="N851" s="5"/>
      <c r="O851" s="5"/>
      <c r="P851" s="5"/>
      <c r="Q851" s="5"/>
      <c r="R851" s="5"/>
      <c r="S851" s="5"/>
      <c r="T851" s="5"/>
      <c r="U851" s="5"/>
      <c r="V851" s="46"/>
      <c r="W851" s="1423">
        <v>44808</v>
      </c>
      <c r="X851" s="1423"/>
      <c r="Y851" s="1423"/>
      <c r="Z851" s="1423"/>
      <c r="AA851" s="1423"/>
      <c r="AB851" s="1423"/>
      <c r="AC851" s="1423"/>
      <c r="AZ851" s="34"/>
      <c r="BA851" s="34"/>
      <c r="BB851" s="34"/>
      <c r="BC851" s="34"/>
      <c r="BD851" s="34"/>
      <c r="BE851" s="34"/>
      <c r="BF851" s="34"/>
      <c r="BG851" s="34"/>
      <c r="BH851" s="34"/>
      <c r="BI851" s="34"/>
      <c r="BJ851" s="34"/>
      <c r="BK851" s="34"/>
      <c r="BL851" s="34"/>
      <c r="BM851" s="34"/>
      <c r="BN851" s="34"/>
      <c r="BO851" s="23" t="s">
        <v>50</v>
      </c>
      <c r="BP851" s="343">
        <v>331890</v>
      </c>
      <c r="BQ851" s="343">
        <v>382666</v>
      </c>
      <c r="BR851" s="343">
        <v>461600</v>
      </c>
      <c r="BS851" s="343">
        <v>590848</v>
      </c>
      <c r="BT851" s="343">
        <v>658242</v>
      </c>
      <c r="BU851" s="14"/>
      <c r="BV851" s="23" t="s">
        <v>50</v>
      </c>
      <c r="BW851" s="343">
        <v>331890</v>
      </c>
      <c r="BX851" s="343">
        <v>382666</v>
      </c>
      <c r="BY851" s="343">
        <v>461600</v>
      </c>
      <c r="BZ851" s="343">
        <v>590848</v>
      </c>
      <c r="CA851" s="343">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25" customHeight="1">
      <c r="J852" s="45" t="s">
        <v>530</v>
      </c>
      <c r="K852" s="5"/>
      <c r="L852" s="5"/>
      <c r="M852" s="5"/>
      <c r="N852" s="5"/>
      <c r="O852" s="5"/>
      <c r="P852" s="5"/>
      <c r="Q852" s="5"/>
      <c r="R852" s="5"/>
      <c r="S852" s="5"/>
      <c r="T852" s="5"/>
      <c r="U852" s="5"/>
      <c r="V852" s="46"/>
      <c r="W852" s="1423">
        <v>4672</v>
      </c>
      <c r="X852" s="1423"/>
      <c r="Y852" s="1423"/>
      <c r="Z852" s="1423"/>
      <c r="AA852" s="1423"/>
      <c r="AB852" s="1423"/>
      <c r="AC852" s="1423"/>
      <c r="AZ852" s="34"/>
      <c r="BA852" s="34"/>
      <c r="BB852" s="34"/>
      <c r="BC852" s="34"/>
      <c r="BD852" s="34"/>
      <c r="BE852" s="34"/>
      <c r="BF852" s="34"/>
      <c r="BG852" s="34"/>
      <c r="BH852" s="34"/>
      <c r="BI852" s="34"/>
      <c r="BJ852" s="34"/>
      <c r="BK852" s="34"/>
      <c r="BL852" s="34"/>
      <c r="BM852" s="34"/>
      <c r="BN852" s="34"/>
      <c r="BO852" s="23" t="s">
        <v>328</v>
      </c>
      <c r="BP852" s="341">
        <v>331890</v>
      </c>
      <c r="BQ852" s="341">
        <v>382666</v>
      </c>
      <c r="BR852" s="341">
        <v>461600</v>
      </c>
      <c r="BS852" s="341">
        <v>590848</v>
      </c>
      <c r="BT852" s="341">
        <v>658242</v>
      </c>
      <c r="BU852" s="14"/>
      <c r="BV852" s="23" t="s">
        <v>328</v>
      </c>
      <c r="BW852" s="341">
        <v>331890</v>
      </c>
      <c r="BX852" s="341">
        <v>382666</v>
      </c>
      <c r="BY852" s="341">
        <v>461600</v>
      </c>
      <c r="BZ852" s="341">
        <v>590848</v>
      </c>
      <c r="CA852" s="341">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25" customHeight="1">
      <c r="J853" s="45" t="s">
        <v>529</v>
      </c>
      <c r="K853" s="5"/>
      <c r="L853" s="5"/>
      <c r="M853" s="5"/>
      <c r="N853" s="5"/>
      <c r="O853" s="5"/>
      <c r="P853" s="5"/>
      <c r="Q853" s="5"/>
      <c r="R853" s="5"/>
      <c r="S853" s="5"/>
      <c r="T853" s="5"/>
      <c r="U853" s="5"/>
      <c r="V853" s="46"/>
      <c r="W853" s="1423">
        <v>22777</v>
      </c>
      <c r="X853" s="1423"/>
      <c r="Y853" s="1423"/>
      <c r="Z853" s="1423"/>
      <c r="AA853" s="1423"/>
      <c r="AB853" s="1423"/>
      <c r="AC853" s="14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25" customHeight="1">
      <c r="J854" s="45" t="s">
        <v>528</v>
      </c>
      <c r="K854" s="5"/>
      <c r="L854" s="5"/>
      <c r="M854" s="5"/>
      <c r="N854" s="5"/>
      <c r="O854" s="5"/>
      <c r="P854" s="5"/>
      <c r="Q854" s="5"/>
      <c r="R854" s="5"/>
      <c r="S854" s="5"/>
      <c r="T854" s="5"/>
      <c r="U854" s="5"/>
      <c r="V854" s="46"/>
      <c r="W854" s="1423">
        <v>14400</v>
      </c>
      <c r="X854" s="1423"/>
      <c r="Y854" s="1423"/>
      <c r="Z854" s="1423"/>
      <c r="AA854" s="1423"/>
      <c r="AB854" s="1423"/>
      <c r="AC854" s="14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25" customHeight="1">
      <c r="J855" s="45" t="s">
        <v>171</v>
      </c>
      <c r="K855" s="5"/>
      <c r="L855" s="5"/>
      <c r="M855" s="1534" t="s">
        <v>2740</v>
      </c>
      <c r="N855" s="1535"/>
      <c r="O855" s="1535"/>
      <c r="P855" s="1535"/>
      <c r="Q855" s="1535"/>
      <c r="R855" s="1535"/>
      <c r="S855" s="1535"/>
      <c r="T855" s="1535"/>
      <c r="U855" s="1535"/>
      <c r="V855" s="1536"/>
      <c r="W855" s="1423">
        <v>21050</v>
      </c>
      <c r="X855" s="1423"/>
      <c r="Y855" s="1423"/>
      <c r="Z855" s="1423"/>
      <c r="AA855" s="1423"/>
      <c r="AB855" s="1423"/>
      <c r="AC855" s="1423"/>
      <c r="AD855" s="559"/>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25" customHeight="1">
      <c r="J856" s="45"/>
      <c r="K856" s="5"/>
      <c r="L856" s="5"/>
      <c r="M856" s="5"/>
      <c r="N856" s="5"/>
      <c r="O856" s="5"/>
      <c r="P856" s="5"/>
      <c r="Q856" s="5"/>
      <c r="R856" s="5"/>
      <c r="S856" s="5"/>
      <c r="T856" s="5"/>
      <c r="U856" s="5"/>
      <c r="V856" s="54" t="s">
        <v>277</v>
      </c>
      <c r="W856" s="1672">
        <f>SUM(W849:AC855)</f>
        <v>164642</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2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25" customHeight="1">
      <c r="C858" s="2" t="s">
        <v>1391</v>
      </c>
      <c r="J858" s="45" t="s">
        <v>171</v>
      </c>
      <c r="K858" s="5"/>
      <c r="L858" s="5"/>
      <c r="M858" s="1534" t="s">
        <v>2741</v>
      </c>
      <c r="N858" s="1535"/>
      <c r="O858" s="1535"/>
      <c r="P858" s="1535"/>
      <c r="Q858" s="1535"/>
      <c r="R858" s="1535"/>
      <c r="S858" s="1535"/>
      <c r="T858" s="1535"/>
      <c r="U858" s="1535"/>
      <c r="V858" s="1536"/>
      <c r="W858" s="1420">
        <v>800</v>
      </c>
      <c r="X858" s="1421"/>
      <c r="Y858" s="1421"/>
      <c r="Z858" s="1421"/>
      <c r="AA858" s="1421"/>
      <c r="AB858" s="1421"/>
      <c r="AC858" s="1422"/>
      <c r="AD858" s="559"/>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25" customHeight="1">
      <c r="C859" s="2" t="s">
        <v>1392</v>
      </c>
      <c r="J859" s="45" t="s">
        <v>171</v>
      </c>
      <c r="K859" s="5"/>
      <c r="L859" s="5"/>
      <c r="M859" s="1534" t="s">
        <v>336</v>
      </c>
      <c r="N859" s="1535"/>
      <c r="O859" s="1535"/>
      <c r="P859" s="1535"/>
      <c r="Q859" s="1535"/>
      <c r="R859" s="1535"/>
      <c r="S859" s="1535"/>
      <c r="T859" s="1535"/>
      <c r="U859" s="1535"/>
      <c r="V859" s="1536"/>
      <c r="W859" s="1420"/>
      <c r="X859" s="1421"/>
      <c r="Y859" s="1421"/>
      <c r="Z859" s="1421"/>
      <c r="AA859" s="1421"/>
      <c r="AB859" s="1421"/>
      <c r="AC859" s="1422"/>
      <c r="AD859" s="559"/>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25" customHeight="1">
      <c r="J860" s="45" t="s">
        <v>171</v>
      </c>
      <c r="K860" s="5"/>
      <c r="L860" s="5"/>
      <c r="M860" s="1534" t="s">
        <v>336</v>
      </c>
      <c r="N860" s="1535"/>
      <c r="O860" s="1535"/>
      <c r="P860" s="1535"/>
      <c r="Q860" s="1535"/>
      <c r="R860" s="1535"/>
      <c r="S860" s="1535"/>
      <c r="T860" s="1535"/>
      <c r="U860" s="1535"/>
      <c r="V860" s="1536"/>
      <c r="W860" s="1420"/>
      <c r="X860" s="1421"/>
      <c r="Y860" s="1421"/>
      <c r="Z860" s="1421"/>
      <c r="AA860" s="1421"/>
      <c r="AB860" s="1421"/>
      <c r="AC860" s="142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25" customHeight="1">
      <c r="J861" s="45" t="s">
        <v>171</v>
      </c>
      <c r="K861" s="5"/>
      <c r="L861" s="5"/>
      <c r="M861" s="1534" t="s">
        <v>336</v>
      </c>
      <c r="N861" s="1535"/>
      <c r="O861" s="1535"/>
      <c r="P861" s="1535"/>
      <c r="Q861" s="1535"/>
      <c r="R861" s="1535"/>
      <c r="S861" s="1535"/>
      <c r="T861" s="1535"/>
      <c r="U861" s="1535"/>
      <c r="V861" s="1536"/>
      <c r="W861" s="1420"/>
      <c r="X861" s="1421"/>
      <c r="Y861" s="1421"/>
      <c r="Z861" s="1421"/>
      <c r="AA861" s="1421"/>
      <c r="AB861" s="1421"/>
      <c r="AC861" s="142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25" customHeight="1">
      <c r="J862" s="45" t="s">
        <v>171</v>
      </c>
      <c r="K862" s="5"/>
      <c r="L862" s="5"/>
      <c r="M862" s="1534" t="s">
        <v>336</v>
      </c>
      <c r="N862" s="1535"/>
      <c r="O862" s="1535"/>
      <c r="P862" s="1535"/>
      <c r="Q862" s="1535"/>
      <c r="R862" s="1535"/>
      <c r="S862" s="1535"/>
      <c r="T862" s="1535"/>
      <c r="U862" s="1535"/>
      <c r="V862" s="1536"/>
      <c r="W862" s="1420"/>
      <c r="X862" s="1421"/>
      <c r="Y862" s="1421"/>
      <c r="Z862" s="1421"/>
      <c r="AA862" s="1421"/>
      <c r="AB862" s="1421"/>
      <c r="AC862" s="142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25" customHeight="1">
      <c r="J863" s="45"/>
      <c r="K863" s="5"/>
      <c r="L863" s="5"/>
      <c r="M863" s="5"/>
      <c r="N863" s="5"/>
      <c r="O863" s="5"/>
      <c r="P863" s="5"/>
      <c r="Q863" s="5"/>
      <c r="R863" s="5"/>
      <c r="S863" s="5"/>
      <c r="T863" s="5"/>
      <c r="U863" s="5"/>
      <c r="V863" s="54" t="s">
        <v>278</v>
      </c>
      <c r="W863" s="1587">
        <f>SUM(W858:AC862)</f>
        <v>800</v>
      </c>
      <c r="X863" s="1588"/>
      <c r="Y863" s="1588"/>
      <c r="Z863" s="1588"/>
      <c r="AA863" s="1588"/>
      <c r="AB863" s="1588"/>
      <c r="AC863" s="158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25" customHeight="1">
      <c r="E864" s="538"/>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25" customHeight="1">
      <c r="C865" s="2" t="s">
        <v>179</v>
      </c>
      <c r="I865" s="559"/>
      <c r="J865" s="559"/>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25" customHeight="1">
      <c r="E866" s="538"/>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2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0" t="s">
        <v>279</v>
      </c>
      <c r="AC867" s="1588">
        <f>W831+W839+W846+W847+W856+W863+W833</f>
        <v>1125935</v>
      </c>
      <c r="AD867" s="1588"/>
      <c r="AE867" s="1588"/>
      <c r="AF867" s="1588"/>
      <c r="AG867" s="1588"/>
      <c r="AH867" s="158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2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0" t="s">
        <v>521</v>
      </c>
      <c r="AC868" s="1697">
        <f>O782+O762+G739</f>
        <v>136</v>
      </c>
      <c r="AD868" s="1697"/>
      <c r="AE868" s="1697"/>
      <c r="AF868" s="1697"/>
      <c r="AG868" s="1697"/>
      <c r="AH868" s="169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25" customHeight="1">
      <c r="C869" s="41"/>
      <c r="D869" s="42"/>
      <c r="E869" s="1695" t="s">
        <v>32</v>
      </c>
      <c r="F869" s="1695"/>
      <c r="G869" s="1695"/>
      <c r="H869" s="1695"/>
      <c r="I869" s="1695"/>
      <c r="J869" s="1695"/>
      <c r="K869" s="1695"/>
      <c r="L869" s="1695"/>
      <c r="M869" s="1695"/>
      <c r="N869" s="1695"/>
      <c r="O869" s="1695"/>
      <c r="P869" s="1695"/>
      <c r="Q869" s="1695"/>
      <c r="R869" s="1695"/>
      <c r="S869" s="1695"/>
      <c r="T869" s="1695"/>
      <c r="U869" s="1695"/>
      <c r="V869" s="1695"/>
      <c r="W869" s="1695"/>
      <c r="X869" s="1695"/>
      <c r="Y869" s="1695"/>
      <c r="Z869" s="1695"/>
      <c r="AA869" s="1695"/>
      <c r="AB869" s="1696"/>
      <c r="AC869" s="1672">
        <f>IF(ISERROR((ROUNDDOWN(AC867/AC868,0))),0,(ROUNDDOWN(AC867/AC868,0)))</f>
        <v>8278</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2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1">
        <f>+'Sources and Uses Budget'!B75</f>
        <v>687805</v>
      </c>
      <c r="AD870" s="1722"/>
      <c r="AE870" s="1722"/>
      <c r="AF870" s="1722"/>
      <c r="AG870" s="1722"/>
      <c r="AH870" s="17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2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2"/>
      <c r="AD871" s="1423"/>
      <c r="AE871" s="1423"/>
      <c r="AF871" s="1423"/>
      <c r="AG871" s="1423"/>
      <c r="AH871" s="14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2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1">
        <v>175000</v>
      </c>
      <c r="AD872" s="1421"/>
      <c r="AE872" s="1421"/>
      <c r="AF872" s="1421"/>
      <c r="AG872" s="1421"/>
      <c r="AH872" s="142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2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1">
        <v>68000</v>
      </c>
      <c r="AD873" s="1421"/>
      <c r="AE873" s="1421"/>
      <c r="AF873" s="1421"/>
      <c r="AG873" s="1421"/>
      <c r="AH873" s="142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2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4">
        <v>24823</v>
      </c>
      <c r="AD874" s="1365"/>
      <c r="AE874" s="1365"/>
      <c r="AF874" s="1365"/>
      <c r="AG874" s="1365"/>
      <c r="AH874" s="136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2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1">
        <v>4483</v>
      </c>
      <c r="AD875" s="1421"/>
      <c r="AE875" s="1421"/>
      <c r="AF875" s="1421"/>
      <c r="AG875" s="1421"/>
      <c r="AH875" s="142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2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1"/>
      <c r="AD876" s="1421"/>
      <c r="AE876" s="1421"/>
      <c r="AF876" s="1421"/>
      <c r="AG876" s="1421"/>
      <c r="AH876" s="142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25" customHeight="1">
      <c r="C877" s="1709" t="s">
        <v>997</v>
      </c>
      <c r="D877" s="1710"/>
      <c r="E877" s="1710"/>
      <c r="F877" s="1710"/>
      <c r="G877" s="1710"/>
      <c r="H877" s="1710"/>
      <c r="I877" s="1710"/>
      <c r="J877" s="1710"/>
      <c r="K877" s="1710"/>
      <c r="L877" s="1710"/>
      <c r="M877" s="1710"/>
      <c r="N877" s="1710"/>
      <c r="O877" s="1710"/>
      <c r="P877" s="1710"/>
      <c r="Q877" s="1710"/>
      <c r="R877" s="1710"/>
      <c r="S877" s="1710"/>
      <c r="T877" s="1710"/>
      <c r="U877" s="1710"/>
      <c r="V877" s="1710"/>
      <c r="W877" s="1710"/>
      <c r="X877" s="1710"/>
      <c r="Y877" s="1710"/>
      <c r="Z877" s="1710"/>
      <c r="AA877" s="1710"/>
      <c r="AB877" s="1711"/>
      <c r="AC877" s="1423"/>
      <c r="AD877" s="1423"/>
      <c r="AE877" s="1423"/>
      <c r="AF877" s="1423"/>
      <c r="AG877" s="1423"/>
      <c r="AH877" s="14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25" customHeight="1">
      <c r="C878" s="1709" t="s">
        <v>997</v>
      </c>
      <c r="D878" s="1710"/>
      <c r="E878" s="1710"/>
      <c r="F878" s="1710"/>
      <c r="G878" s="1710"/>
      <c r="H878" s="1710"/>
      <c r="I878" s="1710"/>
      <c r="J878" s="1710"/>
      <c r="K878" s="1710"/>
      <c r="L878" s="1710"/>
      <c r="M878" s="1710"/>
      <c r="N878" s="1710"/>
      <c r="O878" s="1710"/>
      <c r="P878" s="1710"/>
      <c r="Q878" s="1710"/>
      <c r="R878" s="1710"/>
      <c r="S878" s="1710"/>
      <c r="T878" s="1710"/>
      <c r="U878" s="1710"/>
      <c r="V878" s="1710"/>
      <c r="W878" s="1710"/>
      <c r="X878" s="1710"/>
      <c r="Y878" s="1710"/>
      <c r="Z878" s="1710"/>
      <c r="AA878" s="1710"/>
      <c r="AB878" s="1711"/>
      <c r="AC878" s="1423"/>
      <c r="AD878" s="1423"/>
      <c r="AE878" s="1423"/>
      <c r="AF878" s="1423"/>
      <c r="AG878" s="1423"/>
      <c r="AH878" s="14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25" customHeight="1">
      <c r="E879" s="538"/>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2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25" customHeight="1">
      <c r="X881" s="12"/>
      <c r="Y881" s="12"/>
      <c r="Z881" s="12"/>
      <c r="AA881" s="12"/>
      <c r="AB881" s="12"/>
      <c r="AC881" s="12"/>
      <c r="AD881" s="12"/>
      <c r="AF881" s="559"/>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25" customHeight="1">
      <c r="B882" s="2"/>
      <c r="H882" s="121" t="s">
        <v>240</v>
      </c>
      <c r="I882" s="5"/>
      <c r="J882" s="5"/>
      <c r="K882" s="5"/>
      <c r="L882" s="5"/>
      <c r="M882" s="5"/>
      <c r="N882" s="5"/>
      <c r="O882" s="5"/>
      <c r="P882" s="5"/>
      <c r="Q882" s="5"/>
      <c r="R882" s="5"/>
      <c r="S882" s="5"/>
      <c r="T882" s="5"/>
      <c r="U882" s="5"/>
      <c r="V882" s="5"/>
      <c r="W882" s="5"/>
      <c r="X882" s="5"/>
      <c r="Y882" s="46"/>
      <c r="Z882" s="1420"/>
      <c r="AA882" s="1421"/>
      <c r="AB882" s="1421"/>
      <c r="AC882" s="1421"/>
      <c r="AD882" s="1421"/>
      <c r="AE882" s="1422"/>
      <c r="AF882" s="559"/>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25" customHeight="1">
      <c r="H883" s="121" t="s">
        <v>241</v>
      </c>
      <c r="I883" s="5"/>
      <c r="J883" s="5"/>
      <c r="K883" s="5"/>
      <c r="L883" s="5"/>
      <c r="M883" s="5"/>
      <c r="N883" s="5"/>
      <c r="O883" s="5"/>
      <c r="P883" s="5"/>
      <c r="Q883" s="5"/>
      <c r="R883" s="5"/>
      <c r="S883" s="5"/>
      <c r="T883" s="5"/>
      <c r="U883" s="5"/>
      <c r="V883" s="5"/>
      <c r="W883" s="5"/>
      <c r="X883" s="5"/>
      <c r="Y883" s="5"/>
      <c r="Z883" s="1420"/>
      <c r="AA883" s="1421"/>
      <c r="AB883" s="1421"/>
      <c r="AC883" s="1421"/>
      <c r="AD883" s="1421"/>
      <c r="AE883" s="142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25" customHeight="1">
      <c r="H884" s="121" t="s">
        <v>242</v>
      </c>
      <c r="I884" s="5"/>
      <c r="J884" s="5"/>
      <c r="K884" s="5"/>
      <c r="L884" s="5"/>
      <c r="M884" s="5"/>
      <c r="N884" s="5"/>
      <c r="O884" s="5"/>
      <c r="P884" s="5"/>
      <c r="Q884" s="5"/>
      <c r="R884" s="5"/>
      <c r="S884" s="5"/>
      <c r="T884" s="5"/>
      <c r="U884" s="5"/>
      <c r="V884" s="5"/>
      <c r="W884" s="5"/>
      <c r="X884" s="5"/>
      <c r="Y884" s="5"/>
      <c r="Z884" s="1420"/>
      <c r="AA884" s="1421"/>
      <c r="AB884" s="1421"/>
      <c r="AC884" s="1421"/>
      <c r="AD884" s="1421"/>
      <c r="AE884" s="142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25" customHeight="1">
      <c r="H885" s="45"/>
      <c r="I885" s="5"/>
      <c r="J885" s="5"/>
      <c r="K885" s="5"/>
      <c r="L885" s="5"/>
      <c r="M885" s="5"/>
      <c r="N885" s="5"/>
      <c r="O885" s="5"/>
      <c r="P885" s="5"/>
      <c r="Q885" s="5"/>
      <c r="R885" s="5"/>
      <c r="S885" s="5"/>
      <c r="T885" s="5"/>
      <c r="U885" s="5"/>
      <c r="V885" s="5"/>
      <c r="W885" s="5"/>
      <c r="X885" s="5"/>
      <c r="Y885" s="190" t="s">
        <v>243</v>
      </c>
      <c r="Z885" s="1587">
        <f>Z882-(Z883+Z884)</f>
        <v>0</v>
      </c>
      <c r="AA885" s="1588"/>
      <c r="AB885" s="1588"/>
      <c r="AC885" s="1588"/>
      <c r="AD885" s="1588"/>
      <c r="AE885" s="158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25" customHeight="1">
      <c r="C886" s="538"/>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2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43"/>
      <c r="BD887" s="1702"/>
      <c r="BE887" s="170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2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43"/>
      <c r="BD888" s="1702"/>
      <c r="BE888" s="170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2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43"/>
      <c r="BD889" s="1644"/>
      <c r="BE889" s="164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25" customHeight="1">
      <c r="C890" s="360"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43"/>
      <c r="BD890" s="1644"/>
      <c r="BE890" s="164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2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43"/>
      <c r="BD891" s="1644"/>
      <c r="BE891" s="164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25" customHeight="1">
      <c r="AZ892" s="34"/>
      <c r="BB892" s="30"/>
      <c r="BC892" s="843"/>
      <c r="BD892" s="1702"/>
      <c r="BE892" s="164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25" customHeight="1">
      <c r="A893" s="1639" t="s">
        <v>97</v>
      </c>
      <c r="B893" s="1639"/>
      <c r="C893" s="1639"/>
      <c r="D893" s="1639"/>
      <c r="E893" s="1639"/>
      <c r="F893" s="1639"/>
      <c r="G893" s="1639"/>
      <c r="H893" s="1639"/>
      <c r="I893" s="1639"/>
      <c r="J893" s="1639"/>
      <c r="K893" s="1639"/>
      <c r="L893" s="1639"/>
      <c r="M893" s="1639"/>
      <c r="N893" s="1639"/>
      <c r="O893" s="1639"/>
      <c r="P893" s="1639"/>
      <c r="Q893" s="1639"/>
      <c r="R893" s="1639"/>
      <c r="S893" s="1639"/>
      <c r="T893" s="1639"/>
      <c r="U893" s="1639"/>
      <c r="V893" s="1639"/>
      <c r="W893" s="1639"/>
      <c r="X893" s="1639"/>
      <c r="Y893" s="1639"/>
      <c r="Z893" s="1639"/>
      <c r="AA893" s="1639"/>
      <c r="AB893" s="1639"/>
      <c r="AC893" s="1639"/>
      <c r="AD893" s="1639"/>
      <c r="AE893" s="1639"/>
      <c r="AF893" s="1639"/>
      <c r="AG893" s="1639"/>
      <c r="AH893" s="1639"/>
      <c r="AI893" s="1639"/>
      <c r="AJ893" s="1639"/>
      <c r="AK893" s="1639"/>
      <c r="AL893" s="1639"/>
      <c r="AM893" s="95"/>
      <c r="AN893" s="95"/>
      <c r="AO893" s="95"/>
      <c r="AP893" s="95"/>
      <c r="AQ893" s="95"/>
      <c r="AR893" s="95"/>
      <c r="AS893" s="95"/>
      <c r="AT893" s="95"/>
      <c r="AU893" s="95"/>
      <c r="AV893" s="95"/>
      <c r="AW893" s="95"/>
      <c r="AX893" s="95"/>
      <c r="AY893" s="95"/>
      <c r="AZ893" s="34"/>
      <c r="BB893" s="30"/>
      <c r="BC893" s="843"/>
      <c r="BD893" s="1720"/>
      <c r="BE893" s="1720"/>
      <c r="BF893" s="172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25" customHeight="1" thickBot="1">
      <c r="A894" s="1640"/>
      <c r="B894" s="1640"/>
      <c r="C894" s="1640"/>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0"/>
      <c r="AC894" s="1640"/>
      <c r="AD894" s="1640"/>
      <c r="AE894" s="1640"/>
      <c r="AF894" s="1640"/>
      <c r="AG894" s="1640"/>
      <c r="AH894" s="1640"/>
      <c r="AI894" s="1640"/>
      <c r="AJ894" s="1640"/>
      <c r="AK894" s="1640"/>
      <c r="AL894" s="1640"/>
      <c r="AM894" s="95"/>
      <c r="AN894" s="95"/>
      <c r="AO894" s="95"/>
      <c r="AP894" s="95"/>
      <c r="AQ894" s="95"/>
      <c r="AR894" s="95"/>
      <c r="AS894" s="95"/>
      <c r="AT894" s="95"/>
      <c r="AU894" s="95"/>
      <c r="AV894" s="95"/>
      <c r="AW894" s="95"/>
      <c r="AX894" s="95"/>
      <c r="AY894" s="95"/>
      <c r="AZ894" s="34"/>
      <c r="BB894" s="30"/>
      <c r="BC894" s="843"/>
      <c r="BD894" s="1634"/>
      <c r="BE894" s="1634"/>
      <c r="BF894" s="16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2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43"/>
      <c r="BD895" s="1644"/>
      <c r="BE895" s="164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2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43"/>
      <c r="BD896" s="1702"/>
      <c r="BE896" s="164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25" customHeight="1">
      <c r="AZ897" s="34"/>
      <c r="BB897" s="30"/>
      <c r="BC897" s="843"/>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25" customHeight="1">
      <c r="F898" s="1540" t="s">
        <v>817</v>
      </c>
      <c r="G898" s="1541"/>
      <c r="H898" s="1541"/>
      <c r="I898" s="1541"/>
      <c r="J898" s="1541"/>
      <c r="K898" s="1541"/>
      <c r="L898" s="1541"/>
      <c r="M898" s="1541"/>
      <c r="N898" s="1541"/>
      <c r="O898" s="1541"/>
      <c r="P898" s="1541"/>
      <c r="Q898" s="1541"/>
      <c r="R898" s="1541"/>
      <c r="S898" s="1541"/>
      <c r="T898" s="1542"/>
      <c r="U898" s="1519" t="s">
        <v>31</v>
      </c>
      <c r="V898" s="1520"/>
      <c r="W898" s="1520"/>
      <c r="X898" s="1520"/>
      <c r="Y898" s="1520"/>
      <c r="Z898" s="1520"/>
      <c r="AA898" s="43"/>
      <c r="AB898" s="105"/>
      <c r="AC898" s="105"/>
      <c r="AD898" s="105"/>
      <c r="AE898" s="105"/>
      <c r="AF898" s="106"/>
      <c r="AZ898" s="34"/>
      <c r="BA898" s="34"/>
      <c r="BB898" s="30"/>
      <c r="BC898" s="30"/>
      <c r="BD898" s="1702"/>
      <c r="BE898" s="1644"/>
      <c r="BF898" s="939"/>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25" customHeight="1">
      <c r="B899" s="2"/>
      <c r="F899" s="1521" t="s">
        <v>845</v>
      </c>
      <c r="G899" s="1522"/>
      <c r="H899" s="1522"/>
      <c r="I899" s="1522"/>
      <c r="J899" s="1522"/>
      <c r="K899" s="1522"/>
      <c r="L899" s="1522"/>
      <c r="M899" s="1522"/>
      <c r="N899" s="1522"/>
      <c r="O899" s="1522"/>
      <c r="P899" s="1522"/>
      <c r="Q899" s="1522"/>
      <c r="R899" s="1522"/>
      <c r="S899" s="1522"/>
      <c r="T899" s="1706"/>
      <c r="U899" s="1521"/>
      <c r="V899" s="1522"/>
      <c r="W899" s="1522"/>
      <c r="X899" s="1522"/>
      <c r="Y899" s="1522"/>
      <c r="Z899" s="152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25" customHeight="1">
      <c r="B900" s="2"/>
      <c r="F900" s="1523"/>
      <c r="G900" s="1524"/>
      <c r="H900" s="1524"/>
      <c r="I900" s="1524"/>
      <c r="J900" s="1524"/>
      <c r="K900" s="1524"/>
      <c r="L900" s="1524"/>
      <c r="M900" s="1524"/>
      <c r="N900" s="1524"/>
      <c r="O900" s="1524"/>
      <c r="P900" s="1524"/>
      <c r="Q900" s="1524"/>
      <c r="R900" s="1524"/>
      <c r="S900" s="1524"/>
      <c r="T900" s="1707"/>
      <c r="U900" s="1523"/>
      <c r="V900" s="1524"/>
      <c r="W900" s="1524"/>
      <c r="X900" s="1524"/>
      <c r="Y900" s="1524"/>
      <c r="Z900" s="1524"/>
      <c r="AA900" s="108"/>
      <c r="AB900" s="1545" t="s">
        <v>393</v>
      </c>
      <c r="AC900" s="1545"/>
      <c r="AD900" s="1545"/>
      <c r="AE900" s="154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25" customHeight="1">
      <c r="B901" s="2"/>
      <c r="F901" s="45" t="s">
        <v>783</v>
      </c>
      <c r="G901" s="48"/>
      <c r="H901" s="48"/>
      <c r="I901" s="48"/>
      <c r="J901" s="48"/>
      <c r="K901" s="48"/>
      <c r="L901" s="48"/>
      <c r="M901" s="48"/>
      <c r="N901" s="48"/>
      <c r="O901" s="48"/>
      <c r="P901" s="48"/>
      <c r="Q901" s="48"/>
      <c r="R901" s="48"/>
      <c r="S901" s="48"/>
      <c r="T901" s="49"/>
      <c r="U901" s="1516" t="s">
        <v>555</v>
      </c>
      <c r="V901" s="1517"/>
      <c r="W901" s="1517"/>
      <c r="X901" s="1517"/>
      <c r="Y901" s="1517"/>
      <c r="Z901" s="1518"/>
      <c r="AA901" s="1528">
        <f>+AM550</f>
        <v>67797000</v>
      </c>
      <c r="AB901" s="1529"/>
      <c r="AC901" s="1529"/>
      <c r="AD901" s="1529"/>
      <c r="AE901" s="1529"/>
      <c r="AF901" s="153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25" customHeight="1">
      <c r="B902" s="2"/>
      <c r="F902" s="66" t="s">
        <v>685</v>
      </c>
      <c r="G902" s="48"/>
      <c r="H902" s="48"/>
      <c r="I902" s="48"/>
      <c r="J902" s="48"/>
      <c r="K902" s="48"/>
      <c r="L902" s="48"/>
      <c r="M902" s="48"/>
      <c r="N902" s="48"/>
      <c r="O902" s="48"/>
      <c r="P902" s="48"/>
      <c r="Q902" s="48"/>
      <c r="R902" s="48"/>
      <c r="S902" s="48"/>
      <c r="T902" s="49"/>
      <c r="U902" s="1516" t="s">
        <v>555</v>
      </c>
      <c r="V902" s="1517"/>
      <c r="W902" s="1517"/>
      <c r="X902" s="1517"/>
      <c r="Y902" s="1517"/>
      <c r="Z902" s="1518"/>
      <c r="AA902" s="1528">
        <f>+AM551</f>
        <v>16382222</v>
      </c>
      <c r="AB902" s="1529"/>
      <c r="AC902" s="1529"/>
      <c r="AD902" s="1529"/>
      <c r="AE902" s="1529"/>
      <c r="AF902" s="153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25" customHeight="1">
      <c r="F903" s="45" t="s">
        <v>826</v>
      </c>
      <c r="G903" s="5"/>
      <c r="H903" s="5"/>
      <c r="I903" s="5"/>
      <c r="J903" s="5"/>
      <c r="K903" s="5"/>
      <c r="L903" s="5"/>
      <c r="M903" s="5"/>
      <c r="N903" s="5"/>
      <c r="O903" s="5"/>
      <c r="P903" s="5"/>
      <c r="Q903" s="5"/>
      <c r="R903" s="5"/>
      <c r="S903" s="5"/>
      <c r="T903" s="46"/>
      <c r="U903" s="1516" t="s">
        <v>601</v>
      </c>
      <c r="V903" s="1517"/>
      <c r="W903" s="1517"/>
      <c r="X903" s="1517"/>
      <c r="Y903" s="1517"/>
      <c r="Z903" s="1518"/>
      <c r="AA903" s="1528"/>
      <c r="AB903" s="1529"/>
      <c r="AC903" s="1529"/>
      <c r="AD903" s="1529"/>
      <c r="AE903" s="1529"/>
      <c r="AF903" s="153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25" customHeight="1">
      <c r="F904" s="45" t="s">
        <v>688</v>
      </c>
      <c r="G904" s="5"/>
      <c r="H904" s="5"/>
      <c r="I904" s="5"/>
      <c r="J904" s="5"/>
      <c r="K904" s="5"/>
      <c r="L904" s="5"/>
      <c r="M904" s="5"/>
      <c r="N904" s="5"/>
      <c r="O904" s="5"/>
      <c r="P904" s="5"/>
      <c r="Q904" s="5"/>
      <c r="R904" s="5"/>
      <c r="S904" s="5"/>
      <c r="T904" s="46"/>
      <c r="U904" s="1516" t="s">
        <v>601</v>
      </c>
      <c r="V904" s="1517"/>
      <c r="W904" s="1517"/>
      <c r="X904" s="1517"/>
      <c r="Y904" s="1517"/>
      <c r="Z904" s="1518"/>
      <c r="AA904" s="1528"/>
      <c r="AB904" s="1529"/>
      <c r="AC904" s="1529"/>
      <c r="AD904" s="1529"/>
      <c r="AE904" s="1529"/>
      <c r="AF904" s="153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25" customHeight="1">
      <c r="F905" s="66" t="s">
        <v>811</v>
      </c>
      <c r="G905" s="5"/>
      <c r="H905" s="5"/>
      <c r="I905" s="5"/>
      <c r="J905" s="5"/>
      <c r="K905" s="5"/>
      <c r="L905" s="5"/>
      <c r="M905" s="5"/>
      <c r="N905" s="5"/>
      <c r="O905" s="5"/>
      <c r="P905" s="5"/>
      <c r="Q905" s="5"/>
      <c r="R905" s="5"/>
      <c r="S905" s="5"/>
      <c r="T905" s="46"/>
      <c r="U905" s="1516" t="s">
        <v>601</v>
      </c>
      <c r="V905" s="1517"/>
      <c r="W905" s="1517"/>
      <c r="X905" s="1517"/>
      <c r="Y905" s="1517"/>
      <c r="Z905" s="1518"/>
      <c r="AA905" s="1528"/>
      <c r="AB905" s="1529"/>
      <c r="AC905" s="1529"/>
      <c r="AD905" s="1529"/>
      <c r="AE905" s="1529"/>
      <c r="AF905" s="153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25" customHeight="1">
      <c r="F906" s="66" t="s">
        <v>812</v>
      </c>
      <c r="G906" s="5"/>
      <c r="H906" s="5"/>
      <c r="I906" s="5"/>
      <c r="J906" s="5"/>
      <c r="K906" s="5"/>
      <c r="L906" s="5"/>
      <c r="M906" s="5"/>
      <c r="N906" s="5"/>
      <c r="O906" s="5"/>
      <c r="P906" s="5"/>
      <c r="Q906" s="5"/>
      <c r="R906" s="5"/>
      <c r="S906" s="5"/>
      <c r="T906" s="46"/>
      <c r="U906" s="1516" t="s">
        <v>601</v>
      </c>
      <c r="V906" s="1517"/>
      <c r="W906" s="1517"/>
      <c r="X906" s="1517"/>
      <c r="Y906" s="1517"/>
      <c r="Z906" s="1518"/>
      <c r="AA906" s="1528"/>
      <c r="AB906" s="1529"/>
      <c r="AC906" s="1529"/>
      <c r="AD906" s="1529"/>
      <c r="AE906" s="1529"/>
      <c r="AF906" s="153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25" customHeight="1">
      <c r="F907" s="66" t="s">
        <v>813</v>
      </c>
      <c r="G907" s="5"/>
      <c r="H907" s="5"/>
      <c r="I907" s="5"/>
      <c r="J907" s="5"/>
      <c r="K907" s="5"/>
      <c r="L907" s="5"/>
      <c r="M907" s="5"/>
      <c r="N907" s="5"/>
      <c r="O907" s="5"/>
      <c r="P907" s="5"/>
      <c r="Q907" s="5"/>
      <c r="R907" s="5"/>
      <c r="S907" s="5"/>
      <c r="T907" s="46"/>
      <c r="U907" s="1516" t="s">
        <v>601</v>
      </c>
      <c r="V907" s="1517"/>
      <c r="W907" s="1517"/>
      <c r="X907" s="1517"/>
      <c r="Y907" s="1517"/>
      <c r="Z907" s="1518"/>
      <c r="AA907" s="1528"/>
      <c r="AB907" s="1529"/>
      <c r="AC907" s="1529"/>
      <c r="AD907" s="1529"/>
      <c r="AE907" s="1529"/>
      <c r="AF907" s="153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25" customHeight="1">
      <c r="F908" s="45" t="s">
        <v>687</v>
      </c>
      <c r="G908" s="5"/>
      <c r="H908" s="5"/>
      <c r="I908" s="5"/>
      <c r="J908" s="5"/>
      <c r="K908" s="5"/>
      <c r="L908" s="5"/>
      <c r="M908" s="5"/>
      <c r="N908" s="5"/>
      <c r="O908" s="5"/>
      <c r="P908" s="5"/>
      <c r="Q908" s="5"/>
      <c r="R908" s="5"/>
      <c r="S908" s="5"/>
      <c r="T908" s="46"/>
      <c r="U908" s="1516" t="s">
        <v>601</v>
      </c>
      <c r="V908" s="1517"/>
      <c r="W908" s="1517"/>
      <c r="X908" s="1517"/>
      <c r="Y908" s="1517"/>
      <c r="Z908" s="1518"/>
      <c r="AA908" s="1528"/>
      <c r="AB908" s="1529"/>
      <c r="AC908" s="1529"/>
      <c r="AD908" s="1529"/>
      <c r="AE908" s="1529"/>
      <c r="AF908" s="153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25" customHeight="1">
      <c r="F909" s="66" t="s">
        <v>689</v>
      </c>
      <c r="G909" s="5"/>
      <c r="H909" s="5"/>
      <c r="I909" s="5"/>
      <c r="J909" s="5"/>
      <c r="K909" s="5"/>
      <c r="L909" s="5"/>
      <c r="M909" s="5"/>
      <c r="N909" s="5"/>
      <c r="O909" s="5"/>
      <c r="P909" s="5"/>
      <c r="Q909" s="5"/>
      <c r="R909" s="5"/>
      <c r="S909" s="5"/>
      <c r="T909" s="46"/>
      <c r="U909" s="1516" t="s">
        <v>601</v>
      </c>
      <c r="V909" s="1517"/>
      <c r="W909" s="1517"/>
      <c r="X909" s="1517"/>
      <c r="Y909" s="1517"/>
      <c r="Z909" s="1518"/>
      <c r="AA909" s="1528"/>
      <c r="AB909" s="1529"/>
      <c r="AC909" s="1529"/>
      <c r="AD909" s="1529"/>
      <c r="AE909" s="1529"/>
      <c r="AF909" s="153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25" customHeight="1">
      <c r="F910" s="187" t="s">
        <v>686</v>
      </c>
      <c r="G910" s="5"/>
      <c r="H910" s="5"/>
      <c r="I910" s="5"/>
      <c r="J910" s="5"/>
      <c r="K910" s="5"/>
      <c r="L910" s="5"/>
      <c r="M910" s="5"/>
      <c r="N910" s="5"/>
      <c r="O910" s="5"/>
      <c r="P910" s="5"/>
      <c r="Q910" s="5"/>
      <c r="R910" s="5"/>
      <c r="S910" s="5"/>
      <c r="T910" s="46"/>
      <c r="U910" s="1516" t="s">
        <v>601</v>
      </c>
      <c r="V910" s="1517"/>
      <c r="W910" s="1517"/>
      <c r="X910" s="1517"/>
      <c r="Y910" s="1517"/>
      <c r="Z910" s="1518"/>
      <c r="AA910" s="1528"/>
      <c r="AB910" s="1529"/>
      <c r="AC910" s="1529"/>
      <c r="AD910" s="1529"/>
      <c r="AE910" s="1529"/>
      <c r="AF910" s="15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25" customHeight="1">
      <c r="F911" s="121" t="s">
        <v>1436</v>
      </c>
      <c r="G911" s="5"/>
      <c r="H911" s="5"/>
      <c r="I911" s="5"/>
      <c r="J911" s="5"/>
      <c r="K911" s="5"/>
      <c r="L911" s="5"/>
      <c r="M911" s="5"/>
      <c r="N911" s="5"/>
      <c r="O911" s="5"/>
      <c r="P911" s="5"/>
      <c r="Q911" s="5"/>
      <c r="R911" s="5"/>
      <c r="S911" s="5"/>
      <c r="T911" s="46"/>
      <c r="U911" s="1516" t="s">
        <v>601</v>
      </c>
      <c r="V911" s="1517"/>
      <c r="W911" s="1517"/>
      <c r="X911" s="1517"/>
      <c r="Y911" s="1517"/>
      <c r="Z911" s="1518"/>
      <c r="AA911" s="1528"/>
      <c r="AB911" s="1529"/>
      <c r="AC911" s="1529"/>
      <c r="AD911" s="1529"/>
      <c r="AE911" s="1529"/>
      <c r="AF911" s="153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25" customHeight="1">
      <c r="F912" s="66" t="s">
        <v>827</v>
      </c>
      <c r="G912" s="5"/>
      <c r="H912" s="5"/>
      <c r="I912" s="5"/>
      <c r="J912" s="5"/>
      <c r="K912" s="5"/>
      <c r="L912" s="5"/>
      <c r="M912" s="5"/>
      <c r="N912" s="5"/>
      <c r="O912" s="5"/>
      <c r="P912" s="5"/>
      <c r="Q912" s="5"/>
      <c r="R912" s="5"/>
      <c r="S912" s="5"/>
      <c r="T912" s="46"/>
      <c r="U912" s="1516" t="s">
        <v>601</v>
      </c>
      <c r="V912" s="1517"/>
      <c r="W912" s="1517"/>
      <c r="X912" s="1517"/>
      <c r="Y912" s="1517"/>
      <c r="Z912" s="1518"/>
      <c r="AA912" s="1528"/>
      <c r="AB912" s="1529"/>
      <c r="AC912" s="1529"/>
      <c r="AD912" s="1529"/>
      <c r="AE912" s="1529"/>
      <c r="AF912" s="153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25" customHeight="1">
      <c r="F913" s="66" t="s">
        <v>828</v>
      </c>
      <c r="G913" s="5"/>
      <c r="H913" s="5"/>
      <c r="I913" s="5"/>
      <c r="J913" s="5"/>
      <c r="K913" s="5"/>
      <c r="L913" s="5"/>
      <c r="M913" s="5"/>
      <c r="N913" s="5"/>
      <c r="O913" s="5"/>
      <c r="P913" s="5"/>
      <c r="Q913" s="5"/>
      <c r="R913" s="5"/>
      <c r="S913" s="5"/>
      <c r="T913" s="46"/>
      <c r="U913" s="1516" t="s">
        <v>601</v>
      </c>
      <c r="V913" s="1517"/>
      <c r="W913" s="1517"/>
      <c r="X913" s="1517"/>
      <c r="Y913" s="1517"/>
      <c r="Z913" s="1518"/>
      <c r="AA913" s="1528"/>
      <c r="AB913" s="1529"/>
      <c r="AC913" s="1529"/>
      <c r="AD913" s="1529"/>
      <c r="AE913" s="1529"/>
      <c r="AF913" s="153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25" customHeight="1">
      <c r="F914" s="121" t="s">
        <v>1419</v>
      </c>
      <c r="G914" s="5"/>
      <c r="H914" s="5"/>
      <c r="I914" s="5"/>
      <c r="J914" s="5"/>
      <c r="K914" s="5"/>
      <c r="L914" s="5"/>
      <c r="M914" s="5"/>
      <c r="N914" s="5"/>
      <c r="O914" s="5"/>
      <c r="P914" s="5"/>
      <c r="Q914" s="5"/>
      <c r="R914" s="5"/>
      <c r="S914" s="5"/>
      <c r="T914" s="46"/>
      <c r="U914" s="1516" t="s">
        <v>601</v>
      </c>
      <c r="V914" s="1517"/>
      <c r="W914" s="1517"/>
      <c r="X914" s="1517"/>
      <c r="Y914" s="1517"/>
      <c r="Z914" s="1518"/>
      <c r="AA914" s="1528"/>
      <c r="AB914" s="1529"/>
      <c r="AC914" s="1529"/>
      <c r="AD914" s="1529"/>
      <c r="AE914" s="1529"/>
      <c r="AF914" s="153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25" customHeight="1">
      <c r="F915" s="121" t="s">
        <v>1420</v>
      </c>
      <c r="G915" s="5"/>
      <c r="H915" s="5"/>
      <c r="I915" s="5"/>
      <c r="J915" s="5"/>
      <c r="K915" s="5"/>
      <c r="L915" s="5"/>
      <c r="M915" s="5"/>
      <c r="N915" s="5"/>
      <c r="O915" s="5"/>
      <c r="P915" s="5"/>
      <c r="Q915" s="5"/>
      <c r="R915" s="5"/>
      <c r="S915" s="5"/>
      <c r="T915" s="46"/>
      <c r="U915" s="1516" t="s">
        <v>601</v>
      </c>
      <c r="V915" s="1517"/>
      <c r="W915" s="1517"/>
      <c r="X915" s="1517"/>
      <c r="Y915" s="1517"/>
      <c r="Z915" s="1518"/>
      <c r="AA915" s="1528"/>
      <c r="AB915" s="1529"/>
      <c r="AC915" s="1529"/>
      <c r="AD915" s="1529"/>
      <c r="AE915" s="1529"/>
      <c r="AF915" s="153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25" customHeight="1">
      <c r="F916" s="45" t="s">
        <v>832</v>
      </c>
      <c r="G916" s="5"/>
      <c r="H916" s="5"/>
      <c r="I916" s="5"/>
      <c r="J916" s="5"/>
      <c r="K916" s="5"/>
      <c r="L916" s="5"/>
      <c r="M916" s="5"/>
      <c r="N916" s="5"/>
      <c r="O916" s="5"/>
      <c r="P916" s="1516" t="s">
        <v>679</v>
      </c>
      <c r="Q916" s="1517"/>
      <c r="R916" s="1517"/>
      <c r="S916" s="1517"/>
      <c r="T916" s="1518"/>
      <c r="U916" s="1516" t="s">
        <v>601</v>
      </c>
      <c r="V916" s="1517"/>
      <c r="W916" s="1517"/>
      <c r="X916" s="1517"/>
      <c r="Y916" s="1517"/>
      <c r="Z916" s="1518"/>
      <c r="AA916" s="1528"/>
      <c r="AB916" s="1529"/>
      <c r="AC916" s="1529"/>
      <c r="AD916" s="1529"/>
      <c r="AE916" s="1529"/>
      <c r="AF916" s="153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25" customHeight="1">
      <c r="F917" s="45" t="s">
        <v>87</v>
      </c>
      <c r="G917" s="48"/>
      <c r="H917" s="48"/>
      <c r="I917" s="1534" t="str">
        <f>+C625</f>
        <v>HCD - AHSC</v>
      </c>
      <c r="J917" s="1535"/>
      <c r="K917" s="1535"/>
      <c r="L917" s="1535"/>
      <c r="M917" s="1535"/>
      <c r="N917" s="1535"/>
      <c r="O917" s="1535"/>
      <c r="P917" s="1535"/>
      <c r="Q917" s="1535"/>
      <c r="R917" s="1535"/>
      <c r="S917" s="1535"/>
      <c r="T917" s="1536"/>
      <c r="U917" s="1516" t="s">
        <v>555</v>
      </c>
      <c r="V917" s="1517"/>
      <c r="W917" s="1517"/>
      <c r="X917" s="1517"/>
      <c r="Y917" s="1517"/>
      <c r="Z917" s="1518"/>
      <c r="AA917" s="1528">
        <f>+AO625</f>
        <v>11700000</v>
      </c>
      <c r="AB917" s="1529"/>
      <c r="AC917" s="1529"/>
      <c r="AD917" s="1529"/>
      <c r="AE917" s="1529"/>
      <c r="AF917" s="153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25" customHeight="1">
      <c r="F918" s="45" t="s">
        <v>10</v>
      </c>
      <c r="G918" s="48"/>
      <c r="H918" s="48"/>
      <c r="I918" s="1534" t="s">
        <v>2742</v>
      </c>
      <c r="J918" s="1543"/>
      <c r="K918" s="1543"/>
      <c r="L918" s="1543"/>
      <c r="M918" s="1543"/>
      <c r="N918" s="1543"/>
      <c r="O918" s="1543"/>
      <c r="P918" s="1543"/>
      <c r="Q918" s="1543"/>
      <c r="R918" s="1543"/>
      <c r="S918" s="1543"/>
      <c r="T918" s="1544"/>
      <c r="U918" s="1516" t="s">
        <v>555</v>
      </c>
      <c r="V918" s="1517"/>
      <c r="W918" s="1517"/>
      <c r="X918" s="1517"/>
      <c r="Y918" s="1517"/>
      <c r="Z918" s="1518"/>
      <c r="AA918" s="1528">
        <f>+AO626+AO627+AO628+AO631</f>
        <v>33469539</v>
      </c>
      <c r="AB918" s="1529"/>
      <c r="AC918" s="1529"/>
      <c r="AD918" s="1529"/>
      <c r="AE918" s="1529"/>
      <c r="AF918" s="153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25" customHeight="1">
      <c r="F919" s="47" t="s">
        <v>171</v>
      </c>
      <c r="G919" s="48"/>
      <c r="H919" s="48"/>
      <c r="I919" s="1674" t="str">
        <f>+C629</f>
        <v>HEART - LHTF</v>
      </c>
      <c r="J919" s="1543"/>
      <c r="K919" s="1543"/>
      <c r="L919" s="1543"/>
      <c r="M919" s="1543"/>
      <c r="N919" s="1543"/>
      <c r="O919" s="1543"/>
      <c r="P919" s="1543"/>
      <c r="Q919" s="1543"/>
      <c r="R919" s="1543"/>
      <c r="S919" s="1543"/>
      <c r="T919" s="1544"/>
      <c r="U919" s="1516" t="s">
        <v>555</v>
      </c>
      <c r="V919" s="1517"/>
      <c r="W919" s="1517"/>
      <c r="X919" s="1517"/>
      <c r="Y919" s="1517"/>
      <c r="Z919" s="1518"/>
      <c r="AA919" s="1528">
        <f>+AO629</f>
        <v>3230000</v>
      </c>
      <c r="AB919" s="1529"/>
      <c r="AC919" s="1529"/>
      <c r="AD919" s="1529"/>
      <c r="AE919" s="1529"/>
      <c r="AF919" s="15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25" customHeight="1">
      <c r="F920" s="47" t="s">
        <v>171</v>
      </c>
      <c r="G920" s="48"/>
      <c r="H920" s="48"/>
      <c r="I920" s="1674" t="str">
        <f>+C630</f>
        <v>LISC Housing Catalyst Fund</v>
      </c>
      <c r="J920" s="1543"/>
      <c r="K920" s="1543"/>
      <c r="L920" s="1543"/>
      <c r="M920" s="1543"/>
      <c r="N920" s="1543"/>
      <c r="O920" s="1543"/>
      <c r="P920" s="1543"/>
      <c r="Q920" s="1543"/>
      <c r="R920" s="1543"/>
      <c r="S920" s="1543"/>
      <c r="T920" s="1544"/>
      <c r="U920" s="1516" t="s">
        <v>555</v>
      </c>
      <c r="V920" s="1517"/>
      <c r="W920" s="1517"/>
      <c r="X920" s="1517"/>
      <c r="Y920" s="1517"/>
      <c r="Z920" s="1518"/>
      <c r="AA920" s="1528">
        <f>+AO630</f>
        <v>5286000</v>
      </c>
      <c r="AB920" s="1529"/>
      <c r="AC920" s="1529"/>
      <c r="AD920" s="1529"/>
      <c r="AE920" s="1529"/>
      <c r="AF920" s="15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2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2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2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2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25" customHeight="1">
      <c r="C925" s="66" t="s">
        <v>11</v>
      </c>
      <c r="D925" s="5"/>
      <c r="E925" s="5"/>
      <c r="F925" s="5"/>
      <c r="G925" s="5"/>
      <c r="H925" s="5"/>
      <c r="I925" s="5"/>
      <c r="J925" s="5"/>
      <c r="K925" s="5"/>
      <c r="L925" s="46"/>
      <c r="M925" s="1675">
        <v>44713</v>
      </c>
      <c r="N925" s="1676"/>
      <c r="O925" s="1676"/>
      <c r="P925" s="1676"/>
      <c r="Q925" s="1676"/>
      <c r="R925" s="1676"/>
      <c r="S925" s="1677"/>
      <c r="U925" s="66" t="s">
        <v>11</v>
      </c>
      <c r="V925" s="5"/>
      <c r="W925" s="5"/>
      <c r="X925" s="5"/>
      <c r="Y925" s="5"/>
      <c r="Z925" s="5"/>
      <c r="AA925" s="5"/>
      <c r="AB925" s="5"/>
      <c r="AC925" s="5"/>
      <c r="AD925" s="46"/>
      <c r="AE925" s="1675"/>
      <c r="AF925" s="1676"/>
      <c r="AG925" s="1676"/>
      <c r="AH925" s="1676"/>
      <c r="AI925" s="1676"/>
      <c r="AJ925" s="1676"/>
      <c r="AK925" s="167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25" customHeight="1">
      <c r="C926" s="66" t="s">
        <v>12</v>
      </c>
      <c r="D926" s="5"/>
      <c r="E926" s="5"/>
      <c r="F926" s="5"/>
      <c r="G926" s="5"/>
      <c r="H926" s="5"/>
      <c r="I926" s="5"/>
      <c r="J926" s="5"/>
      <c r="K926" s="5"/>
      <c r="L926" s="46"/>
      <c r="M926" s="1625" t="s">
        <v>2743</v>
      </c>
      <c r="N926" s="1358"/>
      <c r="O926" s="1358"/>
      <c r="P926" s="1358"/>
      <c r="Q926" s="1358"/>
      <c r="R926" s="1358"/>
      <c r="S926" s="1626"/>
      <c r="U926" s="66" t="s">
        <v>12</v>
      </c>
      <c r="V926" s="5"/>
      <c r="W926" s="5"/>
      <c r="X926" s="5"/>
      <c r="Y926" s="5"/>
      <c r="Z926" s="5"/>
      <c r="AA926" s="5"/>
      <c r="AB926" s="5"/>
      <c r="AC926" s="5"/>
      <c r="AD926" s="46"/>
      <c r="AE926" s="1625"/>
      <c r="AF926" s="1358"/>
      <c r="AG926" s="1358"/>
      <c r="AH926" s="1358"/>
      <c r="AI926" s="1358"/>
      <c r="AJ926" s="1358"/>
      <c r="AK926" s="162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25" customHeight="1">
      <c r="C927" s="66" t="s">
        <v>910</v>
      </c>
      <c r="D927" s="5"/>
      <c r="E927" s="5"/>
      <c r="J927" s="1703" t="s">
        <v>2744</v>
      </c>
      <c r="K927" s="1704"/>
      <c r="L927" s="1704"/>
      <c r="M927" s="1704"/>
      <c r="N927" s="1704"/>
      <c r="O927" s="1704"/>
      <c r="P927" s="1704"/>
      <c r="Q927" s="1704"/>
      <c r="R927" s="1704"/>
      <c r="S927" s="1705"/>
      <c r="U927" s="66" t="s">
        <v>910</v>
      </c>
      <c r="V927" s="5"/>
      <c r="W927" s="5"/>
      <c r="AB927" s="1703" t="s">
        <v>309</v>
      </c>
      <c r="AC927" s="1704"/>
      <c r="AD927" s="1704"/>
      <c r="AE927" s="1704"/>
      <c r="AF927" s="1704"/>
      <c r="AG927" s="1704"/>
      <c r="AH927" s="1704"/>
      <c r="AI927" s="1704"/>
      <c r="AJ927" s="1704"/>
      <c r="AK927" s="170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25" customHeight="1">
      <c r="C928" s="66" t="s">
        <v>13</v>
      </c>
      <c r="D928" s="5"/>
      <c r="E928" s="5"/>
      <c r="F928" s="5"/>
      <c r="G928" s="5"/>
      <c r="H928" s="5"/>
      <c r="I928" s="5"/>
      <c r="J928" s="5"/>
      <c r="K928" s="5"/>
      <c r="L928" s="46"/>
      <c r="M928" s="1547">
        <v>0.11</v>
      </c>
      <c r="N928" s="1548"/>
      <c r="O928" s="1548"/>
      <c r="P928" s="1548"/>
      <c r="Q928" s="1548"/>
      <c r="R928" s="1548"/>
      <c r="S928" s="1549"/>
      <c r="U928" s="66" t="s">
        <v>13</v>
      </c>
      <c r="V928" s="5"/>
      <c r="W928" s="5"/>
      <c r="X928" s="5"/>
      <c r="Y928" s="5"/>
      <c r="Z928" s="5"/>
      <c r="AA928" s="5"/>
      <c r="AB928" s="5"/>
      <c r="AC928" s="5"/>
      <c r="AD928" s="46"/>
      <c r="AE928" s="1685"/>
      <c r="AF928" s="1548"/>
      <c r="AG928" s="1548"/>
      <c r="AH928" s="1548"/>
      <c r="AI928" s="1548"/>
      <c r="AJ928" s="1548"/>
      <c r="AK928" s="154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25" customHeight="1">
      <c r="C929" s="66" t="s">
        <v>14</v>
      </c>
      <c r="D929" s="5"/>
      <c r="E929" s="5"/>
      <c r="F929" s="5"/>
      <c r="G929" s="5"/>
      <c r="H929" s="5"/>
      <c r="I929" s="5"/>
      <c r="J929" s="5"/>
      <c r="K929" s="5"/>
      <c r="L929" s="46"/>
      <c r="M929" s="1584">
        <v>15</v>
      </c>
      <c r="N929" s="1585"/>
      <c r="O929" s="1585"/>
      <c r="P929" s="1585"/>
      <c r="Q929" s="1585"/>
      <c r="R929" s="1585"/>
      <c r="S929" s="1586"/>
      <c r="U929" s="66" t="s">
        <v>14</v>
      </c>
      <c r="V929" s="5"/>
      <c r="W929" s="5"/>
      <c r="X929" s="5"/>
      <c r="Y929" s="5"/>
      <c r="Z929" s="5"/>
      <c r="AA929" s="5"/>
      <c r="AB929" s="5"/>
      <c r="AC929" s="5"/>
      <c r="AD929" s="46"/>
      <c r="AE929" s="1584"/>
      <c r="AF929" s="1585"/>
      <c r="AG929" s="1585"/>
      <c r="AH929" s="1585"/>
      <c r="AI929" s="1585"/>
      <c r="AJ929" s="1585"/>
      <c r="AK929" s="158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25" customHeight="1">
      <c r="C930" s="66" t="s">
        <v>15</v>
      </c>
      <c r="D930" s="5"/>
      <c r="E930" s="5"/>
      <c r="F930" s="5"/>
      <c r="G930" s="5"/>
      <c r="H930" s="5"/>
      <c r="I930" s="5"/>
      <c r="J930" s="5"/>
      <c r="K930" s="5"/>
      <c r="L930" s="46"/>
      <c r="M930" s="1528">
        <f>+'Subsidy Contract Calculation'!J30</f>
        <v>364632</v>
      </c>
      <c r="N930" s="1529"/>
      <c r="O930" s="1529"/>
      <c r="P930" s="1529"/>
      <c r="Q930" s="1529"/>
      <c r="R930" s="1529"/>
      <c r="S930" s="1530"/>
      <c r="U930" s="66" t="s">
        <v>15</v>
      </c>
      <c r="V930" s="5"/>
      <c r="W930" s="5"/>
      <c r="X930" s="5"/>
      <c r="Y930" s="5"/>
      <c r="Z930" s="5"/>
      <c r="AA930" s="5"/>
      <c r="AB930" s="5"/>
      <c r="AC930" s="5"/>
      <c r="AD930" s="46"/>
      <c r="AE930" s="1528"/>
      <c r="AF930" s="1529"/>
      <c r="AG930" s="1529"/>
      <c r="AH930" s="1529"/>
      <c r="AI930" s="1529"/>
      <c r="AJ930" s="1529"/>
      <c r="AK930" s="153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25" customHeight="1">
      <c r="C931" s="66" t="s">
        <v>16</v>
      </c>
      <c r="D931" s="5"/>
      <c r="E931" s="5"/>
      <c r="F931" s="5"/>
      <c r="G931" s="5"/>
      <c r="H931" s="5"/>
      <c r="I931" s="5"/>
      <c r="J931" s="5"/>
      <c r="K931" s="5"/>
      <c r="L931" s="46"/>
      <c r="M931" s="1528">
        <v>22131330</v>
      </c>
      <c r="N931" s="1529"/>
      <c r="O931" s="1529"/>
      <c r="P931" s="1529"/>
      <c r="Q931" s="1529"/>
      <c r="R931" s="1529"/>
      <c r="S931" s="1530"/>
      <c r="U931" s="66" t="s">
        <v>16</v>
      </c>
      <c r="V931" s="5"/>
      <c r="W931" s="5"/>
      <c r="X931" s="5"/>
      <c r="Y931" s="5"/>
      <c r="Z931" s="5"/>
      <c r="AA931" s="5"/>
      <c r="AB931" s="5"/>
      <c r="AC931" s="5"/>
      <c r="AD931" s="46"/>
      <c r="AE931" s="1528"/>
      <c r="AF931" s="1529"/>
      <c r="AG931" s="1529"/>
      <c r="AH931" s="1529"/>
      <c r="AI931" s="1529"/>
      <c r="AJ931" s="1529"/>
      <c r="AK931" s="153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25" customHeight="1">
      <c r="C932" s="121" t="s">
        <v>1843</v>
      </c>
      <c r="D932" s="5"/>
      <c r="E932" s="5"/>
      <c r="F932" s="5"/>
      <c r="G932" s="5"/>
      <c r="H932" s="5"/>
      <c r="I932" s="5"/>
      <c r="J932" s="5"/>
      <c r="K932" s="5"/>
      <c r="L932" s="46"/>
      <c r="M932" s="1436">
        <v>40</v>
      </c>
      <c r="N932" s="1437"/>
      <c r="O932" s="1437"/>
      <c r="P932" s="1437"/>
      <c r="Q932" s="1437"/>
      <c r="R932" s="1437"/>
      <c r="S932" s="1438"/>
      <c r="U932" s="121" t="s">
        <v>1843</v>
      </c>
      <c r="V932" s="5"/>
      <c r="W932" s="5"/>
      <c r="X932" s="5"/>
      <c r="Y932" s="5"/>
      <c r="Z932" s="5"/>
      <c r="AA932" s="5"/>
      <c r="AB932" s="5"/>
      <c r="AC932" s="5"/>
      <c r="AD932" s="46"/>
      <c r="AE932" s="1436"/>
      <c r="AF932" s="1437"/>
      <c r="AG932" s="1437"/>
      <c r="AH932" s="1437"/>
      <c r="AI932" s="1437"/>
      <c r="AJ932" s="1437"/>
      <c r="AK932" s="143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2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2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2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2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25" customHeight="1">
      <c r="F937" s="45" t="s">
        <v>581</v>
      </c>
      <c r="G937" s="5"/>
      <c r="H937" s="5"/>
      <c r="I937" s="5"/>
      <c r="J937" s="5"/>
      <c r="K937" s="5"/>
      <c r="L937" s="46"/>
      <c r="M937" s="1537"/>
      <c r="N937" s="1538"/>
      <c r="O937" s="1538"/>
      <c r="P937" s="1538"/>
      <c r="Q937" s="1538"/>
      <c r="R937" s="1538"/>
      <c r="S937" s="1539"/>
      <c r="T937" s="66" t="s">
        <v>815</v>
      </c>
      <c r="U937" s="5"/>
      <c r="V937" s="5"/>
      <c r="W937" s="5"/>
      <c r="X937" s="5"/>
      <c r="Y937" s="5"/>
      <c r="Z937" s="46"/>
      <c r="AA937" s="1537"/>
      <c r="AB937" s="1538"/>
      <c r="AC937" s="1538"/>
      <c r="AD937" s="1538"/>
      <c r="AE937" s="1538"/>
      <c r="AF937" s="1538"/>
      <c r="AG937" s="15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25" customHeight="1">
      <c r="F938" s="45" t="s">
        <v>582</v>
      </c>
      <c r="G938" s="5"/>
      <c r="H938" s="5"/>
      <c r="I938" s="5"/>
      <c r="J938" s="5"/>
      <c r="K938" s="5"/>
      <c r="L938" s="46"/>
      <c r="M938" s="1537"/>
      <c r="N938" s="1538"/>
      <c r="O938" s="1538"/>
      <c r="P938" s="1538"/>
      <c r="Q938" s="1538"/>
      <c r="R938" s="1538"/>
      <c r="S938" s="1539"/>
      <c r="T938" s="66" t="s">
        <v>814</v>
      </c>
      <c r="U938" s="5"/>
      <c r="V938" s="5"/>
      <c r="W938" s="5"/>
      <c r="X938" s="5"/>
      <c r="Y938" s="5"/>
      <c r="Z938" s="46"/>
      <c r="AA938" s="1537"/>
      <c r="AB938" s="1538"/>
      <c r="AC938" s="1538"/>
      <c r="AD938" s="1538"/>
      <c r="AE938" s="1538"/>
      <c r="AF938" s="1538"/>
      <c r="AG938" s="15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25" customHeight="1">
      <c r="F939" s="45" t="s">
        <v>935</v>
      </c>
      <c r="G939" s="5"/>
      <c r="H939" s="5"/>
      <c r="I939" s="5"/>
      <c r="J939" s="5"/>
      <c r="K939" s="5"/>
      <c r="L939" s="46"/>
      <c r="M939" s="1681" t="s">
        <v>601</v>
      </c>
      <c r="N939" s="1682"/>
      <c r="O939" s="1682"/>
      <c r="P939" s="1682"/>
      <c r="Q939" s="1682"/>
      <c r="R939" s="1682"/>
      <c r="S939" s="1683"/>
      <c r="T939" s="45" t="s">
        <v>339</v>
      </c>
      <c r="U939" s="5"/>
      <c r="V939" s="5"/>
      <c r="W939" s="5"/>
      <c r="X939" s="5"/>
      <c r="Y939" s="5"/>
      <c r="Z939" s="46"/>
      <c r="AA939" s="1537"/>
      <c r="AB939" s="1538"/>
      <c r="AC939" s="1538"/>
      <c r="AD939" s="1538"/>
      <c r="AE939" s="1538"/>
      <c r="AF939" s="1538"/>
      <c r="AG939" s="15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25" customHeight="1">
      <c r="F940" s="45" t="s">
        <v>583</v>
      </c>
      <c r="G940" s="5"/>
      <c r="H940" s="5"/>
      <c r="I940" s="5"/>
      <c r="J940" s="5"/>
      <c r="K940" s="5"/>
      <c r="L940" s="46"/>
      <c r="M940" s="1537"/>
      <c r="N940" s="1538"/>
      <c r="O940" s="1538"/>
      <c r="P940" s="1538"/>
      <c r="Q940" s="1538"/>
      <c r="R940" s="1538"/>
      <c r="S940" s="1539"/>
      <c r="T940" s="45" t="s">
        <v>340</v>
      </c>
      <c r="U940" s="5"/>
      <c r="V940" s="5"/>
      <c r="W940" s="5"/>
      <c r="X940" s="5"/>
      <c r="Y940" s="5"/>
      <c r="Z940" s="46"/>
      <c r="AA940" s="1537"/>
      <c r="AB940" s="1538"/>
      <c r="AC940" s="1538"/>
      <c r="AD940" s="1538"/>
      <c r="AE940" s="1538"/>
      <c r="AF940" s="1538"/>
      <c r="AG940" s="15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25" customHeight="1">
      <c r="F941" s="45" t="s">
        <v>474</v>
      </c>
      <c r="G941" s="5"/>
      <c r="H941" s="5"/>
      <c r="I941" s="5"/>
      <c r="J941" s="5"/>
      <c r="K941" s="5"/>
      <c r="L941" s="46"/>
      <c r="M941" s="1537"/>
      <c r="N941" s="1538"/>
      <c r="O941" s="1538"/>
      <c r="P941" s="1538"/>
      <c r="Q941" s="1538"/>
      <c r="R941" s="1538"/>
      <c r="S941" s="1539"/>
      <c r="T941" s="45" t="s">
        <v>378</v>
      </c>
      <c r="U941" s="5"/>
      <c r="V941" s="5"/>
      <c r="W941" s="5"/>
      <c r="X941" s="5"/>
      <c r="Y941" s="5"/>
      <c r="Z941" s="46"/>
      <c r="AA941" s="1537"/>
      <c r="AB941" s="1538"/>
      <c r="AC941" s="1538"/>
      <c r="AD941" s="1538"/>
      <c r="AE941" s="1538"/>
      <c r="AF941" s="1538"/>
      <c r="AG941" s="15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25" customHeight="1">
      <c r="F942" s="252" t="s">
        <v>910</v>
      </c>
      <c r="G942" s="42"/>
      <c r="H942" s="42"/>
      <c r="I942" s="42"/>
      <c r="J942" s="42"/>
      <c r="K942" s="42"/>
      <c r="L942" s="58"/>
      <c r="M942" s="1689" t="s">
        <v>309</v>
      </c>
      <c r="N942" s="1690"/>
      <c r="O942" s="1690"/>
      <c r="P942" s="1690"/>
      <c r="Q942" s="1690"/>
      <c r="R942" s="1690"/>
      <c r="S942" s="1691"/>
      <c r="T942" s="1531"/>
      <c r="U942" s="1532"/>
      <c r="V942" s="1532"/>
      <c r="W942" s="1532"/>
      <c r="X942" s="1532"/>
      <c r="Y942" s="1532"/>
      <c r="Z942" s="1533"/>
      <c r="AA942" s="1537"/>
      <c r="AB942" s="1538"/>
      <c r="AC942" s="1538"/>
      <c r="AD942" s="1538"/>
      <c r="AE942" s="1538"/>
      <c r="AF942" s="1538"/>
      <c r="AG942" s="15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25" customHeight="1">
      <c r="F943" s="41" t="s">
        <v>475</v>
      </c>
      <c r="G943" s="42"/>
      <c r="H943" s="42"/>
      <c r="I943" s="42"/>
      <c r="J943" s="42"/>
      <c r="K943" s="42"/>
      <c r="L943" s="58"/>
      <c r="M943" s="1537"/>
      <c r="N943" s="1538"/>
      <c r="O943" s="1538"/>
      <c r="P943" s="1538"/>
      <c r="Q943" s="1538"/>
      <c r="R943" s="1538"/>
      <c r="S943" s="1539"/>
      <c r="T943" s="1531"/>
      <c r="U943" s="1532"/>
      <c r="V943" s="1532"/>
      <c r="W943" s="1532"/>
      <c r="X943" s="1532"/>
      <c r="Y943" s="1532"/>
      <c r="Z943" s="1533"/>
      <c r="AA943" s="1537"/>
      <c r="AB943" s="1538"/>
      <c r="AC943" s="1538"/>
      <c r="AD943" s="1538"/>
      <c r="AE943" s="1538"/>
      <c r="AF943" s="1538"/>
      <c r="AG943" s="15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25" customHeight="1">
      <c r="F944" s="41" t="s">
        <v>338</v>
      </c>
      <c r="G944" s="42"/>
      <c r="H944" s="42"/>
      <c r="I944" s="42"/>
      <c r="J944" s="42"/>
      <c r="K944" s="42"/>
      <c r="L944" s="42"/>
      <c r="M944" s="42"/>
      <c r="N944" s="42"/>
      <c r="O944" s="1678" t="s">
        <v>679</v>
      </c>
      <c r="P944" s="1679"/>
      <c r="Q944" s="92"/>
      <c r="R944" s="92"/>
      <c r="S944" s="93"/>
      <c r="T944" s="41" t="s">
        <v>171</v>
      </c>
      <c r="U944" s="42"/>
      <c r="V944" s="42"/>
      <c r="W944" s="1686" t="s">
        <v>336</v>
      </c>
      <c r="X944" s="1687"/>
      <c r="Y944" s="1687"/>
      <c r="Z944" s="1687"/>
      <c r="AA944" s="1687"/>
      <c r="AB944" s="1687"/>
      <c r="AC944" s="1687"/>
      <c r="AD944" s="1687"/>
      <c r="AE944" s="1687"/>
      <c r="AF944" s="1687"/>
      <c r="AG944" s="168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25" customHeight="1">
      <c r="F945" s="1680" t="s">
        <v>33</v>
      </c>
      <c r="G945" s="1348"/>
      <c r="H945" s="1348"/>
      <c r="I945" s="1348"/>
      <c r="J945" s="1348"/>
      <c r="K945" s="1348"/>
      <c r="L945" s="1348"/>
      <c r="M945" s="1537"/>
      <c r="N945" s="1538"/>
      <c r="O945" s="1538"/>
      <c r="P945" s="1538"/>
      <c r="Q945" s="1538"/>
      <c r="R945" s="1538"/>
      <c r="S945" s="1539"/>
      <c r="T945" s="47"/>
      <c r="U945" s="48"/>
      <c r="V945" s="48"/>
      <c r="W945" s="48"/>
      <c r="X945" s="48"/>
      <c r="Y945" s="48"/>
      <c r="Z945" s="124" t="s">
        <v>135</v>
      </c>
      <c r="AA945" s="1525"/>
      <c r="AB945" s="1526"/>
      <c r="AC945" s="1526"/>
      <c r="AD945" s="1526"/>
      <c r="AE945" s="1526"/>
      <c r="AF945" s="1526"/>
      <c r="AG945" s="152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2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2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2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25" customHeight="1">
      <c r="A949" s="1546" t="s">
        <v>558</v>
      </c>
      <c r="B949" s="1546"/>
      <c r="C949" s="1546"/>
      <c r="D949" s="1546"/>
      <c r="E949" s="1546"/>
      <c r="F949" s="1546"/>
      <c r="G949" s="1546"/>
      <c r="H949" s="1546"/>
      <c r="I949" s="1546"/>
      <c r="J949" s="1546"/>
      <c r="K949" s="1546"/>
      <c r="L949" s="1546"/>
      <c r="M949" s="1546"/>
      <c r="N949" s="1546"/>
      <c r="O949" s="1546"/>
      <c r="P949" s="1546"/>
      <c r="Q949" s="1546"/>
      <c r="R949" s="1546"/>
      <c r="S949" s="1546"/>
      <c r="T949" s="1546"/>
      <c r="U949" s="1546"/>
      <c r="V949" s="1546"/>
      <c r="W949" s="1546"/>
      <c r="X949" s="1546"/>
      <c r="Y949" s="1546"/>
      <c r="Z949" s="1546"/>
      <c r="AA949" s="1546"/>
      <c r="AB949" s="1546"/>
      <c r="AC949" s="1546"/>
      <c r="AD949" s="1546"/>
      <c r="AE949" s="1546"/>
      <c r="AF949" s="1546"/>
      <c r="AG949" s="1546"/>
      <c r="AH949" s="1546"/>
      <c r="AI949" s="1546"/>
      <c r="AJ949" s="1546"/>
      <c r="AK949" s="1546"/>
      <c r="AL949" s="1546"/>
      <c r="AM949" s="1546"/>
      <c r="AN949" s="1546"/>
      <c r="AO949" s="1546"/>
      <c r="AP949" s="1546"/>
      <c r="AQ949" s="1546"/>
      <c r="AR949" s="1546"/>
      <c r="AS949" s="154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25" customHeight="1">
      <c r="A950" s="1546"/>
      <c r="B950" s="1546"/>
      <c r="C950" s="1546"/>
      <c r="D950" s="1546"/>
      <c r="E950" s="1546"/>
      <c r="F950" s="1546"/>
      <c r="G950" s="1546"/>
      <c r="H950" s="1546"/>
      <c r="I950" s="1546"/>
      <c r="J950" s="1546"/>
      <c r="K950" s="1546"/>
      <c r="L950" s="1546"/>
      <c r="M950" s="1546"/>
      <c r="N950" s="1546"/>
      <c r="O950" s="1546"/>
      <c r="P950" s="1546"/>
      <c r="Q950" s="1546"/>
      <c r="R950" s="1546"/>
      <c r="S950" s="1546"/>
      <c r="T950" s="1546"/>
      <c r="U950" s="1546"/>
      <c r="V950" s="1546"/>
      <c r="W950" s="1546"/>
      <c r="X950" s="1546"/>
      <c r="Y950" s="1546"/>
      <c r="Z950" s="1546"/>
      <c r="AA950" s="1546"/>
      <c r="AB950" s="1546"/>
      <c r="AC950" s="1546"/>
      <c r="AD950" s="1546"/>
      <c r="AE950" s="1546"/>
      <c r="AF950" s="1546"/>
      <c r="AG950" s="1546"/>
      <c r="AH950" s="1546"/>
      <c r="AI950" s="1546"/>
      <c r="AJ950" s="1546"/>
      <c r="AK950" s="1546"/>
      <c r="AL950" s="1546"/>
      <c r="AM950" s="1546"/>
      <c r="AN950" s="1546"/>
      <c r="AO950" s="1546"/>
      <c r="AP950" s="1546"/>
      <c r="AQ950" s="1546"/>
      <c r="AR950" s="1546"/>
      <c r="AS950" s="154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25" customHeight="1">
      <c r="D951"/>
      <c r="E951"/>
      <c r="F951"/>
      <c r="G951"/>
      <c r="H951"/>
      <c r="AL951" s="68"/>
      <c r="AM951" s="68"/>
      <c r="AN951" s="68"/>
      <c r="AO951" s="68"/>
      <c r="AP951" s="68"/>
      <c r="AQ951" s="68"/>
      <c r="AR951" s="68"/>
      <c r="AS951" s="68"/>
      <c r="AT951" s="68"/>
      <c r="AU951" s="68"/>
      <c r="AV951" s="68"/>
      <c r="AW951" s="68"/>
      <c r="AX951" s="68"/>
      <c r="AY951" s="68"/>
      <c r="BG951" s="1644"/>
      <c r="BH951" s="1644"/>
      <c r="BI951" s="1644"/>
      <c r="BJ951" s="1644"/>
      <c r="BK951" s="1644"/>
      <c r="BL951" s="164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2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0"/>
      <c r="BC952" s="94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2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0"/>
      <c r="BC953" s="940"/>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25" customHeight="1">
      <c r="A954" s="67"/>
      <c r="B954" s="79"/>
      <c r="C954" s="956"/>
      <c r="D954" s="1477" t="s">
        <v>648</v>
      </c>
      <c r="E954" s="1478"/>
      <c r="F954" s="1478"/>
      <c r="G954" s="1478"/>
      <c r="H954" s="1478"/>
      <c r="I954" s="1478"/>
      <c r="J954" s="1478"/>
      <c r="K954" s="1478"/>
      <c r="L954" s="1478"/>
      <c r="M954" s="1478"/>
      <c r="N954" s="1478"/>
      <c r="O954" s="1478"/>
      <c r="P954" s="1478"/>
      <c r="Q954" s="1479"/>
      <c r="R954" s="1477" t="s">
        <v>649</v>
      </c>
      <c r="S954" s="1478"/>
      <c r="T954" s="1478"/>
      <c r="U954" s="1478"/>
      <c r="V954" s="1478"/>
      <c r="W954" s="1478"/>
      <c r="X954" s="1478"/>
      <c r="Y954" s="1478"/>
      <c r="Z954" s="1478"/>
      <c r="AA954" s="1479"/>
      <c r="AB954" s="1477" t="s">
        <v>650</v>
      </c>
      <c r="AC954" s="1478"/>
      <c r="AD954" s="1478"/>
      <c r="AE954" s="1478"/>
      <c r="AF954" s="1478"/>
      <c r="AG954" s="1478"/>
      <c r="AH954" s="1478"/>
      <c r="AI954" s="1479"/>
      <c r="AJ954" s="1477" t="s">
        <v>651</v>
      </c>
      <c r="AK954" s="1478"/>
      <c r="AL954" s="1478"/>
      <c r="AM954" s="1478"/>
      <c r="AN954" s="1478"/>
      <c r="AO954" s="1478"/>
      <c r="AP954" s="1478"/>
      <c r="AQ954" s="147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25" customHeight="1">
      <c r="B955" s="73"/>
      <c r="C955" s="957"/>
      <c r="D955" s="1474" t="s">
        <v>643</v>
      </c>
      <c r="E955" s="1475"/>
      <c r="F955" s="1475"/>
      <c r="G955" s="1475"/>
      <c r="H955" s="1475"/>
      <c r="I955" s="1475"/>
      <c r="J955" s="1475"/>
      <c r="K955" s="1475"/>
      <c r="L955" s="1475"/>
      <c r="M955" s="1475"/>
      <c r="N955" s="1475"/>
      <c r="O955" s="1475"/>
      <c r="P955" s="1475"/>
      <c r="Q955" s="1476"/>
      <c r="R955" s="1515">
        <f>IF(ISNA(IF($BN$785="4%",(INDEX($BP$795:$BT$852,MATCH($CB$785,$BO$795:$BO$852,0),MATCH(D955,$BP$794:$BT$794,0))),(INDEX($BW$795:$CA$852,MATCH($CB$785,$BV$795:$BV$852,0),MATCH(D955,$BW$794:$CA$794,0))))),0,IF($BN$785="4%",(INDEX($BP$795:$BT$852,MATCH($CB$785,$BO$795:$BO$852,0),MATCH(D955,$BP$794:$BT$794,0))),(INDEX($BW$795:$CA$852,MATCH($CB$785,$BV$795:$BV$852,0),MATCH(D955,$BW$794:$CA$794,0)))))</f>
        <v>532060</v>
      </c>
      <c r="S955" s="1515"/>
      <c r="T955" s="1515"/>
      <c r="U955" s="1515"/>
      <c r="V955" s="1515"/>
      <c r="W955" s="1515"/>
      <c r="X955" s="1515"/>
      <c r="Y955" s="1515"/>
      <c r="Z955" s="1515"/>
      <c r="AA955" s="1515"/>
      <c r="AB955" s="1433">
        <f>BN649</f>
        <v>8</v>
      </c>
      <c r="AC955" s="1434"/>
      <c r="AD955" s="1434"/>
      <c r="AE955" s="1434"/>
      <c r="AF955" s="1434"/>
      <c r="AG955" s="1434"/>
      <c r="AH955" s="1434"/>
      <c r="AI955" s="1435"/>
      <c r="AJ955" s="1446">
        <f>IF(ISERROR((R955*AB955)),0,(R955*AB955))</f>
        <v>4256480</v>
      </c>
      <c r="AK955" s="1447"/>
      <c r="AL955" s="1447"/>
      <c r="AM955" s="1447"/>
      <c r="AN955" s="1447"/>
      <c r="AO955" s="1447"/>
      <c r="AP955" s="1447"/>
      <c r="AQ955" s="144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25" customHeight="1">
      <c r="B956" s="73"/>
      <c r="C956" s="83"/>
      <c r="D956" s="1474" t="s">
        <v>327</v>
      </c>
      <c r="E956" s="1475"/>
      <c r="F956" s="1475"/>
      <c r="G956" s="1475"/>
      <c r="H956" s="1475"/>
      <c r="I956" s="1475"/>
      <c r="J956" s="1475"/>
      <c r="K956" s="1475"/>
      <c r="L956" s="1475"/>
      <c r="M956" s="1475"/>
      <c r="N956" s="1475"/>
      <c r="O956" s="1475"/>
      <c r="P956" s="1475"/>
      <c r="Q956" s="1476"/>
      <c r="R956" s="1515">
        <f>IF(ISNA(IF($BN$785="4%",(INDEX($BP$795:$BT$852,MATCH($CB$785,$BO$795:$BO$852,0),MATCH(D956,$BP$794:$BT$794,0))),(INDEX($BW$795:$CA$852,MATCH($CB$785,$BV$795:$BV$852,0),MATCH(D956,$BW$794:$CA$794,0))))),0,IF($BN$785="4%",(INDEX($BP$795:$BT$852,MATCH($CB$785,$BO$795:$BO$852,0),MATCH(D956,$BP$794:$BT$794,0))),(INDEX($BW$795:$CA$852,MATCH($CB$785,$BV$795:$BV$852,0),MATCH(D956,$BW$794:$CA$794,0)))))</f>
        <v>613460</v>
      </c>
      <c r="S956" s="1515"/>
      <c r="T956" s="1515"/>
      <c r="U956" s="1515"/>
      <c r="V956" s="1515"/>
      <c r="W956" s="1515"/>
      <c r="X956" s="1515"/>
      <c r="Y956" s="1515"/>
      <c r="Z956" s="1515"/>
      <c r="AA956" s="1515"/>
      <c r="AB956" s="1433">
        <f>BS649</f>
        <v>19</v>
      </c>
      <c r="AC956" s="1434"/>
      <c r="AD956" s="1434"/>
      <c r="AE956" s="1434"/>
      <c r="AF956" s="1434"/>
      <c r="AG956" s="1434"/>
      <c r="AH956" s="1434"/>
      <c r="AI956" s="1435"/>
      <c r="AJ956" s="1446">
        <f>IF(ISERROR((R956*AB956)),0,(R956*AB956))</f>
        <v>11655740</v>
      </c>
      <c r="AK956" s="1447"/>
      <c r="AL956" s="1447"/>
      <c r="AM956" s="1447"/>
      <c r="AN956" s="1447"/>
      <c r="AO956" s="1447"/>
      <c r="AP956" s="1447"/>
      <c r="AQ956" s="144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25" customHeight="1">
      <c r="B957" s="73"/>
      <c r="C957" s="83"/>
      <c r="D957" s="1474" t="s">
        <v>164</v>
      </c>
      <c r="E957" s="1475"/>
      <c r="F957" s="1475"/>
      <c r="G957" s="1475"/>
      <c r="H957" s="1475"/>
      <c r="I957" s="1475"/>
      <c r="J957" s="1475"/>
      <c r="K957" s="1475"/>
      <c r="L957" s="1475"/>
      <c r="M957" s="1475"/>
      <c r="N957" s="1475"/>
      <c r="O957" s="1475"/>
      <c r="P957" s="1475"/>
      <c r="Q957" s="1476"/>
      <c r="R957" s="1515">
        <f>IF(ISNA(IF($BN$785="4%",(INDEX($BP$795:$BT$852,MATCH($CB$785,$BO$795:$BO$852,0),MATCH(D957,$BP$794:$BT$794,0))),(INDEX($BW$795:$CA$852,MATCH($CB$785,$BV$795:$BV$852,0),MATCH(D957,$BW$794:$CA$794,0))))),0,IF($BN$785="4%",(INDEX($BP$795:$BT$852,MATCH($CB$785,$BO$795:$BO$852,0),MATCH(D957,$BP$794:$BT$794,0))),(INDEX($BW$795:$CA$852,MATCH($CB$785,$BV$795:$BV$852,0),MATCH(D957,$BW$794:$CA$794,0)))))</f>
        <v>740000</v>
      </c>
      <c r="S957" s="1515"/>
      <c r="T957" s="1515"/>
      <c r="U957" s="1515"/>
      <c r="V957" s="1515"/>
      <c r="W957" s="1515"/>
      <c r="X957" s="1515"/>
      <c r="Y957" s="1515"/>
      <c r="Z957" s="1515"/>
      <c r="AA957" s="1515"/>
      <c r="AB957" s="1433">
        <f>BX649</f>
        <v>75</v>
      </c>
      <c r="AC957" s="1434"/>
      <c r="AD957" s="1434"/>
      <c r="AE957" s="1434"/>
      <c r="AF957" s="1434"/>
      <c r="AG957" s="1434"/>
      <c r="AH957" s="1434"/>
      <c r="AI957" s="1435"/>
      <c r="AJ957" s="1446">
        <f>IF(ISERROR((R957*AB957)),0,(R957*AB957))</f>
        <v>55500000</v>
      </c>
      <c r="AK957" s="1447"/>
      <c r="AL957" s="1447"/>
      <c r="AM957" s="1447"/>
      <c r="AN957" s="1447"/>
      <c r="AO957" s="1447"/>
      <c r="AP957" s="1447"/>
      <c r="AQ957" s="144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25" customHeight="1">
      <c r="B958" s="73"/>
      <c r="C958" s="83"/>
      <c r="D958" s="1474" t="s">
        <v>165</v>
      </c>
      <c r="E958" s="1475"/>
      <c r="F958" s="1475"/>
      <c r="G958" s="1475"/>
      <c r="H958" s="1475"/>
      <c r="I958" s="1475"/>
      <c r="J958" s="1475"/>
      <c r="K958" s="1475"/>
      <c r="L958" s="1475"/>
      <c r="M958" s="1475"/>
      <c r="N958" s="1475"/>
      <c r="O958" s="1475"/>
      <c r="P958" s="1475"/>
      <c r="Q958" s="1476"/>
      <c r="R958" s="1515">
        <f>IF(ISNA(IF($BN$785="4%",(INDEX($BP$795:$BT$852,MATCH($CB$785,$BO$795:$BO$852,0),MATCH(D958,$BP$794:$BT$794,0))),(INDEX($BW$795:$CA$852,MATCH($CB$785,$BV$795:$BV$852,0),MATCH(D958,$BW$794:$CA$794,0))))),0,IF($BN$785="4%",(INDEX($BP$795:$BT$852,MATCH($CB$785,$BO$795:$BO$852,0),MATCH(D958,$BP$794:$BT$794,0))),(INDEX($BW$795:$CA$852,MATCH($CB$785,$BV$795:$BV$852,0),MATCH(D958,$BW$794:$CA$794,0)))))</f>
        <v>947200</v>
      </c>
      <c r="S958" s="1515"/>
      <c r="T958" s="1515"/>
      <c r="U958" s="1515"/>
      <c r="V958" s="1515"/>
      <c r="W958" s="1515"/>
      <c r="X958" s="1515"/>
      <c r="Y958" s="1515"/>
      <c r="Z958" s="1515"/>
      <c r="AA958" s="1515"/>
      <c r="AB958" s="1433">
        <f>CC649</f>
        <v>27</v>
      </c>
      <c r="AC958" s="1434"/>
      <c r="AD958" s="1434"/>
      <c r="AE958" s="1434"/>
      <c r="AF958" s="1434"/>
      <c r="AG958" s="1434"/>
      <c r="AH958" s="1434"/>
      <c r="AI958" s="1435"/>
      <c r="AJ958" s="1446">
        <f>IF(ISERROR((R958*AB958)),0,(R958*AB958))</f>
        <v>25574400</v>
      </c>
      <c r="AK958" s="1447"/>
      <c r="AL958" s="1447"/>
      <c r="AM958" s="1447"/>
      <c r="AN958" s="1447"/>
      <c r="AO958" s="1447"/>
      <c r="AP958" s="1447"/>
      <c r="AQ958" s="144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25" customHeight="1">
      <c r="A959" s="14"/>
      <c r="B959" s="47"/>
      <c r="C959" s="78"/>
      <c r="D959" s="1474" t="s">
        <v>470</v>
      </c>
      <c r="E959" s="1475"/>
      <c r="F959" s="1475"/>
      <c r="G959" s="1475"/>
      <c r="H959" s="1475"/>
      <c r="I959" s="1475"/>
      <c r="J959" s="1475"/>
      <c r="K959" s="1475"/>
      <c r="L959" s="1475"/>
      <c r="M959" s="1475"/>
      <c r="N959" s="1475"/>
      <c r="O959" s="1475"/>
      <c r="P959" s="1475"/>
      <c r="Q959" s="1476"/>
      <c r="R959" s="1515">
        <f>IF(ISNA(IF($BN$785="4%",(INDEX($BP$795:$BT$852,MATCH($CB$785,$BO$795:$BO$852,0),MATCH(D959,$BP$794:$BT$794,0))),(INDEX($BW$795:$CA$852,MATCH($CB$785,$BV$795:$BV$852,0),MATCH(D959,$BW$794:$CA$794,0))))),0,IF($BN$785="4%",(INDEX($BP$795:$BT$852,MATCH($CB$785,$BO$795:$BO$852,0),MATCH(D959,$BP$794:$BT$794,0))),(INDEX($BW$795:$CA$852,MATCH($CB$785,$BV$795:$BV$852,0),MATCH(D959,$BW$794:$CA$794,0)))))</f>
        <v>1055240</v>
      </c>
      <c r="S959" s="1515"/>
      <c r="T959" s="1515"/>
      <c r="U959" s="1515"/>
      <c r="V959" s="1515"/>
      <c r="W959" s="1515"/>
      <c r="X959" s="1515"/>
      <c r="Y959" s="1515"/>
      <c r="Z959" s="1515"/>
      <c r="AA959" s="1515"/>
      <c r="AB959" s="1433">
        <f>CM649+CH649</f>
        <v>7</v>
      </c>
      <c r="AC959" s="1434"/>
      <c r="AD959" s="1434"/>
      <c r="AE959" s="1434"/>
      <c r="AF959" s="1434"/>
      <c r="AG959" s="1434"/>
      <c r="AH959" s="1434"/>
      <c r="AI959" s="1435"/>
      <c r="AJ959" s="1446">
        <f>IF(ISERROR((R959*AB959)),0,(R959*AB959))</f>
        <v>7386680</v>
      </c>
      <c r="AK959" s="1447"/>
      <c r="AL959" s="1447"/>
      <c r="AM959" s="1447"/>
      <c r="AN959" s="1447"/>
      <c r="AO959" s="1447"/>
      <c r="AP959" s="1447"/>
      <c r="AQ959" s="144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25" customHeight="1">
      <c r="A960" s="14"/>
      <c r="B960" s="1494" t="s">
        <v>816</v>
      </c>
      <c r="C960" s="1495"/>
      <c r="D960" s="1495"/>
      <c r="E960" s="1495"/>
      <c r="F960" s="1495"/>
      <c r="G960" s="1495"/>
      <c r="H960" s="1495"/>
      <c r="I960" s="1495"/>
      <c r="J960" s="1495"/>
      <c r="K960" s="1495"/>
      <c r="L960" s="1495"/>
      <c r="M960" s="1495"/>
      <c r="N960" s="1495"/>
      <c r="O960" s="1495"/>
      <c r="P960" s="1495"/>
      <c r="Q960" s="1495"/>
      <c r="R960" s="1495"/>
      <c r="S960" s="1495"/>
      <c r="T960" s="1495"/>
      <c r="U960" s="1495"/>
      <c r="V960" s="1495"/>
      <c r="W960" s="1495"/>
      <c r="X960" s="1495"/>
      <c r="Y960" s="1495"/>
      <c r="Z960" s="1495"/>
      <c r="AA960" s="1496"/>
      <c r="AB960" s="1433">
        <f>SUM(AB955:AI959)</f>
        <v>136</v>
      </c>
      <c r="AC960" s="1434"/>
      <c r="AD960" s="1434"/>
      <c r="AE960" s="1434"/>
      <c r="AF960" s="1434"/>
      <c r="AG960" s="1434"/>
      <c r="AH960" s="1434"/>
      <c r="AI960" s="1435"/>
      <c r="AJ960" s="1446"/>
      <c r="AK960" s="1447"/>
      <c r="AL960" s="1447"/>
      <c r="AM960" s="1447"/>
      <c r="AN960" s="1447"/>
      <c r="AO960" s="1447"/>
      <c r="AP960" s="1447"/>
      <c r="AQ960" s="144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25" customHeight="1">
      <c r="A961" s="14"/>
      <c r="B961" s="1512" t="s">
        <v>522</v>
      </c>
      <c r="C961" s="1513"/>
      <c r="D961" s="1513"/>
      <c r="E961" s="1513"/>
      <c r="F961" s="1513"/>
      <c r="G961" s="1513"/>
      <c r="H961" s="1513"/>
      <c r="I961" s="1513"/>
      <c r="J961" s="1513"/>
      <c r="K961" s="1513"/>
      <c r="L961" s="1513"/>
      <c r="M961" s="1513"/>
      <c r="N961" s="1513"/>
      <c r="O961" s="1513"/>
      <c r="P961" s="1513"/>
      <c r="Q961" s="1513"/>
      <c r="R961" s="1513"/>
      <c r="S961" s="1513"/>
      <c r="T961" s="1513"/>
      <c r="U961" s="1513"/>
      <c r="V961" s="1513"/>
      <c r="W961" s="1513"/>
      <c r="X961" s="1513"/>
      <c r="Y961" s="1513"/>
      <c r="Z961" s="1513"/>
      <c r="AA961" s="1513"/>
      <c r="AB961" s="1513"/>
      <c r="AC961" s="1513"/>
      <c r="AD961" s="1513"/>
      <c r="AE961" s="1513"/>
      <c r="AF961" s="1513"/>
      <c r="AG961" s="1513"/>
      <c r="AH961" s="1513"/>
      <c r="AI961" s="1514"/>
      <c r="AJ961" s="1446">
        <f>SUM(AJ955:AQ959)</f>
        <v>104373300</v>
      </c>
      <c r="AK961" s="1447"/>
      <c r="AL961" s="1447"/>
      <c r="AM961" s="1447"/>
      <c r="AN961" s="1447"/>
      <c r="AO961" s="1447"/>
      <c r="AP961" s="1447"/>
      <c r="AQ961" s="144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25" customHeight="1">
      <c r="A962" s="14"/>
      <c r="B962" s="1449"/>
      <c r="C962" s="1450"/>
      <c r="D962" s="1450"/>
      <c r="E962" s="1450"/>
      <c r="F962" s="1450"/>
      <c r="G962" s="1450"/>
      <c r="H962" s="1450"/>
      <c r="I962" s="1450"/>
      <c r="J962" s="1450"/>
      <c r="K962" s="1450"/>
      <c r="L962" s="1450"/>
      <c r="M962" s="1450"/>
      <c r="N962" s="1450"/>
      <c r="O962" s="1450"/>
      <c r="P962" s="1450"/>
      <c r="Q962" s="1450"/>
      <c r="R962" s="1450"/>
      <c r="S962" s="1450"/>
      <c r="T962" s="1450"/>
      <c r="U962" s="1450"/>
      <c r="V962" s="1450"/>
      <c r="W962" s="1450"/>
      <c r="X962" s="1450"/>
      <c r="Y962" s="1450"/>
      <c r="Z962" s="1450"/>
      <c r="AA962" s="1450"/>
      <c r="AB962" s="1450"/>
      <c r="AC962" s="1450"/>
      <c r="AD962" s="1450"/>
      <c r="AE962" s="1451"/>
      <c r="AF962" s="1455" t="s">
        <v>676</v>
      </c>
      <c r="AG962" s="1456"/>
      <c r="AH962" s="1456"/>
      <c r="AI962" s="1457"/>
      <c r="AJ962" s="1449"/>
      <c r="AK962" s="1450"/>
      <c r="AL962" s="1450"/>
      <c r="AM962" s="1450"/>
      <c r="AN962" s="1450"/>
      <c r="AO962" s="1450"/>
      <c r="AP962" s="1450"/>
      <c r="AQ962" s="145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25" customHeight="1">
      <c r="A963" s="14"/>
      <c r="B963" s="73"/>
      <c r="C963" s="955" t="s">
        <v>678</v>
      </c>
      <c r="D963" s="1462" t="s">
        <v>1364</v>
      </c>
      <c r="E963" s="1463"/>
      <c r="F963" s="1463"/>
      <c r="G963" s="1463"/>
      <c r="H963" s="1463"/>
      <c r="I963" s="1463"/>
      <c r="J963" s="1463"/>
      <c r="K963" s="1463"/>
      <c r="L963" s="1463"/>
      <c r="M963" s="1463"/>
      <c r="N963" s="1463"/>
      <c r="O963" s="1463"/>
      <c r="P963" s="1463"/>
      <c r="Q963" s="1463"/>
      <c r="R963" s="1463"/>
      <c r="S963" s="1463"/>
      <c r="T963" s="1463"/>
      <c r="U963" s="1463"/>
      <c r="V963" s="1463"/>
      <c r="W963" s="1463"/>
      <c r="X963" s="1463"/>
      <c r="Y963" s="1463"/>
      <c r="Z963" s="1463"/>
      <c r="AA963" s="1463"/>
      <c r="AB963" s="1463"/>
      <c r="AC963" s="1463"/>
      <c r="AD963" s="1463"/>
      <c r="AE963" s="1464"/>
      <c r="AF963" s="79"/>
      <c r="AG963" s="1458" t="s">
        <v>555</v>
      </c>
      <c r="AH963" s="1459"/>
      <c r="AI963" s="87"/>
      <c r="AJ963" s="1485">
        <f>ROUND(IF(AND(AG963="yes",D965&gt;0),AJ961*0.2,0),0)</f>
        <v>20874660</v>
      </c>
      <c r="AK963" s="1486"/>
      <c r="AL963" s="1486"/>
      <c r="AM963" s="1486"/>
      <c r="AN963" s="1486"/>
      <c r="AO963" s="1486"/>
      <c r="AP963" s="1486"/>
      <c r="AQ963" s="148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68"/>
      <c r="C964" s="267"/>
      <c r="D964" s="1497" t="s">
        <v>1365</v>
      </c>
      <c r="E964" s="1498"/>
      <c r="F964" s="1498"/>
      <c r="G964" s="1498"/>
      <c r="H964" s="1498"/>
      <c r="I964" s="1498"/>
      <c r="J964" s="1498"/>
      <c r="K964" s="1498"/>
      <c r="L964" s="1498"/>
      <c r="M964" s="1498"/>
      <c r="N964" s="1498"/>
      <c r="O964" s="1498"/>
      <c r="P964" s="1498"/>
      <c r="Q964" s="1498"/>
      <c r="R964" s="1498"/>
      <c r="S964" s="1498"/>
      <c r="T964" s="1498"/>
      <c r="U964" s="1498"/>
      <c r="V964" s="1498"/>
      <c r="W964" s="1498"/>
      <c r="X964" s="1498"/>
      <c r="Y964" s="1498"/>
      <c r="Z964" s="1498"/>
      <c r="AA964" s="1498"/>
      <c r="AB964" s="1498"/>
      <c r="AC964" s="1498"/>
      <c r="AD964" s="1498"/>
      <c r="AE964" s="1499"/>
      <c r="AF964" s="73"/>
      <c r="AG964" s="14"/>
      <c r="AH964" s="14"/>
      <c r="AI964" s="83"/>
      <c r="AJ964" s="1488"/>
      <c r="AK964" s="1489"/>
      <c r="AL964" s="1489"/>
      <c r="AM964" s="1489"/>
      <c r="AN964" s="1489"/>
      <c r="AO964" s="1489"/>
      <c r="AP964" s="1489"/>
      <c r="AQ964" s="149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25" customHeight="1">
      <c r="A965" s="14"/>
      <c r="B965" s="268"/>
      <c r="C965" s="267"/>
      <c r="D965" s="1500" t="s">
        <v>2745</v>
      </c>
      <c r="E965" s="1501"/>
      <c r="F965" s="1501"/>
      <c r="G965" s="1501"/>
      <c r="H965" s="1501"/>
      <c r="I965" s="1501"/>
      <c r="J965" s="1501"/>
      <c r="K965" s="1501"/>
      <c r="L965" s="1501"/>
      <c r="M965" s="1501"/>
      <c r="N965" s="1501"/>
      <c r="O965" s="1501"/>
      <c r="P965" s="1501"/>
      <c r="Q965" s="1501"/>
      <c r="R965" s="1501"/>
      <c r="S965" s="1501"/>
      <c r="T965" s="1501"/>
      <c r="U965" s="1501"/>
      <c r="V965" s="1501"/>
      <c r="W965" s="1501"/>
      <c r="X965" s="1501"/>
      <c r="Y965" s="1501"/>
      <c r="Z965" s="1501"/>
      <c r="AA965" s="1501"/>
      <c r="AB965" s="1501"/>
      <c r="AC965" s="1501"/>
      <c r="AD965" s="1501"/>
      <c r="AE965" s="1502"/>
      <c r="AF965" s="77"/>
      <c r="AG965" s="7"/>
      <c r="AH965" s="7"/>
      <c r="AI965" s="78"/>
      <c r="AJ965" s="1491"/>
      <c r="AK965" s="1492"/>
      <c r="AL965" s="1492"/>
      <c r="AM965" s="1492"/>
      <c r="AN965" s="1492"/>
      <c r="AO965" s="1492"/>
      <c r="AP965" s="1492"/>
      <c r="AQ965" s="149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25" customHeight="1">
      <c r="A966" s="14"/>
      <c r="B966" s="266"/>
      <c r="C966" s="336"/>
      <c r="D966" s="1452" t="s">
        <v>1451</v>
      </c>
      <c r="E966" s="1453"/>
      <c r="F966" s="1453"/>
      <c r="G966" s="1453"/>
      <c r="H966" s="1453"/>
      <c r="I966" s="1453"/>
      <c r="J966" s="1453"/>
      <c r="K966" s="1453"/>
      <c r="L966" s="1453"/>
      <c r="M966" s="1453"/>
      <c r="N966" s="1453"/>
      <c r="O966" s="1453"/>
      <c r="P966" s="1453"/>
      <c r="Q966" s="1453"/>
      <c r="R966" s="1453"/>
      <c r="S966" s="1453"/>
      <c r="T966" s="1453"/>
      <c r="U966" s="1453"/>
      <c r="V966" s="1453"/>
      <c r="W966" s="1453"/>
      <c r="X966" s="1453"/>
      <c r="Y966" s="1453"/>
      <c r="Z966" s="1453"/>
      <c r="AA966" s="1453"/>
      <c r="AB966" s="1453"/>
      <c r="AC966" s="1453"/>
      <c r="AD966" s="1453"/>
      <c r="AE966" s="1454"/>
      <c r="AF966" s="79"/>
      <c r="AG966" s="1460" t="s">
        <v>679</v>
      </c>
      <c r="AH966" s="1461"/>
      <c r="AI966" s="87"/>
      <c r="AJ966" s="1485">
        <f>ROUND(IF(AG966="yes",AJ961*0.05,0),0)</f>
        <v>0</v>
      </c>
      <c r="AK966" s="1486"/>
      <c r="AL966" s="1486"/>
      <c r="AM966" s="1486"/>
      <c r="AN966" s="1486"/>
      <c r="AO966" s="1486"/>
      <c r="AP966" s="1486"/>
      <c r="AQ966" s="148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25" customHeight="1">
      <c r="A967" s="14"/>
      <c r="B967" s="268"/>
      <c r="C967" s="82"/>
      <c r="D967" s="1497" t="s">
        <v>1449</v>
      </c>
      <c r="E967" s="1498"/>
      <c r="F967" s="1498"/>
      <c r="G967" s="1498"/>
      <c r="H967" s="1498"/>
      <c r="I967" s="1498"/>
      <c r="J967" s="1498"/>
      <c r="K967" s="1498"/>
      <c r="L967" s="1498"/>
      <c r="M967" s="1498"/>
      <c r="N967" s="1498"/>
      <c r="O967" s="1498"/>
      <c r="P967" s="1498"/>
      <c r="Q967" s="1498"/>
      <c r="R967" s="1498"/>
      <c r="S967" s="1498"/>
      <c r="T967" s="1498"/>
      <c r="U967" s="1498"/>
      <c r="V967" s="1498"/>
      <c r="W967" s="1498"/>
      <c r="X967" s="1498"/>
      <c r="Y967" s="1498"/>
      <c r="Z967" s="1498"/>
      <c r="AA967" s="1498"/>
      <c r="AB967" s="1498"/>
      <c r="AC967" s="1498"/>
      <c r="AD967" s="1498"/>
      <c r="AE967" s="1499"/>
      <c r="AF967" s="73"/>
      <c r="AG967" s="14"/>
      <c r="AH967" s="14"/>
      <c r="AI967" s="83"/>
      <c r="AJ967" s="1488"/>
      <c r="AK967" s="1489"/>
      <c r="AL967" s="1489"/>
      <c r="AM967" s="1489"/>
      <c r="AN967" s="1489"/>
      <c r="AO967" s="1489"/>
      <c r="AP967" s="1489"/>
      <c r="AQ967" s="149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25" customHeight="1">
      <c r="A968" s="14"/>
      <c r="B968" s="268"/>
      <c r="C968" s="82"/>
      <c r="D968" s="1497"/>
      <c r="E968" s="1498"/>
      <c r="F968" s="1498"/>
      <c r="G968" s="1498"/>
      <c r="H968" s="1498"/>
      <c r="I968" s="1498"/>
      <c r="J968" s="1498"/>
      <c r="K968" s="1498"/>
      <c r="L968" s="1498"/>
      <c r="M968" s="1498"/>
      <c r="N968" s="1498"/>
      <c r="O968" s="1498"/>
      <c r="P968" s="1498"/>
      <c r="Q968" s="1498"/>
      <c r="R968" s="1498"/>
      <c r="S968" s="1498"/>
      <c r="T968" s="1498"/>
      <c r="U968" s="1498"/>
      <c r="V968" s="1498"/>
      <c r="W968" s="1498"/>
      <c r="X968" s="1498"/>
      <c r="Y968" s="1498"/>
      <c r="Z968" s="1498"/>
      <c r="AA968" s="1498"/>
      <c r="AB968" s="1498"/>
      <c r="AC968" s="1498"/>
      <c r="AD968" s="1498"/>
      <c r="AE968" s="1499"/>
      <c r="AF968" s="73"/>
      <c r="AG968" s="14"/>
      <c r="AH968" s="14"/>
      <c r="AI968" s="83"/>
      <c r="AJ968" s="1488"/>
      <c r="AK968" s="1489"/>
      <c r="AL968" s="1489"/>
      <c r="AM968" s="1489"/>
      <c r="AN968" s="1489"/>
      <c r="AO968" s="1489"/>
      <c r="AP968" s="1489"/>
      <c r="AQ968" s="149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25" customHeight="1">
      <c r="A969" s="14"/>
      <c r="B969" s="268"/>
      <c r="C969" s="82"/>
      <c r="D969" s="1497"/>
      <c r="E969" s="1498"/>
      <c r="F969" s="1498"/>
      <c r="G969" s="1498"/>
      <c r="H969" s="1498"/>
      <c r="I969" s="1498"/>
      <c r="J969" s="1498"/>
      <c r="K969" s="1498"/>
      <c r="L969" s="1498"/>
      <c r="M969" s="1498"/>
      <c r="N969" s="1498"/>
      <c r="O969" s="1498"/>
      <c r="P969" s="1498"/>
      <c r="Q969" s="1498"/>
      <c r="R969" s="1498"/>
      <c r="S969" s="1498"/>
      <c r="T969" s="1498"/>
      <c r="U969" s="1498"/>
      <c r="V969" s="1498"/>
      <c r="W969" s="1498"/>
      <c r="X969" s="1498"/>
      <c r="Y969" s="1498"/>
      <c r="Z969" s="1498"/>
      <c r="AA969" s="1498"/>
      <c r="AB969" s="1498"/>
      <c r="AC969" s="1498"/>
      <c r="AD969" s="1498"/>
      <c r="AE969" s="1499"/>
      <c r="AF969" s="73"/>
      <c r="AG969" s="14"/>
      <c r="AH969" s="14"/>
      <c r="AI969" s="83"/>
      <c r="AJ969" s="1488"/>
      <c r="AK969" s="1489"/>
      <c r="AL969" s="1489"/>
      <c r="AM969" s="1489"/>
      <c r="AN969" s="1489"/>
      <c r="AO969" s="1489"/>
      <c r="AP969" s="1489"/>
      <c r="AQ969" s="149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25" customHeight="1">
      <c r="A970" s="14"/>
      <c r="B970" s="268"/>
      <c r="C970" s="82"/>
      <c r="D970" s="1497"/>
      <c r="E970" s="1498"/>
      <c r="F970" s="1498"/>
      <c r="G970" s="1498"/>
      <c r="H970" s="1498"/>
      <c r="I970" s="1498"/>
      <c r="J970" s="1498"/>
      <c r="K970" s="1498"/>
      <c r="L970" s="1498"/>
      <c r="M970" s="1498"/>
      <c r="N970" s="1498"/>
      <c r="O970" s="1498"/>
      <c r="P970" s="1498"/>
      <c r="Q970" s="1498"/>
      <c r="R970" s="1498"/>
      <c r="S970" s="1498"/>
      <c r="T970" s="1498"/>
      <c r="U970" s="1498"/>
      <c r="V970" s="1498"/>
      <c r="W970" s="1498"/>
      <c r="X970" s="1498"/>
      <c r="Y970" s="1498"/>
      <c r="Z970" s="1498"/>
      <c r="AA970" s="1498"/>
      <c r="AB970" s="1498"/>
      <c r="AC970" s="1498"/>
      <c r="AD970" s="1498"/>
      <c r="AE970" s="1499"/>
      <c r="AF970" s="73"/>
      <c r="AG970" s="14"/>
      <c r="AH970" s="14"/>
      <c r="AI970" s="83"/>
      <c r="AJ970" s="1488"/>
      <c r="AK970" s="1489"/>
      <c r="AL970" s="1489"/>
      <c r="AM970" s="1489"/>
      <c r="AN970" s="1489"/>
      <c r="AO970" s="1489"/>
      <c r="AP970" s="1489"/>
      <c r="AQ970" s="149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25" customHeight="1">
      <c r="A971" s="14"/>
      <c r="B971" s="75"/>
      <c r="C971" s="76"/>
      <c r="D971" s="1503"/>
      <c r="E971" s="1504"/>
      <c r="F971" s="1504"/>
      <c r="G971" s="1504"/>
      <c r="H971" s="1504"/>
      <c r="I971" s="1504"/>
      <c r="J971" s="1504"/>
      <c r="K971" s="1504"/>
      <c r="L971" s="1504"/>
      <c r="M971" s="1504"/>
      <c r="N971" s="1504"/>
      <c r="O971" s="1504"/>
      <c r="P971" s="1504"/>
      <c r="Q971" s="1504"/>
      <c r="R971" s="1504"/>
      <c r="S971" s="1504"/>
      <c r="T971" s="1504"/>
      <c r="U971" s="1504"/>
      <c r="V971" s="1504"/>
      <c r="W971" s="1504"/>
      <c r="X971" s="1504"/>
      <c r="Y971" s="1504"/>
      <c r="Z971" s="1504"/>
      <c r="AA971" s="1504"/>
      <c r="AB971" s="1504"/>
      <c r="AC971" s="1504"/>
      <c r="AD971" s="1504"/>
      <c r="AE971" s="1505"/>
      <c r="AF971" s="77"/>
      <c r="AG971" s="7"/>
      <c r="AH971" s="7"/>
      <c r="AI971" s="78"/>
      <c r="AJ971" s="1491"/>
      <c r="AK971" s="1492"/>
      <c r="AL971" s="1492"/>
      <c r="AM971" s="1492"/>
      <c r="AN971" s="1492"/>
      <c r="AO971" s="1492"/>
      <c r="AP971" s="1492"/>
      <c r="AQ971" s="149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25" customHeight="1">
      <c r="A972" s="14"/>
      <c r="B972" s="266"/>
      <c r="C972" s="80" t="s">
        <v>682</v>
      </c>
      <c r="D972" s="1452" t="s">
        <v>1944</v>
      </c>
      <c r="E972" s="1453"/>
      <c r="F972" s="1453"/>
      <c r="G972" s="1453"/>
      <c r="H972" s="1453"/>
      <c r="I972" s="1453"/>
      <c r="J972" s="1453"/>
      <c r="K972" s="1453"/>
      <c r="L972" s="1453"/>
      <c r="M972" s="1453"/>
      <c r="N972" s="1453"/>
      <c r="O972" s="1453"/>
      <c r="P972" s="1453"/>
      <c r="Q972" s="1453"/>
      <c r="R972" s="1453"/>
      <c r="S972" s="1453"/>
      <c r="T972" s="1453"/>
      <c r="U972" s="1453"/>
      <c r="V972" s="1453"/>
      <c r="W972" s="1453"/>
      <c r="X972" s="1453"/>
      <c r="Y972" s="1453"/>
      <c r="Z972" s="1453"/>
      <c r="AA972" s="1453"/>
      <c r="AB972" s="1453"/>
      <c r="AC972" s="1453"/>
      <c r="AD972" s="1453"/>
      <c r="AE972" s="1454"/>
      <c r="AF972" s="86"/>
      <c r="AG972" s="1460" t="s">
        <v>555</v>
      </c>
      <c r="AH972" s="1461"/>
      <c r="AI972" s="87"/>
      <c r="AJ972" s="1485">
        <f>ROUND(IF(AG972="yes",AJ961*0.1,0),0)</f>
        <v>10437330</v>
      </c>
      <c r="AK972" s="1486"/>
      <c r="AL972" s="1486"/>
      <c r="AM972" s="1486"/>
      <c r="AN972" s="1486"/>
      <c r="AO972" s="1486"/>
      <c r="AP972" s="1486"/>
      <c r="AQ972" s="148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25" customHeight="1">
      <c r="A973" s="14"/>
      <c r="B973" s="73"/>
      <c r="C973" s="74"/>
      <c r="D973" s="1440" t="s">
        <v>1450</v>
      </c>
      <c r="E973" s="1441"/>
      <c r="F973" s="1441"/>
      <c r="G973" s="1441"/>
      <c r="H973" s="1441"/>
      <c r="I973" s="1441"/>
      <c r="J973" s="1441"/>
      <c r="K973" s="1441"/>
      <c r="L973" s="1441"/>
      <c r="M973" s="1441"/>
      <c r="N973" s="1441"/>
      <c r="O973" s="1441"/>
      <c r="P973" s="1441"/>
      <c r="Q973" s="1441"/>
      <c r="R973" s="1441"/>
      <c r="S973" s="1441"/>
      <c r="T973" s="1441"/>
      <c r="U973" s="1441"/>
      <c r="V973" s="1441"/>
      <c r="W973" s="1441"/>
      <c r="X973" s="1441"/>
      <c r="Y973" s="1441"/>
      <c r="Z973" s="1441"/>
      <c r="AA973" s="1441"/>
      <c r="AB973" s="1441"/>
      <c r="AC973" s="1441"/>
      <c r="AD973" s="1441"/>
      <c r="AE973" s="1442"/>
      <c r="AF973" s="73"/>
      <c r="AI973" s="83"/>
      <c r="AJ973" s="1488"/>
      <c r="AK973" s="1489"/>
      <c r="AL973" s="1489"/>
      <c r="AM973" s="1489"/>
      <c r="AN973" s="1489"/>
      <c r="AO973" s="1489"/>
      <c r="AP973" s="1489"/>
      <c r="AQ973" s="1490"/>
      <c r="AR973" s="68"/>
      <c r="AS973" s="68"/>
      <c r="AT973" s="68"/>
      <c r="AU973" s="68"/>
      <c r="AV973" s="68"/>
      <c r="AW973" s="68"/>
      <c r="AX973" s="68"/>
      <c r="AY973" s="68"/>
      <c r="AZ973" s="34"/>
      <c r="BA973" s="942">
        <f>G739+O782</f>
        <v>135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25" customHeight="1">
      <c r="A974" s="14"/>
      <c r="B974" s="73"/>
      <c r="C974" s="74"/>
      <c r="D974" s="1440"/>
      <c r="E974" s="1441"/>
      <c r="F974" s="1441"/>
      <c r="G974" s="1441"/>
      <c r="H974" s="1441"/>
      <c r="I974" s="1441"/>
      <c r="J974" s="1441"/>
      <c r="K974" s="1441"/>
      <c r="L974" s="1441"/>
      <c r="M974" s="1441"/>
      <c r="N974" s="1441"/>
      <c r="O974" s="1441"/>
      <c r="P974" s="1441"/>
      <c r="Q974" s="1441"/>
      <c r="R974" s="1441"/>
      <c r="S974" s="1441"/>
      <c r="T974" s="1441"/>
      <c r="U974" s="1441"/>
      <c r="V974" s="1441"/>
      <c r="W974" s="1441"/>
      <c r="X974" s="1441"/>
      <c r="Y974" s="1441"/>
      <c r="Z974" s="1441"/>
      <c r="AA974" s="1441"/>
      <c r="AB974" s="1441"/>
      <c r="AC974" s="1441"/>
      <c r="AD974" s="1441"/>
      <c r="AE974" s="1442"/>
      <c r="AF974" s="73"/>
      <c r="AG974" s="14"/>
      <c r="AH974" s="14"/>
      <c r="AI974" s="83"/>
      <c r="AJ974" s="1488"/>
      <c r="AK974" s="1489"/>
      <c r="AL974" s="1489"/>
      <c r="AM974" s="1489"/>
      <c r="AN974" s="1489"/>
      <c r="AO974" s="1489"/>
      <c r="AP974" s="1489"/>
      <c r="AQ974" s="149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25" customHeight="1">
      <c r="A975" s="14"/>
      <c r="B975" s="85"/>
      <c r="C975" s="76"/>
      <c r="D975" s="1465"/>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c r="AA975" s="1466"/>
      <c r="AB975" s="1466"/>
      <c r="AC975" s="1466"/>
      <c r="AD975" s="1466"/>
      <c r="AE975" s="1467"/>
      <c r="AF975" s="77"/>
      <c r="AG975" s="7"/>
      <c r="AH975" s="7"/>
      <c r="AI975" s="78"/>
      <c r="AJ975" s="1491"/>
      <c r="AK975" s="1492"/>
      <c r="AL975" s="1492"/>
      <c r="AM975" s="1492"/>
      <c r="AN975" s="1492"/>
      <c r="AO975" s="1492"/>
      <c r="AP975" s="1492"/>
      <c r="AQ975" s="1493"/>
      <c r="AR975" s="68"/>
      <c r="AS975" s="68"/>
      <c r="AT975" s="68"/>
      <c r="AU975" s="68"/>
      <c r="AV975" s="68"/>
      <c r="AW975" s="68"/>
      <c r="AX975" s="68"/>
      <c r="AY975" s="68"/>
      <c r="AZ975" s="34"/>
      <c r="BA975" s="941">
        <f>ROUNDDOWN(X1013/I1013,2)</f>
        <v>0.35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25" customHeight="1">
      <c r="A976" s="14"/>
      <c r="B976" s="79"/>
      <c r="C976" s="80" t="s">
        <v>214</v>
      </c>
      <c r="D976" s="1452" t="s">
        <v>1452</v>
      </c>
      <c r="E976" s="1453"/>
      <c r="F976" s="1453"/>
      <c r="G976" s="1453"/>
      <c r="H976" s="1453"/>
      <c r="I976" s="1453"/>
      <c r="J976" s="1453"/>
      <c r="K976" s="1453"/>
      <c r="L976" s="1453"/>
      <c r="M976" s="1453"/>
      <c r="N976" s="1453"/>
      <c r="O976" s="1453"/>
      <c r="P976" s="1453"/>
      <c r="Q976" s="1453"/>
      <c r="R976" s="1453"/>
      <c r="S976" s="1453"/>
      <c r="T976" s="1453"/>
      <c r="U976" s="1453"/>
      <c r="V976" s="1453"/>
      <c r="W976" s="1453"/>
      <c r="X976" s="1453"/>
      <c r="Y976" s="1453"/>
      <c r="Z976" s="1453"/>
      <c r="AA976" s="1453"/>
      <c r="AB976" s="1453"/>
      <c r="AC976" s="1453"/>
      <c r="AD976" s="1453"/>
      <c r="AE976" s="1454"/>
      <c r="AF976" s="79"/>
      <c r="AG976" s="1460" t="s">
        <v>679</v>
      </c>
      <c r="AH976" s="1461"/>
      <c r="AI976" s="87"/>
      <c r="AJ976" s="1485">
        <f>ROUND(IF(AG976="yes",AJ961*0.02,0),0)</f>
        <v>0</v>
      </c>
      <c r="AK976" s="1486"/>
      <c r="AL976" s="1486"/>
      <c r="AM976" s="1486"/>
      <c r="AN976" s="1486"/>
      <c r="AO976" s="1486"/>
      <c r="AP976" s="1486"/>
      <c r="AQ976" s="1487"/>
      <c r="AR976" s="68"/>
      <c r="AS976" s="68"/>
      <c r="AT976" s="68"/>
      <c r="AU976" s="68"/>
      <c r="AV976" s="68"/>
      <c r="AW976" s="68"/>
      <c r="AX976" s="68"/>
      <c r="AY976" s="68"/>
      <c r="AZ976" s="34"/>
      <c r="BA976" s="941">
        <f>ROUNDDOWN(X1017/I1017,2)</f>
        <v>0.33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25" customHeight="1">
      <c r="A977" s="14"/>
      <c r="B977" s="73"/>
      <c r="C977" s="74"/>
      <c r="D977" s="1465" t="s">
        <v>1453</v>
      </c>
      <c r="E977" s="1466"/>
      <c r="F977" s="1466"/>
      <c r="G977" s="1466"/>
      <c r="H977" s="1466"/>
      <c r="I977" s="1466"/>
      <c r="J977" s="1466"/>
      <c r="K977" s="1466"/>
      <c r="L977" s="1466"/>
      <c r="M977" s="1466"/>
      <c r="N977" s="1466"/>
      <c r="O977" s="1466"/>
      <c r="P977" s="1466"/>
      <c r="Q977" s="1466"/>
      <c r="R977" s="1466"/>
      <c r="S977" s="1466"/>
      <c r="T977" s="1466"/>
      <c r="U977" s="1466"/>
      <c r="V977" s="1466"/>
      <c r="W977" s="1466"/>
      <c r="X977" s="1466"/>
      <c r="Y977" s="1466"/>
      <c r="Z977" s="1466"/>
      <c r="AA977" s="1466"/>
      <c r="AB977" s="1466"/>
      <c r="AC977" s="1466"/>
      <c r="AD977" s="1466"/>
      <c r="AE977" s="1467"/>
      <c r="AF977" s="77"/>
      <c r="AG977" s="7"/>
      <c r="AH977" s="7"/>
      <c r="AI977" s="78"/>
      <c r="AJ977" s="1491"/>
      <c r="AK977" s="1492"/>
      <c r="AL977" s="1492"/>
      <c r="AM977" s="1492"/>
      <c r="AN977" s="1492"/>
      <c r="AO977" s="1492"/>
      <c r="AP977" s="1492"/>
      <c r="AQ977" s="1493"/>
      <c r="AR977" s="68"/>
      <c r="AS977" s="68"/>
      <c r="AT977" s="68"/>
      <c r="AU977" s="68"/>
      <c r="AV977" s="68"/>
      <c r="AW977" s="68"/>
      <c r="AX977" s="68"/>
      <c r="AY977" s="68"/>
      <c r="BB977" s="34"/>
      <c r="BC977" s="34"/>
      <c r="BD977" s="34"/>
      <c r="BE977" s="34"/>
      <c r="BF977" s="34"/>
    </row>
    <row r="978" spans="1:58" ht="13.25" customHeight="1">
      <c r="A978" s="14"/>
      <c r="B978" s="79"/>
      <c r="C978" s="80" t="s">
        <v>217</v>
      </c>
      <c r="D978" s="1452" t="s">
        <v>1454</v>
      </c>
      <c r="E978" s="1453"/>
      <c r="F978" s="1453"/>
      <c r="G978" s="1453"/>
      <c r="H978" s="1453"/>
      <c r="I978" s="1453"/>
      <c r="J978" s="1453"/>
      <c r="K978" s="1453"/>
      <c r="L978" s="1453"/>
      <c r="M978" s="1453"/>
      <c r="N978" s="1453"/>
      <c r="O978" s="1453"/>
      <c r="P978" s="1453"/>
      <c r="Q978" s="1453"/>
      <c r="R978" s="1453"/>
      <c r="S978" s="1453"/>
      <c r="T978" s="1453"/>
      <c r="U978" s="1453"/>
      <c r="V978" s="1453"/>
      <c r="W978" s="1453"/>
      <c r="X978" s="1453"/>
      <c r="Y978" s="1453"/>
      <c r="Z978" s="1453"/>
      <c r="AA978" s="1453"/>
      <c r="AB978" s="1453"/>
      <c r="AC978" s="1453"/>
      <c r="AD978" s="1453"/>
      <c r="AE978" s="1454"/>
      <c r="AF978" s="79"/>
      <c r="AG978" s="1460" t="s">
        <v>679</v>
      </c>
      <c r="AH978" s="1461"/>
      <c r="AI978" s="79"/>
      <c r="AJ978" s="1485">
        <f>ROUND(IF(AG978="yes",AJ961*0.02,0),0)</f>
        <v>0</v>
      </c>
      <c r="AK978" s="1486"/>
      <c r="AL978" s="1486"/>
      <c r="AM978" s="1486"/>
      <c r="AN978" s="1486"/>
      <c r="AO978" s="1486"/>
      <c r="AP978" s="1486"/>
      <c r="AQ978" s="1487"/>
      <c r="AR978" s="68"/>
      <c r="AS978" s="68"/>
      <c r="AT978" s="68"/>
      <c r="AU978" s="68"/>
      <c r="AV978" s="68"/>
      <c r="AW978" s="68"/>
      <c r="AX978" s="68"/>
      <c r="AY978" s="68"/>
    </row>
    <row r="979" spans="1:58" ht="13.25" customHeight="1">
      <c r="A979" s="14"/>
      <c r="B979" s="73"/>
      <c r="C979" s="74"/>
      <c r="D979" s="1440" t="s">
        <v>1455</v>
      </c>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2"/>
      <c r="AF979" s="73"/>
      <c r="AI979" s="14"/>
      <c r="AJ979" s="1488"/>
      <c r="AK979" s="1489"/>
      <c r="AL979" s="1489"/>
      <c r="AM979" s="1489"/>
      <c r="AN979" s="1489"/>
      <c r="AO979" s="1489"/>
      <c r="AP979" s="1489"/>
      <c r="AQ979" s="1490"/>
      <c r="AR979" s="68"/>
      <c r="AS979" s="68"/>
      <c r="AT979" s="68"/>
      <c r="AU979" s="68"/>
      <c r="AV979" s="68"/>
      <c r="AW979" s="68"/>
      <c r="AX979" s="68"/>
      <c r="AY979" s="68"/>
    </row>
    <row r="980" spans="1:58" ht="13.25" customHeight="1">
      <c r="A980" s="14"/>
      <c r="B980" s="75"/>
      <c r="C980" s="76"/>
      <c r="D980" s="1465"/>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7"/>
      <c r="AF980" s="77"/>
      <c r="AG980" s="7"/>
      <c r="AH980" s="7"/>
      <c r="AI980" s="78"/>
      <c r="AJ980" s="1491"/>
      <c r="AK980" s="1492"/>
      <c r="AL980" s="1492"/>
      <c r="AM980" s="1492"/>
      <c r="AN980" s="1492"/>
      <c r="AO980" s="1492"/>
      <c r="AP980" s="1492"/>
      <c r="AQ980" s="1493"/>
      <c r="AR980" s="68"/>
      <c r="AS980" s="68"/>
      <c r="AT980" s="68"/>
      <c r="AU980" s="68"/>
      <c r="AV980" s="68"/>
      <c r="AW980" s="68"/>
      <c r="AX980" s="68"/>
      <c r="AY980" s="68"/>
    </row>
    <row r="981" spans="1:58" ht="13.25" customHeight="1">
      <c r="A981" s="14"/>
      <c r="B981" s="79"/>
      <c r="C981" s="80" t="s">
        <v>220</v>
      </c>
      <c r="D981" s="1462" t="s">
        <v>1456</v>
      </c>
      <c r="E981" s="1463"/>
      <c r="F981" s="1463"/>
      <c r="G981" s="1463"/>
      <c r="H981" s="1463"/>
      <c r="I981" s="1463"/>
      <c r="J981" s="1463"/>
      <c r="K981" s="1463"/>
      <c r="L981" s="1463"/>
      <c r="M981" s="1463"/>
      <c r="N981" s="1463"/>
      <c r="O981" s="1463"/>
      <c r="P981" s="1463"/>
      <c r="Q981" s="1463"/>
      <c r="R981" s="1463"/>
      <c r="S981" s="1463"/>
      <c r="T981" s="1463"/>
      <c r="U981" s="1463"/>
      <c r="V981" s="1463"/>
      <c r="W981" s="1463"/>
      <c r="X981" s="1463"/>
      <c r="Y981" s="1463"/>
      <c r="Z981" s="1463"/>
      <c r="AA981" s="1463"/>
      <c r="AB981" s="1463"/>
      <c r="AC981" s="1463"/>
      <c r="AD981" s="1463"/>
      <c r="AE981" s="1464"/>
      <c r="AF981" s="79"/>
      <c r="AG981" s="1460" t="s">
        <v>679</v>
      </c>
      <c r="AH981" s="1461"/>
      <c r="AI981" s="87"/>
      <c r="AJ981" s="1485">
        <f>IF(AG981="yes",AJ961*BA981,0)</f>
        <v>0</v>
      </c>
      <c r="AK981" s="1486"/>
      <c r="AL981" s="1486"/>
      <c r="AM981" s="1486"/>
      <c r="AN981" s="1486"/>
      <c r="AO981" s="1486"/>
      <c r="AP981" s="1486"/>
      <c r="AQ981" s="1487"/>
      <c r="AR981" s="68"/>
      <c r="AS981" s="68"/>
      <c r="AT981" s="68"/>
      <c r="AU981" s="68"/>
      <c r="AV981" s="68"/>
      <c r="AW981" s="68"/>
      <c r="AX981" s="68"/>
      <c r="AY981" s="68"/>
      <c r="BA981" s="215">
        <f>IF(SUM(BA983:BA991)&lt;=0.1,SUM(BA983:BA991),0.1)</f>
        <v>0</v>
      </c>
    </row>
    <row r="982" spans="1:58" ht="13.25" customHeight="1">
      <c r="A982" s="14"/>
      <c r="B982" s="73"/>
      <c r="C982" s="74"/>
      <c r="D982" s="1440" t="s">
        <v>1457</v>
      </c>
      <c r="E982" s="1441"/>
      <c r="F982" s="1441"/>
      <c r="G982" s="1441"/>
      <c r="H982" s="1441"/>
      <c r="I982" s="1441"/>
      <c r="J982" s="1441"/>
      <c r="K982" s="1441"/>
      <c r="L982" s="1441"/>
      <c r="M982" s="1441"/>
      <c r="N982" s="1441"/>
      <c r="O982" s="1441"/>
      <c r="P982" s="1441"/>
      <c r="Q982" s="1441"/>
      <c r="R982" s="1441"/>
      <c r="S982" s="1441"/>
      <c r="T982" s="1441"/>
      <c r="U982" s="1441"/>
      <c r="V982" s="1441"/>
      <c r="W982" s="1441"/>
      <c r="X982" s="1441"/>
      <c r="Y982" s="1441"/>
      <c r="Z982" s="1441"/>
      <c r="AA982" s="1441"/>
      <c r="AB982" s="1441"/>
      <c r="AC982" s="1441"/>
      <c r="AD982" s="1441"/>
      <c r="AE982" s="1442"/>
      <c r="AF982" s="73"/>
      <c r="AG982" s="14"/>
      <c r="AH982" s="14"/>
      <c r="AI982" s="83"/>
      <c r="AJ982" s="1488"/>
      <c r="AK982" s="1489"/>
      <c r="AL982" s="1489"/>
      <c r="AM982" s="1489"/>
      <c r="AN982" s="1489"/>
      <c r="AO982" s="1489"/>
      <c r="AP982" s="1489"/>
      <c r="AQ982" s="1490"/>
      <c r="AR982" s="68"/>
      <c r="AS982" s="68"/>
      <c r="AT982" s="68"/>
      <c r="AU982" s="68"/>
      <c r="AV982" s="68"/>
      <c r="AW982" s="68"/>
      <c r="AX982" s="68"/>
      <c r="AY982" s="68"/>
    </row>
    <row r="983" spans="1:58" ht="13.25" customHeight="1">
      <c r="A983" s="14"/>
      <c r="B983" s="73"/>
      <c r="C983" s="74"/>
      <c r="D983" s="1440"/>
      <c r="E983" s="1441"/>
      <c r="F983" s="1441"/>
      <c r="G983" s="1441"/>
      <c r="H983" s="1441"/>
      <c r="I983" s="1441"/>
      <c r="J983" s="1441"/>
      <c r="K983" s="1441"/>
      <c r="L983" s="1441"/>
      <c r="M983" s="1441"/>
      <c r="N983" s="1441"/>
      <c r="O983" s="1441"/>
      <c r="P983" s="1441"/>
      <c r="Q983" s="1441"/>
      <c r="R983" s="1441"/>
      <c r="S983" s="1441"/>
      <c r="T983" s="1441"/>
      <c r="U983" s="1441"/>
      <c r="V983" s="1441"/>
      <c r="W983" s="1441"/>
      <c r="X983" s="1441"/>
      <c r="Y983" s="1441"/>
      <c r="Z983" s="1441"/>
      <c r="AA983" s="1441"/>
      <c r="AB983" s="1441"/>
      <c r="AC983" s="1441"/>
      <c r="AD983" s="1441"/>
      <c r="AE983" s="1442"/>
      <c r="AF983" s="73"/>
      <c r="AG983" s="14"/>
      <c r="AH983" s="14"/>
      <c r="AI983" s="83"/>
      <c r="AJ983" s="1488"/>
      <c r="AK983" s="1489"/>
      <c r="AL983" s="1489"/>
      <c r="AM983" s="1489"/>
      <c r="AN983" s="1489"/>
      <c r="AO983" s="1489"/>
      <c r="AP983" s="1489"/>
      <c r="AQ983" s="1490"/>
      <c r="AR983" s="68"/>
      <c r="AS983" s="68"/>
      <c r="AT983" s="68"/>
      <c r="AU983" s="68"/>
      <c r="AV983" s="68"/>
      <c r="AW983" s="68"/>
      <c r="AX983" s="68"/>
      <c r="AY983" s="68"/>
      <c r="BA983" s="213">
        <f>IF(A1030="Yes",0.05,0)</f>
        <v>0</v>
      </c>
    </row>
    <row r="984" spans="1:58" ht="13.25" customHeight="1">
      <c r="A984" s="14"/>
      <c r="B984" s="81"/>
      <c r="C984" s="82"/>
      <c r="D984" s="1465"/>
      <c r="E984" s="1466"/>
      <c r="F984" s="1466"/>
      <c r="G984" s="1466"/>
      <c r="H984" s="1466"/>
      <c r="I984" s="1466"/>
      <c r="J984" s="1466"/>
      <c r="K984" s="1466"/>
      <c r="L984" s="1466"/>
      <c r="M984" s="1466"/>
      <c r="N984" s="1466"/>
      <c r="O984" s="1466"/>
      <c r="P984" s="1466"/>
      <c r="Q984" s="1466"/>
      <c r="R984" s="1466"/>
      <c r="S984" s="1466"/>
      <c r="T984" s="1466"/>
      <c r="U984" s="1466"/>
      <c r="V984" s="1466"/>
      <c r="W984" s="1466"/>
      <c r="X984" s="1466"/>
      <c r="Y984" s="1466"/>
      <c r="Z984" s="1466"/>
      <c r="AA984" s="1466"/>
      <c r="AB984" s="1466"/>
      <c r="AC984" s="1466"/>
      <c r="AD984" s="1466"/>
      <c r="AE984" s="1467"/>
      <c r="AF984" s="77"/>
      <c r="AG984" s="7"/>
      <c r="AH984" s="7"/>
      <c r="AI984" s="78"/>
      <c r="AJ984" s="1491"/>
      <c r="AK984" s="1492"/>
      <c r="AL984" s="1492"/>
      <c r="AM984" s="1492"/>
      <c r="AN984" s="1492"/>
      <c r="AO984" s="1492"/>
      <c r="AP984" s="1492"/>
      <c r="AQ984" s="1493"/>
      <c r="AR984" s="68"/>
      <c r="AS984" s="68"/>
      <c r="AT984" s="68"/>
      <c r="AU984" s="68"/>
      <c r="AV984" s="68"/>
      <c r="AW984" s="68"/>
      <c r="AX984" s="68"/>
      <c r="AY984" s="68"/>
      <c r="BA984" s="213">
        <f>IF(A1036="Yes",0.02,0)</f>
        <v>0</v>
      </c>
    </row>
    <row r="985" spans="1:58" ht="13.25" customHeight="1">
      <c r="A985" s="14"/>
      <c r="B985" s="79"/>
      <c r="C985" s="80" t="s">
        <v>225</v>
      </c>
      <c r="D985" s="1506" t="s">
        <v>1458</v>
      </c>
      <c r="E985" s="1507"/>
      <c r="F985" s="1507"/>
      <c r="G985" s="1507"/>
      <c r="H985" s="1507"/>
      <c r="I985" s="1507"/>
      <c r="J985" s="1507"/>
      <c r="K985" s="1507"/>
      <c r="L985" s="1507"/>
      <c r="M985" s="1507"/>
      <c r="N985" s="1507"/>
      <c r="O985" s="1507"/>
      <c r="P985" s="1507"/>
      <c r="Q985" s="1507"/>
      <c r="R985" s="1507"/>
      <c r="S985" s="1507"/>
      <c r="T985" s="1507"/>
      <c r="U985" s="1507"/>
      <c r="V985" s="1507"/>
      <c r="W985" s="1507"/>
      <c r="X985" s="1507"/>
      <c r="Y985" s="1507"/>
      <c r="Z985" s="1507"/>
      <c r="AA985" s="1507"/>
      <c r="AB985" s="1507"/>
      <c r="AC985" s="1507"/>
      <c r="AD985" s="1507"/>
      <c r="AE985" s="1508"/>
      <c r="AF985" s="79"/>
      <c r="AG985" s="1460" t="s">
        <v>679</v>
      </c>
      <c r="AH985" s="1461"/>
      <c r="AI985" s="87"/>
      <c r="AJ985" s="1485">
        <f>ROUND(IF(AG985="Yes",MIN(AF988,(0.15*AJ961)),0),0)</f>
        <v>0</v>
      </c>
      <c r="AK985" s="1486"/>
      <c r="AL985" s="1486"/>
      <c r="AM985" s="1486"/>
      <c r="AN985" s="1486"/>
      <c r="AO985" s="1486"/>
      <c r="AP985" s="1486"/>
      <c r="AQ985" s="1487"/>
      <c r="AR985" s="68"/>
      <c r="AS985" s="68"/>
      <c r="AT985" s="68"/>
      <c r="AU985" s="68"/>
      <c r="AV985" s="68"/>
      <c r="AW985" s="68"/>
      <c r="AX985" s="68"/>
      <c r="AY985" s="68"/>
      <c r="BA985" s="213">
        <f>IF(A1042="Yes",0.04,0)</f>
        <v>0</v>
      </c>
    </row>
    <row r="986" spans="1:58" ht="13.25" customHeight="1">
      <c r="A986" s="14"/>
      <c r="B986" s="81"/>
      <c r="C986" s="84"/>
      <c r="D986" s="1509"/>
      <c r="E986" s="1510"/>
      <c r="F986" s="1510"/>
      <c r="G986" s="1510"/>
      <c r="H986" s="1510"/>
      <c r="I986" s="1510"/>
      <c r="J986" s="1510"/>
      <c r="K986" s="1510"/>
      <c r="L986" s="1510"/>
      <c r="M986" s="1510"/>
      <c r="N986" s="1510"/>
      <c r="O986" s="1510"/>
      <c r="P986" s="1510"/>
      <c r="Q986" s="1510"/>
      <c r="R986" s="1510"/>
      <c r="S986" s="1510"/>
      <c r="T986" s="1510"/>
      <c r="U986" s="1510"/>
      <c r="V986" s="1510"/>
      <c r="W986" s="1510"/>
      <c r="X986" s="1510"/>
      <c r="Y986" s="1510"/>
      <c r="Z986" s="1510"/>
      <c r="AA986" s="1510"/>
      <c r="AB986" s="1510"/>
      <c r="AC986" s="1510"/>
      <c r="AD986" s="1510"/>
      <c r="AE986" s="1511"/>
      <c r="AF986" s="1468" t="str">
        <f>IF(AG985="yes","Please Select Type and Enter Amount:","")</f>
        <v/>
      </c>
      <c r="AG986" s="1469"/>
      <c r="AH986" s="1469"/>
      <c r="AI986" s="1470"/>
      <c r="AJ986" s="1488"/>
      <c r="AK986" s="1489"/>
      <c r="AL986" s="1489"/>
      <c r="AM986" s="1489"/>
      <c r="AN986" s="1489"/>
      <c r="AO986" s="1489"/>
      <c r="AP986" s="1489"/>
      <c r="AQ986" s="1490"/>
      <c r="AR986" s="68"/>
      <c r="AS986" s="68"/>
      <c r="AT986" s="68"/>
      <c r="AU986" s="68"/>
      <c r="AV986" s="68"/>
      <c r="AW986" s="68"/>
      <c r="AX986" s="68"/>
      <c r="AY986" s="68"/>
      <c r="BA986" s="213">
        <f>IF(A1049="Yes",0.04,0)</f>
        <v>0</v>
      </c>
    </row>
    <row r="987" spans="1:58" ht="13.25" customHeight="1">
      <c r="A987" s="14"/>
      <c r="B987" s="81"/>
      <c r="C987" s="84"/>
      <c r="D987" s="1440" t="s">
        <v>1459</v>
      </c>
      <c r="E987" s="1441"/>
      <c r="F987" s="1441"/>
      <c r="G987" s="1441"/>
      <c r="H987" s="1441"/>
      <c r="I987" s="1441"/>
      <c r="J987" s="1441"/>
      <c r="K987" s="1441"/>
      <c r="L987" s="1441"/>
      <c r="M987" s="1441"/>
      <c r="N987" s="1441"/>
      <c r="O987" s="1441"/>
      <c r="P987" s="1441"/>
      <c r="Q987" s="1441"/>
      <c r="R987" s="1441"/>
      <c r="S987" s="1441"/>
      <c r="T987" s="1441"/>
      <c r="U987" s="1441"/>
      <c r="V987" s="1441"/>
      <c r="W987" s="1441"/>
      <c r="X987" s="1441"/>
      <c r="Y987" s="1441"/>
      <c r="Z987" s="1441"/>
      <c r="AA987" s="1441"/>
      <c r="AB987" s="1441"/>
      <c r="AC987" s="1441"/>
      <c r="AD987" s="1441"/>
      <c r="AE987" s="1442"/>
      <c r="AF987" s="1468"/>
      <c r="AG987" s="1469"/>
      <c r="AH987" s="1469"/>
      <c r="AI987" s="1470"/>
      <c r="AJ987" s="1488"/>
      <c r="AK987" s="1489"/>
      <c r="AL987" s="1489"/>
      <c r="AM987" s="1489"/>
      <c r="AN987" s="1489"/>
      <c r="AO987" s="1489"/>
      <c r="AP987" s="1489"/>
      <c r="AQ987" s="1490"/>
      <c r="AR987" s="68"/>
      <c r="AS987" s="68"/>
      <c r="AT987" s="68"/>
      <c r="AU987" s="68"/>
      <c r="AV987" s="68"/>
      <c r="AW987" s="68"/>
      <c r="AX987" s="68"/>
      <c r="AY987" s="68"/>
      <c r="BA987" s="213">
        <f>IF(A1052="Yes",0.01,0)</f>
        <v>0</v>
      </c>
    </row>
    <row r="988" spans="1:58" ht="13.25" customHeight="1">
      <c r="A988" s="14"/>
      <c r="B988" s="81"/>
      <c r="C988" s="84"/>
      <c r="D988" s="1440"/>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2"/>
      <c r="AF988" s="1432"/>
      <c r="AG988" s="1432"/>
      <c r="AH988" s="1432"/>
      <c r="AI988" s="1432"/>
      <c r="AJ988" s="1488"/>
      <c r="AK988" s="1489"/>
      <c r="AL988" s="1489"/>
      <c r="AM988" s="1489"/>
      <c r="AN988" s="1489"/>
      <c r="AO988" s="1489"/>
      <c r="AP988" s="1489"/>
      <c r="AQ988" s="1490"/>
      <c r="AR988" s="68"/>
      <c r="AS988" s="68"/>
      <c r="AT988" s="68"/>
      <c r="AU988" s="68"/>
      <c r="AV988" s="68"/>
      <c r="AW988" s="68"/>
      <c r="AX988" s="68"/>
      <c r="AY988" s="68"/>
      <c r="BA988" s="213">
        <f>IF(A1057="Yes",0.01,0)</f>
        <v>0</v>
      </c>
    </row>
    <row r="989" spans="1:58" ht="13.25" customHeight="1">
      <c r="A989" s="14"/>
      <c r="B989" s="81"/>
      <c r="C989" s="84"/>
      <c r="D989" s="552" t="s">
        <v>361</v>
      </c>
      <c r="E989" s="90"/>
      <c r="F989" s="90"/>
      <c r="G989" s="104"/>
      <c r="H989" s="104"/>
      <c r="I989" s="49"/>
      <c r="J989" s="1443" t="s">
        <v>601</v>
      </c>
      <c r="K989" s="1444"/>
      <c r="L989" s="1444"/>
      <c r="M989" s="1444"/>
      <c r="N989" s="1444"/>
      <c r="O989" s="1444"/>
      <c r="P989" s="1444"/>
      <c r="Q989" s="1444"/>
      <c r="R989" s="1444"/>
      <c r="S989" s="1444"/>
      <c r="T989" s="1444"/>
      <c r="U989" s="1444"/>
      <c r="V989" s="1444"/>
      <c r="W989" s="1444"/>
      <c r="X989" s="1444"/>
      <c r="Y989" s="1444"/>
      <c r="Z989" s="1444"/>
      <c r="AA989" s="1444"/>
      <c r="AB989" s="1444"/>
      <c r="AC989" s="1444"/>
      <c r="AD989" s="1444"/>
      <c r="AE989" s="1445"/>
      <c r="AF989" s="1432"/>
      <c r="AG989" s="1432"/>
      <c r="AH989" s="1432"/>
      <c r="AI989" s="1432"/>
      <c r="AJ989" s="1491"/>
      <c r="AK989" s="1492"/>
      <c r="AL989" s="1492"/>
      <c r="AM989" s="1492"/>
      <c r="AN989" s="1492"/>
      <c r="AO989" s="1492"/>
      <c r="AP989" s="1492"/>
      <c r="AQ989" s="1493"/>
      <c r="AR989" s="68"/>
      <c r="AS989" s="68"/>
      <c r="AT989" s="68"/>
      <c r="AU989" s="68"/>
      <c r="AV989" s="68"/>
      <c r="AW989" s="68"/>
      <c r="AX989" s="68"/>
      <c r="AY989" s="68"/>
      <c r="BA989" s="213">
        <f>IF(A1060="Yes",0.01,0)</f>
        <v>0</v>
      </c>
    </row>
    <row r="990" spans="1:58" ht="13.25" customHeight="1">
      <c r="A990" s="14"/>
      <c r="B990" s="79"/>
      <c r="C990" s="80" t="s">
        <v>231</v>
      </c>
      <c r="D990" s="1452" t="s">
        <v>1460</v>
      </c>
      <c r="E990" s="1453"/>
      <c r="F990" s="1453"/>
      <c r="G990" s="1453"/>
      <c r="H990" s="1453"/>
      <c r="I990" s="1453"/>
      <c r="J990" s="1453"/>
      <c r="K990" s="1453"/>
      <c r="L990" s="1453"/>
      <c r="M990" s="1453"/>
      <c r="N990" s="1453"/>
      <c r="O990" s="1453"/>
      <c r="P990" s="1453"/>
      <c r="Q990" s="1453"/>
      <c r="R990" s="1453"/>
      <c r="S990" s="1453"/>
      <c r="T990" s="1453"/>
      <c r="U990" s="1453"/>
      <c r="V990" s="1453"/>
      <c r="W990" s="1453"/>
      <c r="X990" s="1453"/>
      <c r="Y990" s="1453"/>
      <c r="Z990" s="1453"/>
      <c r="AA990" s="1453"/>
      <c r="AB990" s="1453"/>
      <c r="AC990" s="1453"/>
      <c r="AD990" s="1453"/>
      <c r="AE990" s="1454"/>
      <c r="AF990" s="79"/>
      <c r="AG990" s="1460" t="s">
        <v>555</v>
      </c>
      <c r="AH990" s="1461"/>
      <c r="AI990" s="87"/>
      <c r="AJ990" s="1485">
        <f>ROUND(IF(AG990="Yes",AF992,0),0)</f>
        <v>5086799</v>
      </c>
      <c r="AK990" s="1486"/>
      <c r="AL990" s="1486"/>
      <c r="AM990" s="1486"/>
      <c r="AN990" s="1486"/>
      <c r="AO990" s="1486"/>
      <c r="AP990" s="1486"/>
      <c r="AQ990" s="1487"/>
      <c r="AR990" s="68"/>
      <c r="AS990" s="68"/>
      <c r="AT990" s="68"/>
      <c r="AU990" s="68"/>
      <c r="AV990" s="68"/>
      <c r="AW990" s="68"/>
      <c r="AX990" s="68"/>
      <c r="AY990" s="68"/>
      <c r="BA990" s="213">
        <f>IF(A1064="Yes",0.02,0)</f>
        <v>0</v>
      </c>
    </row>
    <row r="991" spans="1:58" ht="13.25" customHeight="1">
      <c r="A991" s="14"/>
      <c r="B991" s="73"/>
      <c r="C991" s="74"/>
      <c r="D991" s="1440" t="s">
        <v>1951</v>
      </c>
      <c r="E991" s="1441"/>
      <c r="F991" s="1441"/>
      <c r="G991" s="1441"/>
      <c r="H991" s="1441"/>
      <c r="I991" s="1441"/>
      <c r="J991" s="1441"/>
      <c r="K991" s="1441"/>
      <c r="L991" s="1441"/>
      <c r="M991" s="1441"/>
      <c r="N991" s="1441"/>
      <c r="O991" s="1441"/>
      <c r="P991" s="1441"/>
      <c r="Q991" s="1441"/>
      <c r="R991" s="1441"/>
      <c r="S991" s="1441"/>
      <c r="T991" s="1441"/>
      <c r="U991" s="1441"/>
      <c r="V991" s="1441"/>
      <c r="W991" s="1441"/>
      <c r="X991" s="1441"/>
      <c r="Y991" s="1441"/>
      <c r="Z991" s="1441"/>
      <c r="AA991" s="1441"/>
      <c r="AB991" s="1441"/>
      <c r="AC991" s="1441"/>
      <c r="AD991" s="1441"/>
      <c r="AE991" s="1442"/>
      <c r="AF991" s="1471" t="str">
        <f>IF(AG990="yes","Enter Amount:","")</f>
        <v>Enter Amount:</v>
      </c>
      <c r="AG991" s="1472"/>
      <c r="AH991" s="1472"/>
      <c r="AI991" s="1473"/>
      <c r="AJ991" s="1488"/>
      <c r="AK991" s="1489"/>
      <c r="AL991" s="1489"/>
      <c r="AM991" s="1489"/>
      <c r="AN991" s="1489"/>
      <c r="AO991" s="1489"/>
      <c r="AP991" s="1489"/>
      <c r="AQ991" s="1490"/>
      <c r="AR991" s="68"/>
      <c r="AS991" s="68"/>
      <c r="AT991" s="68"/>
      <c r="AU991" s="68"/>
      <c r="AV991" s="68"/>
      <c r="AW991" s="68"/>
      <c r="AX991" s="68"/>
      <c r="AY991" s="68"/>
      <c r="BA991" s="214">
        <f>IF(A1068="Yes",0.02,0)</f>
        <v>0</v>
      </c>
    </row>
    <row r="992" spans="1:58" ht="13.25" customHeight="1">
      <c r="A992" s="14"/>
      <c r="B992" s="73"/>
      <c r="C992" s="74"/>
      <c r="D992" s="1440"/>
      <c r="E992" s="1441"/>
      <c r="F992" s="1441"/>
      <c r="G992" s="1441"/>
      <c r="H992" s="1441"/>
      <c r="I992" s="1441"/>
      <c r="J992" s="1441"/>
      <c r="K992" s="1441"/>
      <c r="L992" s="1441"/>
      <c r="M992" s="1441"/>
      <c r="N992" s="1441"/>
      <c r="O992" s="1441"/>
      <c r="P992" s="1441"/>
      <c r="Q992" s="1441"/>
      <c r="R992" s="1441"/>
      <c r="S992" s="1441"/>
      <c r="T992" s="1441"/>
      <c r="U992" s="1441"/>
      <c r="V992" s="1441"/>
      <c r="W992" s="1441"/>
      <c r="X992" s="1441"/>
      <c r="Y992" s="1441"/>
      <c r="Z992" s="1441"/>
      <c r="AA992" s="1441"/>
      <c r="AB992" s="1441"/>
      <c r="AC992" s="1441"/>
      <c r="AD992" s="1441"/>
      <c r="AE992" s="1442"/>
      <c r="AF992" s="1432">
        <f>+'Sources and Uses Budget'!B85</f>
        <v>5086799</v>
      </c>
      <c r="AG992" s="1432"/>
      <c r="AH992" s="1432"/>
      <c r="AI992" s="1432"/>
      <c r="AJ992" s="1488"/>
      <c r="AK992" s="1489"/>
      <c r="AL992" s="1489"/>
      <c r="AM992" s="1489"/>
      <c r="AN992" s="1489"/>
      <c r="AO992" s="1489"/>
      <c r="AP992" s="1489"/>
      <c r="AQ992" s="1490"/>
      <c r="AR992" s="68"/>
      <c r="AS992" s="68"/>
      <c r="AT992" s="68"/>
      <c r="AU992" s="68"/>
      <c r="AV992" s="68"/>
      <c r="AW992" s="68"/>
      <c r="AX992" s="68"/>
      <c r="AY992" s="68"/>
    </row>
    <row r="993" spans="1:51" ht="13.25" customHeight="1">
      <c r="A993" s="14"/>
      <c r="B993" s="85"/>
      <c r="C993" s="84"/>
      <c r="D993" s="1465"/>
      <c r="E993" s="1466"/>
      <c r="F993" s="1466"/>
      <c r="G993" s="1466"/>
      <c r="H993" s="1466"/>
      <c r="I993" s="1466"/>
      <c r="J993" s="1466"/>
      <c r="K993" s="1466"/>
      <c r="L993" s="1466"/>
      <c r="M993" s="1466"/>
      <c r="N993" s="1466"/>
      <c r="O993" s="1466"/>
      <c r="P993" s="1466"/>
      <c r="Q993" s="1466"/>
      <c r="R993" s="1466"/>
      <c r="S993" s="1466"/>
      <c r="T993" s="1466"/>
      <c r="U993" s="1466"/>
      <c r="V993" s="1466"/>
      <c r="W993" s="1466"/>
      <c r="X993" s="1466"/>
      <c r="Y993" s="1466"/>
      <c r="Z993" s="1466"/>
      <c r="AA993" s="1466"/>
      <c r="AB993" s="1466"/>
      <c r="AC993" s="1466"/>
      <c r="AD993" s="1466"/>
      <c r="AE993" s="1467"/>
      <c r="AF993" s="1432"/>
      <c r="AG993" s="1432"/>
      <c r="AH993" s="1432"/>
      <c r="AI993" s="1432"/>
      <c r="AJ993" s="1491"/>
      <c r="AK993" s="1492"/>
      <c r="AL993" s="1492"/>
      <c r="AM993" s="1492"/>
      <c r="AN993" s="1492"/>
      <c r="AO993" s="1492"/>
      <c r="AP993" s="1492"/>
      <c r="AQ993" s="1493"/>
      <c r="AR993" s="68"/>
      <c r="AS993" s="68"/>
      <c r="AT993" s="68"/>
      <c r="AU993" s="68"/>
      <c r="AV993" s="68"/>
      <c r="AW993" s="68"/>
      <c r="AX993" s="68"/>
      <c r="AY993" s="68"/>
    </row>
    <row r="994" spans="1:51" ht="13.25" customHeight="1">
      <c r="A994" s="14"/>
      <c r="B994" s="79"/>
      <c r="C994" s="80" t="s">
        <v>236</v>
      </c>
      <c r="D994" s="1462" t="s">
        <v>1461</v>
      </c>
      <c r="E994" s="1463"/>
      <c r="F994" s="1463"/>
      <c r="G994" s="1463"/>
      <c r="H994" s="1463"/>
      <c r="I994" s="1463"/>
      <c r="J994" s="1463"/>
      <c r="K994" s="1463"/>
      <c r="L994" s="1463"/>
      <c r="M994" s="1463"/>
      <c r="N994" s="1463"/>
      <c r="O994" s="1463"/>
      <c r="P994" s="1463"/>
      <c r="Q994" s="1463"/>
      <c r="R994" s="1463"/>
      <c r="S994" s="1463"/>
      <c r="T994" s="1463"/>
      <c r="U994" s="1463"/>
      <c r="V994" s="1463"/>
      <c r="W994" s="1463"/>
      <c r="X994" s="1463"/>
      <c r="Y994" s="1463"/>
      <c r="Z994" s="1463"/>
      <c r="AA994" s="1463"/>
      <c r="AB994" s="1463"/>
      <c r="AC994" s="1463"/>
      <c r="AD994" s="1463"/>
      <c r="AE994" s="1464"/>
      <c r="AF994" s="79"/>
      <c r="AG994" s="1460" t="s">
        <v>555</v>
      </c>
      <c r="AH994" s="1461"/>
      <c r="AI994" s="87"/>
      <c r="AJ994" s="1485">
        <f>ROUND(IF(AG994="yes",(AJ961*0.1),0),0)</f>
        <v>10437330</v>
      </c>
      <c r="AK994" s="1486"/>
      <c r="AL994" s="1486"/>
      <c r="AM994" s="1486"/>
      <c r="AN994" s="1486"/>
      <c r="AO994" s="1486"/>
      <c r="AP994" s="1486"/>
      <c r="AQ994" s="1487"/>
      <c r="AR994" s="68"/>
      <c r="AS994" s="68"/>
      <c r="AT994" s="68"/>
      <c r="AU994" s="68"/>
      <c r="AV994" s="68"/>
      <c r="AW994" s="68"/>
      <c r="AX994" s="68"/>
      <c r="AY994" s="68"/>
    </row>
    <row r="995" spans="1:51" ht="13.25" customHeight="1">
      <c r="A995" s="14"/>
      <c r="B995" s="73"/>
      <c r="C995" s="74"/>
      <c r="D995" s="1440" t="s">
        <v>1462</v>
      </c>
      <c r="E995" s="1441"/>
      <c r="F995" s="1441"/>
      <c r="G995" s="1441"/>
      <c r="H995" s="1441"/>
      <c r="I995" s="1441"/>
      <c r="J995" s="1441"/>
      <c r="K995" s="1441"/>
      <c r="L995" s="1441"/>
      <c r="M995" s="1441"/>
      <c r="N995" s="1441"/>
      <c r="O995" s="1441"/>
      <c r="P995" s="1441"/>
      <c r="Q995" s="1441"/>
      <c r="R995" s="1441"/>
      <c r="S995" s="1441"/>
      <c r="T995" s="1441"/>
      <c r="U995" s="1441"/>
      <c r="V995" s="1441"/>
      <c r="W995" s="1441"/>
      <c r="X995" s="1441"/>
      <c r="Y995" s="1441"/>
      <c r="Z995" s="1441"/>
      <c r="AA995" s="1441"/>
      <c r="AB995" s="1441"/>
      <c r="AC995" s="1441"/>
      <c r="AD995" s="1441"/>
      <c r="AE995" s="1442"/>
      <c r="AF995" s="73"/>
      <c r="AG995" s="14"/>
      <c r="AH995" s="14"/>
      <c r="AI995" s="83"/>
      <c r="AJ995" s="1488"/>
      <c r="AK995" s="1489"/>
      <c r="AL995" s="1489"/>
      <c r="AM995" s="1489"/>
      <c r="AN995" s="1489"/>
      <c r="AO995" s="1489"/>
      <c r="AP995" s="1489"/>
      <c r="AQ995" s="1490"/>
      <c r="AR995" s="68"/>
      <c r="AS995" s="68"/>
      <c r="AT995" s="68"/>
      <c r="AU995" s="68"/>
      <c r="AV995" s="68"/>
      <c r="AW995" s="68"/>
      <c r="AX995" s="68"/>
      <c r="AY995" s="68"/>
    </row>
    <row r="996" spans="1:51" ht="13.25" customHeight="1">
      <c r="A996" s="14"/>
      <c r="B996" s="77"/>
      <c r="C996" s="74"/>
      <c r="D996" s="1465"/>
      <c r="E996" s="1466"/>
      <c r="F996" s="1466"/>
      <c r="G996" s="1466"/>
      <c r="H996" s="1466"/>
      <c r="I996" s="1466"/>
      <c r="J996" s="1466"/>
      <c r="K996" s="1466"/>
      <c r="L996" s="1466"/>
      <c r="M996" s="1466"/>
      <c r="N996" s="1466"/>
      <c r="O996" s="1466"/>
      <c r="P996" s="1466"/>
      <c r="Q996" s="1466"/>
      <c r="R996" s="1466"/>
      <c r="S996" s="1466"/>
      <c r="T996" s="1466"/>
      <c r="U996" s="1466"/>
      <c r="V996" s="1466"/>
      <c r="W996" s="1466"/>
      <c r="X996" s="1466"/>
      <c r="Y996" s="1466"/>
      <c r="Z996" s="1466"/>
      <c r="AA996" s="1466"/>
      <c r="AB996" s="1466"/>
      <c r="AC996" s="1466"/>
      <c r="AD996" s="1466"/>
      <c r="AE996" s="1467"/>
      <c r="AF996" s="73"/>
      <c r="AG996" s="14"/>
      <c r="AH996" s="14"/>
      <c r="AI996" s="83"/>
      <c r="AJ996" s="1491"/>
      <c r="AK996" s="1492"/>
      <c r="AL996" s="1492"/>
      <c r="AM996" s="1492"/>
      <c r="AN996" s="1492"/>
      <c r="AO996" s="1492"/>
      <c r="AP996" s="1492"/>
      <c r="AQ996" s="1493"/>
      <c r="AR996" s="68"/>
      <c r="AS996" s="68"/>
      <c r="AT996" s="68"/>
      <c r="AU996" s="68"/>
      <c r="AV996" s="68"/>
      <c r="AW996" s="68"/>
      <c r="AX996" s="68"/>
      <c r="AY996" s="68"/>
    </row>
    <row r="997" spans="1:51" ht="13.25" customHeight="1">
      <c r="A997" s="14"/>
      <c r="B997" s="73"/>
      <c r="C997" s="359" t="s">
        <v>698</v>
      </c>
      <c r="D997" s="1452" t="s">
        <v>1947</v>
      </c>
      <c r="E997" s="1453"/>
      <c r="F997" s="1453"/>
      <c r="G997" s="1453"/>
      <c r="H997" s="1453"/>
      <c r="I997" s="1453"/>
      <c r="J997" s="1453"/>
      <c r="K997" s="1453"/>
      <c r="L997" s="1453"/>
      <c r="M997" s="1453"/>
      <c r="N997" s="1453"/>
      <c r="O997" s="1453"/>
      <c r="P997" s="1453"/>
      <c r="Q997" s="1453"/>
      <c r="R997" s="1453"/>
      <c r="S997" s="1453"/>
      <c r="T997" s="1453"/>
      <c r="U997" s="1453"/>
      <c r="V997" s="1453"/>
      <c r="W997" s="1453"/>
      <c r="X997" s="1453"/>
      <c r="Y997" s="1453"/>
      <c r="Z997" s="1453"/>
      <c r="AA997" s="1453"/>
      <c r="AB997" s="1453"/>
      <c r="AC997" s="1453"/>
      <c r="AD997" s="1453"/>
      <c r="AE997" s="1454"/>
      <c r="AF997" s="79"/>
      <c r="AG997" s="1460" t="s">
        <v>679</v>
      </c>
      <c r="AH997" s="1461"/>
      <c r="AI997" s="87"/>
      <c r="AJ997" s="1485">
        <f>ROUND(IF(AG997="yes",(AJ961*0.15),0),0)</f>
        <v>0</v>
      </c>
      <c r="AK997" s="1486"/>
      <c r="AL997" s="1486"/>
      <c r="AM997" s="1486"/>
      <c r="AN997" s="1486"/>
      <c r="AO997" s="1486"/>
      <c r="AP997" s="1486"/>
      <c r="AQ997" s="1487"/>
      <c r="AR997" s="68"/>
      <c r="AS997" s="68"/>
      <c r="AT997" s="68"/>
      <c r="AU997" s="68"/>
      <c r="AV997" s="68"/>
      <c r="AW997" s="68"/>
      <c r="AX997" s="68"/>
      <c r="AY997" s="68"/>
    </row>
    <row r="998" spans="1:51" ht="13.25" customHeight="1">
      <c r="A998" s="14"/>
      <c r="B998" s="73"/>
      <c r="C998" s="74"/>
      <c r="D998" s="1480" t="s">
        <v>1948</v>
      </c>
      <c r="E998" s="1263"/>
      <c r="F998" s="1263"/>
      <c r="G998" s="1263"/>
      <c r="H998" s="1263"/>
      <c r="I998" s="1263"/>
      <c r="J998" s="1263"/>
      <c r="K998" s="1263"/>
      <c r="L998" s="1263"/>
      <c r="M998" s="1263"/>
      <c r="N998" s="1263"/>
      <c r="O998" s="1263"/>
      <c r="P998" s="1263"/>
      <c r="Q998" s="1263"/>
      <c r="R998" s="1263"/>
      <c r="S998" s="1263"/>
      <c r="T998" s="1263"/>
      <c r="U998" s="1263"/>
      <c r="V998" s="1263"/>
      <c r="W998" s="1263"/>
      <c r="X998" s="1263"/>
      <c r="Y998" s="1263"/>
      <c r="Z998" s="1263"/>
      <c r="AA998" s="1263"/>
      <c r="AB998" s="1263"/>
      <c r="AC998" s="1263"/>
      <c r="AD998" s="1263"/>
      <c r="AE998" s="1481"/>
      <c r="AF998" s="943"/>
      <c r="AG998" s="944"/>
      <c r="AH998" s="944"/>
      <c r="AI998" s="945"/>
      <c r="AJ998" s="1488"/>
      <c r="AK998" s="1489"/>
      <c r="AL998" s="1489"/>
      <c r="AM998" s="1489"/>
      <c r="AN998" s="1489"/>
      <c r="AO998" s="1489"/>
      <c r="AP998" s="1489"/>
      <c r="AQ998" s="1490"/>
      <c r="AR998" s="68"/>
      <c r="AS998" s="68"/>
      <c r="AT998" s="68"/>
      <c r="AU998" s="68"/>
      <c r="AV998" s="68"/>
      <c r="AW998" s="68"/>
      <c r="AX998" s="68"/>
      <c r="AY998" s="68"/>
    </row>
    <row r="999" spans="1:51" ht="13.25" customHeight="1">
      <c r="A999" s="14"/>
      <c r="B999" s="73"/>
      <c r="C999" s="74"/>
      <c r="D999" s="1480"/>
      <c r="E999" s="1263"/>
      <c r="F999" s="1263"/>
      <c r="G999" s="1263"/>
      <c r="H999" s="1263"/>
      <c r="I999" s="1263"/>
      <c r="J999" s="1263"/>
      <c r="K999" s="1263"/>
      <c r="L999" s="1263"/>
      <c r="M999" s="1263"/>
      <c r="N999" s="1263"/>
      <c r="O999" s="1263"/>
      <c r="P999" s="1263"/>
      <c r="Q999" s="1263"/>
      <c r="R999" s="1263"/>
      <c r="S999" s="1263"/>
      <c r="T999" s="1263"/>
      <c r="U999" s="1263"/>
      <c r="V999" s="1263"/>
      <c r="W999" s="1263"/>
      <c r="X999" s="1263"/>
      <c r="Y999" s="1263"/>
      <c r="Z999" s="1263"/>
      <c r="AA999" s="1263"/>
      <c r="AB999" s="1263"/>
      <c r="AC999" s="1263"/>
      <c r="AD999" s="1263"/>
      <c r="AE999" s="1481"/>
      <c r="AF999" s="943"/>
      <c r="AG999" s="944"/>
      <c r="AH999" s="944"/>
      <c r="AI999" s="945"/>
      <c r="AJ999" s="1488"/>
      <c r="AK999" s="1489"/>
      <c r="AL999" s="1489"/>
      <c r="AM999" s="1489"/>
      <c r="AN999" s="1489"/>
      <c r="AO999" s="1489"/>
      <c r="AP999" s="1489"/>
      <c r="AQ999" s="1490"/>
      <c r="AR999" s="68"/>
      <c r="AS999" s="68"/>
      <c r="AT999" s="68"/>
      <c r="AU999" s="68"/>
      <c r="AV999" s="68"/>
      <c r="AW999" s="68"/>
      <c r="AX999" s="68"/>
      <c r="AY999" s="68"/>
    </row>
    <row r="1000" spans="1:51" ht="13.25" customHeight="1">
      <c r="A1000" s="14"/>
      <c r="B1000" s="73"/>
      <c r="C1000" s="74"/>
      <c r="D1000" s="1482"/>
      <c r="E1000" s="1483"/>
      <c r="F1000" s="1483"/>
      <c r="G1000" s="1483"/>
      <c r="H1000" s="1483"/>
      <c r="I1000" s="1483"/>
      <c r="J1000" s="1483"/>
      <c r="K1000" s="1483"/>
      <c r="L1000" s="1483"/>
      <c r="M1000" s="1483"/>
      <c r="N1000" s="1483"/>
      <c r="O1000" s="1483"/>
      <c r="P1000" s="1483"/>
      <c r="Q1000" s="1483"/>
      <c r="R1000" s="1483"/>
      <c r="S1000" s="1483"/>
      <c r="T1000" s="1483"/>
      <c r="U1000" s="1483"/>
      <c r="V1000" s="1483"/>
      <c r="W1000" s="1483"/>
      <c r="X1000" s="1483"/>
      <c r="Y1000" s="1483"/>
      <c r="Z1000" s="1483"/>
      <c r="AA1000" s="1483"/>
      <c r="AB1000" s="1483"/>
      <c r="AC1000" s="1483"/>
      <c r="AD1000" s="1483"/>
      <c r="AE1000" s="1484"/>
      <c r="AF1000" s="946"/>
      <c r="AG1000" s="947"/>
      <c r="AH1000" s="947"/>
      <c r="AI1000" s="948"/>
      <c r="AJ1000" s="1491"/>
      <c r="AK1000" s="1492"/>
      <c r="AL1000" s="1492"/>
      <c r="AM1000" s="1492"/>
      <c r="AN1000" s="1492"/>
      <c r="AO1000" s="1492"/>
      <c r="AP1000" s="1492"/>
      <c r="AQ1000" s="1493"/>
      <c r="AR1000" s="68"/>
      <c r="AS1000" s="68"/>
      <c r="AT1000" s="68"/>
      <c r="AU1000" s="68"/>
      <c r="AV1000" s="68"/>
      <c r="AW1000" s="68"/>
      <c r="AX1000" s="68"/>
      <c r="AY1000" s="68"/>
    </row>
    <row r="1001" spans="1:51" ht="13.25" customHeight="1">
      <c r="A1001" s="14"/>
      <c r="B1001" s="73"/>
      <c r="C1001" s="359" t="s">
        <v>698</v>
      </c>
      <c r="D1001" s="1462" t="s">
        <v>1949</v>
      </c>
      <c r="E1001" s="1463"/>
      <c r="F1001" s="1463"/>
      <c r="G1001" s="1463"/>
      <c r="H1001" s="1463"/>
      <c r="I1001" s="1463"/>
      <c r="J1001" s="1463"/>
      <c r="K1001" s="1463"/>
      <c r="L1001" s="1463"/>
      <c r="M1001" s="1463"/>
      <c r="N1001" s="1463"/>
      <c r="O1001" s="1463"/>
      <c r="P1001" s="1463"/>
      <c r="Q1001" s="1463"/>
      <c r="R1001" s="1463"/>
      <c r="S1001" s="1463"/>
      <c r="T1001" s="1463"/>
      <c r="U1001" s="1463"/>
      <c r="V1001" s="1463"/>
      <c r="W1001" s="1463"/>
      <c r="X1001" s="1463"/>
      <c r="Y1001" s="1463"/>
      <c r="Z1001" s="1463"/>
      <c r="AA1001" s="1463"/>
      <c r="AB1001" s="1463"/>
      <c r="AC1001" s="1463"/>
      <c r="AD1001" s="1463"/>
      <c r="AE1001" s="1464"/>
      <c r="AF1001" s="73"/>
      <c r="AG1001" s="1558" t="s">
        <v>679</v>
      </c>
      <c r="AH1001" s="1559"/>
      <c r="AI1001" s="83"/>
      <c r="AJ1001" s="1485">
        <f>ROUND(IF(AND(AG1001="yes",AJ997=0),(AJ961*0.1),0),0)</f>
        <v>0</v>
      </c>
      <c r="AK1001" s="1486"/>
      <c r="AL1001" s="1486"/>
      <c r="AM1001" s="1486"/>
      <c r="AN1001" s="1486"/>
      <c r="AO1001" s="1486"/>
      <c r="AP1001" s="1486"/>
      <c r="AQ1001" s="1487"/>
      <c r="AR1001" s="68"/>
      <c r="AS1001" s="68"/>
      <c r="AT1001" s="68"/>
      <c r="AU1001" s="68"/>
      <c r="AV1001" s="68"/>
      <c r="AW1001" s="68"/>
      <c r="AX1001" s="68"/>
      <c r="AY1001" s="68"/>
    </row>
    <row r="1002" spans="1:51" ht="13.25" customHeight="1">
      <c r="A1002" s="14"/>
      <c r="B1002" s="73"/>
      <c r="C1002" s="74"/>
      <c r="D1002" s="1480" t="s">
        <v>1950</v>
      </c>
      <c r="E1002" s="1263"/>
      <c r="F1002" s="1263"/>
      <c r="G1002" s="1263"/>
      <c r="H1002" s="1263"/>
      <c r="I1002" s="1263"/>
      <c r="J1002" s="1263"/>
      <c r="K1002" s="1263"/>
      <c r="L1002" s="1263"/>
      <c r="M1002" s="1263"/>
      <c r="N1002" s="1263"/>
      <c r="O1002" s="1263"/>
      <c r="P1002" s="1263"/>
      <c r="Q1002" s="1263"/>
      <c r="R1002" s="1263"/>
      <c r="S1002" s="1263"/>
      <c r="T1002" s="1263"/>
      <c r="U1002" s="1263"/>
      <c r="V1002" s="1263"/>
      <c r="W1002" s="1263"/>
      <c r="X1002" s="1263"/>
      <c r="Y1002" s="1263"/>
      <c r="Z1002" s="1263"/>
      <c r="AA1002" s="1263"/>
      <c r="AB1002" s="1263"/>
      <c r="AC1002" s="1263"/>
      <c r="AD1002" s="1263"/>
      <c r="AE1002" s="1481"/>
      <c r="AF1002" s="73"/>
      <c r="AG1002" s="14"/>
      <c r="AH1002" s="14"/>
      <c r="AI1002" s="83"/>
      <c r="AJ1002" s="1488"/>
      <c r="AK1002" s="1489"/>
      <c r="AL1002" s="1489"/>
      <c r="AM1002" s="1489"/>
      <c r="AN1002" s="1489"/>
      <c r="AO1002" s="1489"/>
      <c r="AP1002" s="1489"/>
      <c r="AQ1002" s="1490"/>
      <c r="AR1002" s="68"/>
      <c r="AS1002" s="68"/>
      <c r="AT1002" s="68"/>
      <c r="AU1002" s="68"/>
      <c r="AV1002" s="68"/>
      <c r="AW1002" s="68"/>
      <c r="AX1002" s="68"/>
      <c r="AY1002" s="68"/>
    </row>
    <row r="1003" spans="1:51" ht="13.25" customHeight="1">
      <c r="A1003" s="14"/>
      <c r="B1003" s="73"/>
      <c r="C1003" s="74"/>
      <c r="D1003" s="1480"/>
      <c r="E1003" s="1263"/>
      <c r="F1003" s="1263"/>
      <c r="G1003" s="1263"/>
      <c r="H1003" s="1263"/>
      <c r="I1003" s="1263"/>
      <c r="J1003" s="1263"/>
      <c r="K1003" s="1263"/>
      <c r="L1003" s="1263"/>
      <c r="M1003" s="1263"/>
      <c r="N1003" s="1263"/>
      <c r="O1003" s="1263"/>
      <c r="P1003" s="1263"/>
      <c r="Q1003" s="1263"/>
      <c r="R1003" s="1263"/>
      <c r="S1003" s="1263"/>
      <c r="T1003" s="1263"/>
      <c r="U1003" s="1263"/>
      <c r="V1003" s="1263"/>
      <c r="W1003" s="1263"/>
      <c r="X1003" s="1263"/>
      <c r="Y1003" s="1263"/>
      <c r="Z1003" s="1263"/>
      <c r="AA1003" s="1263"/>
      <c r="AB1003" s="1263"/>
      <c r="AC1003" s="1263"/>
      <c r="AD1003" s="1263"/>
      <c r="AE1003" s="1481"/>
      <c r="AF1003" s="73"/>
      <c r="AG1003" s="14"/>
      <c r="AH1003" s="14"/>
      <c r="AI1003" s="83"/>
      <c r="AJ1003" s="1488"/>
      <c r="AK1003" s="1489"/>
      <c r="AL1003" s="1489"/>
      <c r="AM1003" s="1489"/>
      <c r="AN1003" s="1489"/>
      <c r="AO1003" s="1489"/>
      <c r="AP1003" s="1489"/>
      <c r="AQ1003" s="1490"/>
      <c r="AR1003" s="68"/>
      <c r="AS1003" s="68"/>
      <c r="AT1003" s="68"/>
      <c r="AU1003" s="68"/>
      <c r="AV1003" s="68"/>
      <c r="AW1003" s="68"/>
      <c r="AX1003" s="68"/>
      <c r="AY1003" s="68"/>
    </row>
    <row r="1004" spans="1:51" ht="13.25" customHeight="1">
      <c r="A1004" s="14"/>
      <c r="B1004" s="73"/>
      <c r="C1004" s="74"/>
      <c r="D1004" s="1480"/>
      <c r="E1004" s="1263"/>
      <c r="F1004" s="1263"/>
      <c r="G1004" s="1263"/>
      <c r="H1004" s="1263"/>
      <c r="I1004" s="1263"/>
      <c r="J1004" s="1263"/>
      <c r="K1004" s="1263"/>
      <c r="L1004" s="1263"/>
      <c r="M1004" s="1263"/>
      <c r="N1004" s="1263"/>
      <c r="O1004" s="1263"/>
      <c r="P1004" s="1263"/>
      <c r="Q1004" s="1263"/>
      <c r="R1004" s="1263"/>
      <c r="S1004" s="1263"/>
      <c r="T1004" s="1263"/>
      <c r="U1004" s="1263"/>
      <c r="V1004" s="1263"/>
      <c r="W1004" s="1263"/>
      <c r="X1004" s="1263"/>
      <c r="Y1004" s="1263"/>
      <c r="Z1004" s="1263"/>
      <c r="AA1004" s="1263"/>
      <c r="AB1004" s="1263"/>
      <c r="AC1004" s="1263"/>
      <c r="AD1004" s="1263"/>
      <c r="AE1004" s="1481"/>
      <c r="AF1004" s="73"/>
      <c r="AG1004" s="14"/>
      <c r="AH1004" s="14"/>
      <c r="AI1004" s="83"/>
      <c r="AJ1004" s="1488"/>
      <c r="AK1004" s="1489"/>
      <c r="AL1004" s="1489"/>
      <c r="AM1004" s="1489"/>
      <c r="AN1004" s="1489"/>
      <c r="AO1004" s="1489"/>
      <c r="AP1004" s="1489"/>
      <c r="AQ1004" s="1490"/>
      <c r="AR1004" s="68"/>
      <c r="AS1004" s="68"/>
      <c r="AT1004" s="68"/>
      <c r="AU1004" s="68"/>
      <c r="AV1004" s="68"/>
      <c r="AW1004" s="68"/>
      <c r="AX1004" s="68"/>
      <c r="AY1004" s="68"/>
    </row>
    <row r="1005" spans="1:51" ht="13.25" customHeight="1">
      <c r="A1005" s="14"/>
      <c r="B1005" s="73"/>
      <c r="C1005" s="74"/>
      <c r="D1005" s="1482"/>
      <c r="E1005" s="1483"/>
      <c r="F1005" s="1483"/>
      <c r="G1005" s="1483"/>
      <c r="H1005" s="1483"/>
      <c r="I1005" s="1483"/>
      <c r="J1005" s="1483"/>
      <c r="K1005" s="1483"/>
      <c r="L1005" s="1483"/>
      <c r="M1005" s="1483"/>
      <c r="N1005" s="1483"/>
      <c r="O1005" s="1483"/>
      <c r="P1005" s="1483"/>
      <c r="Q1005" s="1483"/>
      <c r="R1005" s="1483"/>
      <c r="S1005" s="1483"/>
      <c r="T1005" s="1483"/>
      <c r="U1005" s="1483"/>
      <c r="V1005" s="1483"/>
      <c r="W1005" s="1483"/>
      <c r="X1005" s="1483"/>
      <c r="Y1005" s="1483"/>
      <c r="Z1005" s="1483"/>
      <c r="AA1005" s="1483"/>
      <c r="AB1005" s="1483"/>
      <c r="AC1005" s="1483"/>
      <c r="AD1005" s="1483"/>
      <c r="AE1005" s="1484"/>
      <c r="AF1005" s="73"/>
      <c r="AG1005" s="14"/>
      <c r="AH1005" s="14"/>
      <c r="AI1005" s="83"/>
      <c r="AJ1005" s="1488"/>
      <c r="AK1005" s="1489"/>
      <c r="AL1005" s="1489"/>
      <c r="AM1005" s="1489"/>
      <c r="AN1005" s="1489"/>
      <c r="AO1005" s="1489"/>
      <c r="AP1005" s="1489"/>
      <c r="AQ1005" s="1490"/>
      <c r="AR1005" s="68"/>
      <c r="AS1005" s="68"/>
      <c r="AT1005" s="68"/>
      <c r="AU1005" s="68"/>
      <c r="AV1005" s="68"/>
      <c r="AW1005" s="68"/>
      <c r="AX1005" s="68"/>
      <c r="AY1005" s="68"/>
    </row>
    <row r="1006" spans="1:51" ht="13.25" customHeight="1">
      <c r="A1006" s="14"/>
      <c r="B1006" s="79"/>
      <c r="C1006" s="131" t="s">
        <v>1067</v>
      </c>
      <c r="D1006" s="1452" t="s">
        <v>1463</v>
      </c>
      <c r="E1006" s="1453"/>
      <c r="F1006" s="1453"/>
      <c r="G1006" s="1453"/>
      <c r="H1006" s="1453"/>
      <c r="I1006" s="1453"/>
      <c r="J1006" s="1453"/>
      <c r="K1006" s="1453"/>
      <c r="L1006" s="1453"/>
      <c r="M1006" s="1453"/>
      <c r="N1006" s="1453"/>
      <c r="O1006" s="1453"/>
      <c r="P1006" s="1453"/>
      <c r="Q1006" s="1453"/>
      <c r="R1006" s="1453"/>
      <c r="S1006" s="1453"/>
      <c r="T1006" s="1453"/>
      <c r="U1006" s="1453"/>
      <c r="V1006" s="1453"/>
      <c r="W1006" s="1453"/>
      <c r="X1006" s="1453"/>
      <c r="Y1006" s="1453"/>
      <c r="Z1006" s="1453"/>
      <c r="AA1006" s="1453"/>
      <c r="AB1006" s="1453"/>
      <c r="AC1006" s="1453"/>
      <c r="AD1006" s="1453"/>
      <c r="AE1006" s="1454"/>
      <c r="AF1006" s="79"/>
      <c r="AG1006" s="1460" t="s">
        <v>679</v>
      </c>
      <c r="AH1006" s="1461"/>
      <c r="AI1006" s="87"/>
      <c r="AJ1006" s="1485">
        <f>ROUND(IF(AG1006="yes",(AJ961*0.1),0),0)</f>
        <v>0</v>
      </c>
      <c r="AK1006" s="1486"/>
      <c r="AL1006" s="1486"/>
      <c r="AM1006" s="1486"/>
      <c r="AN1006" s="1486"/>
      <c r="AO1006" s="1486"/>
      <c r="AP1006" s="1486"/>
      <c r="AQ1006" s="1487"/>
      <c r="AR1006" s="68"/>
      <c r="AS1006" s="68"/>
      <c r="AT1006" s="68"/>
      <c r="AU1006" s="68"/>
      <c r="AV1006" s="68"/>
      <c r="AW1006" s="68"/>
      <c r="AX1006" s="68"/>
      <c r="AY1006" s="68"/>
    </row>
    <row r="1007" spans="1:51" ht="13.25" customHeight="1">
      <c r="A1007" s="14"/>
      <c r="B1007" s="73"/>
      <c r="C1007" s="74"/>
      <c r="D1007" s="1440" t="s">
        <v>2516</v>
      </c>
      <c r="E1007" s="1441"/>
      <c r="F1007" s="1441"/>
      <c r="G1007" s="1441"/>
      <c r="H1007" s="1441"/>
      <c r="I1007" s="1441"/>
      <c r="J1007" s="1441"/>
      <c r="K1007" s="1441"/>
      <c r="L1007" s="1441"/>
      <c r="M1007" s="1441"/>
      <c r="N1007" s="1441"/>
      <c r="O1007" s="1441"/>
      <c r="P1007" s="1441"/>
      <c r="Q1007" s="1441"/>
      <c r="R1007" s="1441"/>
      <c r="S1007" s="1441"/>
      <c r="T1007" s="1441"/>
      <c r="U1007" s="1441"/>
      <c r="V1007" s="1441"/>
      <c r="W1007" s="1441"/>
      <c r="X1007" s="1441"/>
      <c r="Y1007" s="1441"/>
      <c r="Z1007" s="1441"/>
      <c r="AA1007" s="1441"/>
      <c r="AB1007" s="1441"/>
      <c r="AC1007" s="1441"/>
      <c r="AD1007" s="1441"/>
      <c r="AE1007" s="1442"/>
      <c r="AF1007" s="73"/>
      <c r="AG1007" s="14"/>
      <c r="AH1007" s="14"/>
      <c r="AI1007" s="83"/>
      <c r="AJ1007" s="1488"/>
      <c r="AK1007" s="1489"/>
      <c r="AL1007" s="1489"/>
      <c r="AM1007" s="1489"/>
      <c r="AN1007" s="1489"/>
      <c r="AO1007" s="1489"/>
      <c r="AP1007" s="1489"/>
      <c r="AQ1007" s="1490"/>
      <c r="AR1007" s="68"/>
      <c r="AS1007" s="68"/>
      <c r="AT1007" s="68"/>
      <c r="AU1007" s="68"/>
      <c r="AV1007" s="68"/>
      <c r="AW1007" s="68"/>
      <c r="AX1007" s="68"/>
      <c r="AY1007" s="68"/>
    </row>
    <row r="1008" spans="1:51" ht="13.25" customHeight="1">
      <c r="A1008" s="14"/>
      <c r="B1008" s="73"/>
      <c r="C1008" s="74"/>
      <c r="D1008" s="1440"/>
      <c r="E1008" s="1441"/>
      <c r="F1008" s="1441"/>
      <c r="G1008" s="1441"/>
      <c r="H1008" s="1441"/>
      <c r="I1008" s="1441"/>
      <c r="J1008" s="1441"/>
      <c r="K1008" s="1441"/>
      <c r="L1008" s="1441"/>
      <c r="M1008" s="1441"/>
      <c r="N1008" s="1441"/>
      <c r="O1008" s="1441"/>
      <c r="P1008" s="1441"/>
      <c r="Q1008" s="1441"/>
      <c r="R1008" s="1441"/>
      <c r="S1008" s="1441"/>
      <c r="T1008" s="1441"/>
      <c r="U1008" s="1441"/>
      <c r="V1008" s="1441"/>
      <c r="W1008" s="1441"/>
      <c r="X1008" s="1441"/>
      <c r="Y1008" s="1441"/>
      <c r="Z1008" s="1441"/>
      <c r="AA1008" s="1441"/>
      <c r="AB1008" s="1441"/>
      <c r="AC1008" s="1441"/>
      <c r="AD1008" s="1441"/>
      <c r="AE1008" s="1442"/>
      <c r="AF1008" s="73"/>
      <c r="AG1008" s="14"/>
      <c r="AH1008" s="14"/>
      <c r="AI1008" s="83"/>
      <c r="AJ1008" s="1488"/>
      <c r="AK1008" s="1489"/>
      <c r="AL1008" s="1489"/>
      <c r="AM1008" s="1489"/>
      <c r="AN1008" s="1489"/>
      <c r="AO1008" s="1489"/>
      <c r="AP1008" s="1489"/>
      <c r="AQ1008" s="1490"/>
      <c r="AR1008" s="68"/>
      <c r="AS1008" s="68"/>
      <c r="AT1008" s="68"/>
      <c r="AU1008" s="68"/>
      <c r="AV1008" s="68"/>
      <c r="AW1008" s="68"/>
      <c r="AX1008" s="68"/>
      <c r="AY1008" s="68"/>
    </row>
    <row r="1009" spans="1:51" ht="13.25" customHeight="1">
      <c r="A1009" s="14"/>
      <c r="B1009" s="73"/>
      <c r="C1009" s="74"/>
      <c r="D1009" s="1465"/>
      <c r="E1009" s="1466"/>
      <c r="F1009" s="1466"/>
      <c r="G1009" s="1466"/>
      <c r="H1009" s="1466"/>
      <c r="I1009" s="1466"/>
      <c r="J1009" s="1466"/>
      <c r="K1009" s="1466"/>
      <c r="L1009" s="1466"/>
      <c r="M1009" s="1466"/>
      <c r="N1009" s="1466"/>
      <c r="O1009" s="1466"/>
      <c r="P1009" s="1466"/>
      <c r="Q1009" s="1466"/>
      <c r="R1009" s="1466"/>
      <c r="S1009" s="1466"/>
      <c r="T1009" s="1466"/>
      <c r="U1009" s="1466"/>
      <c r="V1009" s="1466"/>
      <c r="W1009" s="1466"/>
      <c r="X1009" s="1466"/>
      <c r="Y1009" s="1466"/>
      <c r="Z1009" s="1466"/>
      <c r="AA1009" s="1466"/>
      <c r="AB1009" s="1466"/>
      <c r="AC1009" s="1466"/>
      <c r="AD1009" s="1466"/>
      <c r="AE1009" s="1467"/>
      <c r="AF1009" s="73"/>
      <c r="AG1009" s="14"/>
      <c r="AH1009" s="14"/>
      <c r="AI1009" s="83"/>
      <c r="AJ1009" s="1491"/>
      <c r="AK1009" s="1492"/>
      <c r="AL1009" s="1492"/>
      <c r="AM1009" s="1492"/>
      <c r="AN1009" s="1492"/>
      <c r="AO1009" s="1492"/>
      <c r="AP1009" s="1492"/>
      <c r="AQ1009" s="1493"/>
      <c r="AR1009" s="68"/>
      <c r="AS1009" s="68"/>
      <c r="AT1009" s="68"/>
      <c r="AU1009" s="68"/>
      <c r="AV1009" s="68"/>
      <c r="AW1009" s="68"/>
      <c r="AX1009" s="68"/>
      <c r="AY1009" s="68"/>
    </row>
    <row r="1010" spans="1:51" ht="13.25" customHeight="1">
      <c r="A1010" s="14"/>
      <c r="B1010" s="79"/>
      <c r="C1010" s="131" t="s">
        <v>1945</v>
      </c>
      <c r="D1010" s="1462" t="s">
        <v>2129</v>
      </c>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79"/>
      <c r="AG1010" s="1556" t="str">
        <f>IF(X1013&gt;0,"Yes","No")</f>
        <v>Yes</v>
      </c>
      <c r="AH1010" s="1557"/>
      <c r="AI1010" s="87"/>
      <c r="AJ1010" s="1485">
        <f>IF((X1013=0),0,BA975*AJ961)</f>
        <v>36530655</v>
      </c>
      <c r="AK1010" s="1486"/>
      <c r="AL1010" s="1486"/>
      <c r="AM1010" s="1486"/>
      <c r="AN1010" s="1486"/>
      <c r="AO1010" s="1486"/>
      <c r="AP1010" s="1486"/>
      <c r="AQ1010" s="1487"/>
      <c r="AR1010" s="68"/>
      <c r="AS1010" s="68"/>
      <c r="AT1010" s="68"/>
      <c r="AU1010" s="68"/>
      <c r="AV1010" s="68"/>
      <c r="AW1010" s="68"/>
      <c r="AX1010" s="68"/>
      <c r="AY1010" s="68"/>
    </row>
    <row r="1011" spans="1:51" ht="13.25" customHeight="1">
      <c r="A1011" s="14"/>
      <c r="B1011" s="73"/>
      <c r="C1011" s="468"/>
      <c r="D1011" s="1440" t="s">
        <v>1465</v>
      </c>
      <c r="E1011" s="1441"/>
      <c r="F1011" s="1441"/>
      <c r="G1011" s="1441"/>
      <c r="H1011" s="1441"/>
      <c r="I1011" s="1441"/>
      <c r="J1011" s="1441"/>
      <c r="K1011" s="1441"/>
      <c r="L1011" s="1441"/>
      <c r="M1011" s="1441"/>
      <c r="N1011" s="1441"/>
      <c r="O1011" s="1441"/>
      <c r="P1011" s="1441"/>
      <c r="Q1011" s="1441"/>
      <c r="R1011" s="1441"/>
      <c r="S1011" s="1441"/>
      <c r="T1011" s="1441"/>
      <c r="U1011" s="1441"/>
      <c r="V1011" s="1441"/>
      <c r="W1011" s="1441"/>
      <c r="X1011" s="1441"/>
      <c r="Y1011" s="1441"/>
      <c r="Z1011" s="1441"/>
      <c r="AA1011" s="1441"/>
      <c r="AB1011" s="1441"/>
      <c r="AC1011" s="1441"/>
      <c r="AD1011" s="1441"/>
      <c r="AE1011" s="1442"/>
      <c r="AF1011" s="73"/>
      <c r="AG1011" s="469"/>
      <c r="AH1011" s="469"/>
      <c r="AI1011" s="83"/>
      <c r="AJ1011" s="1488"/>
      <c r="AK1011" s="1489"/>
      <c r="AL1011" s="1489"/>
      <c r="AM1011" s="1489"/>
      <c r="AN1011" s="1489"/>
      <c r="AO1011" s="1489"/>
      <c r="AP1011" s="1489"/>
      <c r="AQ1011" s="1490"/>
      <c r="AR1011" s="68"/>
      <c r="AS1011" s="68"/>
      <c r="AT1011" s="68"/>
      <c r="AU1011" s="68"/>
      <c r="AV1011" s="68"/>
      <c r="AW1011" s="68"/>
      <c r="AX1011" s="68"/>
      <c r="AY1011" s="68"/>
    </row>
    <row r="1012" spans="1:51" ht="13.25" customHeight="1">
      <c r="A1012" s="14"/>
      <c r="B1012" s="73"/>
      <c r="C1012" s="468"/>
      <c r="D1012" s="1440"/>
      <c r="E1012" s="1441"/>
      <c r="F1012" s="1441"/>
      <c r="G1012" s="1441"/>
      <c r="H1012" s="1441"/>
      <c r="I1012" s="1441"/>
      <c r="J1012" s="1441"/>
      <c r="K1012" s="1441"/>
      <c r="L1012" s="1441"/>
      <c r="M1012" s="1441"/>
      <c r="N1012" s="1441"/>
      <c r="O1012" s="1441"/>
      <c r="P1012" s="1441"/>
      <c r="Q1012" s="1441"/>
      <c r="R1012" s="1441"/>
      <c r="S1012" s="1441"/>
      <c r="T1012" s="1441"/>
      <c r="U1012" s="1441"/>
      <c r="V1012" s="1441"/>
      <c r="W1012" s="1441"/>
      <c r="X1012" s="1441"/>
      <c r="Y1012" s="1441"/>
      <c r="Z1012" s="1441"/>
      <c r="AA1012" s="1441"/>
      <c r="AB1012" s="1441"/>
      <c r="AC1012" s="1441"/>
      <c r="AD1012" s="1441"/>
      <c r="AE1012" s="1442"/>
      <c r="AF1012" s="73"/>
      <c r="AG1012" s="469"/>
      <c r="AH1012" s="469"/>
      <c r="AI1012" s="83"/>
      <c r="AJ1012" s="1488"/>
      <c r="AK1012" s="1489"/>
      <c r="AL1012" s="1489"/>
      <c r="AM1012" s="1489"/>
      <c r="AN1012" s="1489"/>
      <c r="AO1012" s="1489"/>
      <c r="AP1012" s="1489"/>
      <c r="AQ1012" s="1490"/>
      <c r="AR1012" s="68"/>
      <c r="AS1012" s="68"/>
      <c r="AT1012" s="68"/>
      <c r="AU1012" s="68"/>
      <c r="AV1012" s="68"/>
      <c r="AW1012" s="68"/>
      <c r="AX1012" s="68"/>
      <c r="AY1012" s="68"/>
    </row>
    <row r="1013" spans="1:51" ht="13.25" customHeight="1">
      <c r="A1013" s="14"/>
      <c r="B1013" s="77"/>
      <c r="C1013" s="78"/>
      <c r="D1013" s="132" t="s">
        <v>1012</v>
      </c>
      <c r="E1013" s="133"/>
      <c r="F1013" s="133"/>
      <c r="G1013" s="133"/>
      <c r="H1013" s="133"/>
      <c r="I1013" s="1554">
        <f>BA973</f>
        <v>135</v>
      </c>
      <c r="J1013" s="1555"/>
      <c r="K1013" s="7"/>
      <c r="L1013" s="133"/>
      <c r="M1013" s="133"/>
      <c r="N1013" s="133"/>
      <c r="O1013" s="133"/>
      <c r="P1013" s="133"/>
      <c r="Q1013" s="133"/>
      <c r="R1013" s="133"/>
      <c r="S1013" s="133"/>
      <c r="T1013" s="133"/>
      <c r="U1013" s="133"/>
      <c r="V1013" s="134" t="s">
        <v>1013</v>
      </c>
      <c r="W1013" s="48"/>
      <c r="X1013" s="1552">
        <f>BG621</f>
        <v>48</v>
      </c>
      <c r="Y1013" s="1553"/>
      <c r="Z1013" s="48"/>
      <c r="AA1013" s="48"/>
      <c r="AB1013" s="48"/>
      <c r="AC1013" s="48"/>
      <c r="AD1013" s="48"/>
      <c r="AE1013" s="49"/>
      <c r="AF1013" s="952"/>
      <c r="AG1013" s="953"/>
      <c r="AH1013" s="953"/>
      <c r="AI1013" s="954"/>
      <c r="AJ1013" s="1491"/>
      <c r="AK1013" s="1492"/>
      <c r="AL1013" s="1492"/>
      <c r="AM1013" s="1492"/>
      <c r="AN1013" s="1492"/>
      <c r="AO1013" s="1492"/>
      <c r="AP1013" s="1492"/>
      <c r="AQ1013" s="1493"/>
      <c r="AR1013" s="68"/>
      <c r="AS1013" s="68"/>
      <c r="AT1013" s="68"/>
      <c r="AU1013" s="68"/>
      <c r="AV1013" s="68"/>
      <c r="AW1013" s="68"/>
      <c r="AX1013" s="68"/>
      <c r="AY1013" s="68"/>
    </row>
    <row r="1014" spans="1:51" ht="13.25" customHeight="1">
      <c r="A1014" s="14"/>
      <c r="B1014" s="79"/>
      <c r="C1014" s="131" t="s">
        <v>1946</v>
      </c>
      <c r="D1014" s="1452" t="s">
        <v>2130</v>
      </c>
      <c r="E1014" s="1453"/>
      <c r="F1014" s="1453"/>
      <c r="G1014" s="1453"/>
      <c r="H1014" s="1453"/>
      <c r="I1014" s="1453"/>
      <c r="J1014" s="1453"/>
      <c r="K1014" s="1453"/>
      <c r="L1014" s="1453"/>
      <c r="M1014" s="1453"/>
      <c r="N1014" s="1453"/>
      <c r="O1014" s="1453"/>
      <c r="P1014" s="1453"/>
      <c r="Q1014" s="1453"/>
      <c r="R1014" s="1453"/>
      <c r="S1014" s="1453"/>
      <c r="T1014" s="1453"/>
      <c r="U1014" s="1453"/>
      <c r="V1014" s="1453"/>
      <c r="W1014" s="1453"/>
      <c r="X1014" s="1453"/>
      <c r="Y1014" s="1453"/>
      <c r="Z1014" s="1453"/>
      <c r="AA1014" s="1453"/>
      <c r="AB1014" s="1453"/>
      <c r="AC1014" s="1453"/>
      <c r="AD1014" s="1453"/>
      <c r="AE1014" s="1454"/>
      <c r="AF1014" s="73"/>
      <c r="AG1014" s="1556" t="str">
        <f>IF(X1017&gt;0,"Yes","No")</f>
        <v>Yes</v>
      </c>
      <c r="AH1014" s="1557"/>
      <c r="AI1014" s="83"/>
      <c r="AJ1014" s="1485">
        <f>IF((X1017=0),0,(2*BA976)*AJ961)</f>
        <v>68886378</v>
      </c>
      <c r="AK1014" s="1486"/>
      <c r="AL1014" s="1486"/>
      <c r="AM1014" s="1486"/>
      <c r="AN1014" s="1486"/>
      <c r="AO1014" s="1486"/>
      <c r="AP1014" s="1486"/>
      <c r="AQ1014" s="1487"/>
      <c r="AR1014" s="68"/>
      <c r="AS1014" s="68"/>
      <c r="AT1014" s="68"/>
      <c r="AU1014" s="68"/>
      <c r="AV1014" s="68"/>
      <c r="AW1014" s="68"/>
      <c r="AX1014" s="68"/>
      <c r="AY1014" s="68"/>
    </row>
    <row r="1015" spans="1:51" ht="13.25" customHeight="1">
      <c r="A1015" s="14"/>
      <c r="B1015" s="73"/>
      <c r="C1015" s="468"/>
      <c r="D1015" s="1440" t="s">
        <v>1464</v>
      </c>
      <c r="E1015" s="1441"/>
      <c r="F1015" s="1441"/>
      <c r="G1015" s="1441"/>
      <c r="H1015" s="1441"/>
      <c r="I1015" s="1441"/>
      <c r="J1015" s="1441"/>
      <c r="K1015" s="1441"/>
      <c r="L1015" s="1441"/>
      <c r="M1015" s="1441"/>
      <c r="N1015" s="1441"/>
      <c r="O1015" s="1441"/>
      <c r="P1015" s="1441"/>
      <c r="Q1015" s="1441"/>
      <c r="R1015" s="1441"/>
      <c r="S1015" s="1441"/>
      <c r="T1015" s="1441"/>
      <c r="U1015" s="1441"/>
      <c r="V1015" s="1441"/>
      <c r="W1015" s="1441"/>
      <c r="X1015" s="1441"/>
      <c r="Y1015" s="1441"/>
      <c r="Z1015" s="1441"/>
      <c r="AA1015" s="1441"/>
      <c r="AB1015" s="1441"/>
      <c r="AC1015" s="1441"/>
      <c r="AD1015" s="1441"/>
      <c r="AE1015" s="1442"/>
      <c r="AF1015" s="73"/>
      <c r="AG1015" s="469"/>
      <c r="AH1015" s="469"/>
      <c r="AI1015" s="83"/>
      <c r="AJ1015" s="1488"/>
      <c r="AK1015" s="1489"/>
      <c r="AL1015" s="1489"/>
      <c r="AM1015" s="1489"/>
      <c r="AN1015" s="1489"/>
      <c r="AO1015" s="1489"/>
      <c r="AP1015" s="1489"/>
      <c r="AQ1015" s="1490"/>
      <c r="AR1015" s="68"/>
      <c r="AS1015" s="68"/>
      <c r="AT1015" s="68"/>
      <c r="AU1015" s="68"/>
      <c r="AV1015" s="68"/>
      <c r="AW1015" s="68"/>
      <c r="AX1015" s="68"/>
      <c r="AY1015" s="68"/>
    </row>
    <row r="1016" spans="1:51" ht="13.25" customHeight="1">
      <c r="A1016" s="14"/>
      <c r="B1016" s="73"/>
      <c r="C1016" s="83"/>
      <c r="D1016" s="1440"/>
      <c r="E1016" s="1441"/>
      <c r="F1016" s="1441"/>
      <c r="G1016" s="1441"/>
      <c r="H1016" s="1441"/>
      <c r="I1016" s="1441"/>
      <c r="J1016" s="1441"/>
      <c r="K1016" s="1441"/>
      <c r="L1016" s="1441"/>
      <c r="M1016" s="1441"/>
      <c r="N1016" s="1441"/>
      <c r="O1016" s="1441"/>
      <c r="P1016" s="1441"/>
      <c r="Q1016" s="1441"/>
      <c r="R1016" s="1441"/>
      <c r="S1016" s="1441"/>
      <c r="T1016" s="1441"/>
      <c r="U1016" s="1441"/>
      <c r="V1016" s="1441"/>
      <c r="W1016" s="1441"/>
      <c r="X1016" s="1441"/>
      <c r="Y1016" s="1441"/>
      <c r="Z1016" s="1441"/>
      <c r="AA1016" s="1441"/>
      <c r="AB1016" s="1441"/>
      <c r="AC1016" s="1441"/>
      <c r="AD1016" s="1441"/>
      <c r="AE1016" s="1442"/>
      <c r="AF1016" s="949"/>
      <c r="AG1016" s="950"/>
      <c r="AH1016" s="950"/>
      <c r="AI1016" s="951"/>
      <c r="AJ1016" s="1488"/>
      <c r="AK1016" s="1489"/>
      <c r="AL1016" s="1489"/>
      <c r="AM1016" s="1489"/>
      <c r="AN1016" s="1489"/>
      <c r="AO1016" s="1489"/>
      <c r="AP1016" s="1489"/>
      <c r="AQ1016" s="1490"/>
      <c r="AR1016" s="68"/>
      <c r="AS1016" s="68"/>
      <c r="AT1016" s="68"/>
      <c r="AU1016" s="68"/>
      <c r="AV1016" s="68"/>
      <c r="AW1016" s="68"/>
      <c r="AX1016" s="68"/>
      <c r="AY1016" s="68"/>
    </row>
    <row r="1017" spans="1:51" ht="13.25" customHeight="1">
      <c r="A1017" s="14"/>
      <c r="B1017" s="77"/>
      <c r="C1017" s="78"/>
      <c r="D1017" s="132" t="s">
        <v>1012</v>
      </c>
      <c r="E1017" s="133"/>
      <c r="F1017" s="133"/>
      <c r="G1017" s="133"/>
      <c r="H1017" s="133"/>
      <c r="I1017" s="1554">
        <f>BA973</f>
        <v>135</v>
      </c>
      <c r="J1017" s="1555"/>
      <c r="K1017" s="14"/>
      <c r="L1017" s="133"/>
      <c r="M1017" s="133"/>
      <c r="N1017" s="133"/>
      <c r="O1017" s="133"/>
      <c r="P1017" s="133"/>
      <c r="Q1017" s="133"/>
      <c r="R1017" s="133"/>
      <c r="S1017" s="133"/>
      <c r="T1017" s="133"/>
      <c r="U1017" s="133"/>
      <c r="V1017" s="134" t="s">
        <v>1014</v>
      </c>
      <c r="X1017" s="1552">
        <f>BK621</f>
        <v>45</v>
      </c>
      <c r="Y1017" s="1553"/>
      <c r="AF1017" s="952"/>
      <c r="AG1017" s="953"/>
      <c r="AH1017" s="953"/>
      <c r="AI1017" s="954"/>
      <c r="AJ1017" s="1491"/>
      <c r="AK1017" s="1492"/>
      <c r="AL1017" s="1492"/>
      <c r="AM1017" s="1492"/>
      <c r="AN1017" s="1492"/>
      <c r="AO1017" s="1492"/>
      <c r="AP1017" s="1492"/>
      <c r="AQ1017" s="1493"/>
      <c r="AR1017" s="68"/>
      <c r="AS1017" s="68"/>
      <c r="AT1017" s="68"/>
      <c r="AU1017" s="68"/>
      <c r="AV1017" s="68"/>
      <c r="AW1017" s="68"/>
      <c r="AX1017" s="68"/>
      <c r="AY1017" s="68"/>
    </row>
    <row r="1018" spans="1:51" ht="13.25" customHeight="1">
      <c r="A1018" s="14"/>
      <c r="B1018" s="102"/>
      <c r="C1018" s="103"/>
      <c r="D1018" s="1550" t="s">
        <v>523</v>
      </c>
      <c r="E1018" s="1550"/>
      <c r="F1018" s="1550"/>
      <c r="G1018" s="1550"/>
      <c r="H1018" s="1550"/>
      <c r="I1018" s="1550"/>
      <c r="J1018" s="1550"/>
      <c r="K1018" s="1550"/>
      <c r="L1018" s="1550"/>
      <c r="M1018" s="1550"/>
      <c r="N1018" s="1550"/>
      <c r="O1018" s="1550"/>
      <c r="P1018" s="1550"/>
      <c r="Q1018" s="1550"/>
      <c r="R1018" s="1550"/>
      <c r="S1018" s="1550"/>
      <c r="T1018" s="1550"/>
      <c r="U1018" s="1550"/>
      <c r="V1018" s="1550"/>
      <c r="W1018" s="1550"/>
      <c r="X1018" s="1550"/>
      <c r="Y1018" s="1550"/>
      <c r="Z1018" s="1550"/>
      <c r="AA1018" s="1550"/>
      <c r="AB1018" s="1550"/>
      <c r="AC1018" s="1550"/>
      <c r="AD1018" s="1550"/>
      <c r="AE1018" s="1550"/>
      <c r="AF1018" s="1550"/>
      <c r="AG1018" s="1550"/>
      <c r="AH1018" s="1550"/>
      <c r="AI1018" s="1551"/>
      <c r="AJ1018" s="1560">
        <f>SUM(AJ961:AQ1017)</f>
        <v>256626452</v>
      </c>
      <c r="AK1018" s="1561"/>
      <c r="AL1018" s="1561"/>
      <c r="AM1018" s="1561"/>
      <c r="AN1018" s="1561"/>
      <c r="AO1018" s="1561"/>
      <c r="AP1018" s="1561"/>
      <c r="AQ1018" s="1562"/>
      <c r="AR1018" s="68"/>
      <c r="AS1018" s="68"/>
      <c r="AT1018" s="68"/>
      <c r="AU1018" s="68"/>
      <c r="AV1018" s="68"/>
      <c r="AW1018" s="68"/>
      <c r="AX1018" s="68"/>
      <c r="AY1018" s="68"/>
    </row>
    <row r="1019" spans="1:51" ht="13.25" customHeight="1">
      <c r="A1019" s="14"/>
      <c r="B1019" s="14"/>
      <c r="C1019" s="222"/>
      <c r="D1019" s="227"/>
      <c r="E1019" s="227"/>
      <c r="F1019" s="227"/>
      <c r="G1019" s="227"/>
      <c r="H1019" s="227"/>
      <c r="I1019" s="227"/>
      <c r="J1019" s="227"/>
      <c r="K1019" s="227"/>
      <c r="L1019" s="227"/>
      <c r="M1019" s="227"/>
      <c r="N1019" s="227"/>
      <c r="O1019" s="227"/>
      <c r="P1019" s="227"/>
      <c r="Q1019" s="227"/>
      <c r="R1019" s="227"/>
      <c r="S1019" s="227"/>
      <c r="T1019" s="223"/>
      <c r="U1019" s="223"/>
      <c r="V1019" s="223"/>
      <c r="W1019" s="223"/>
      <c r="X1019" s="223"/>
      <c r="Y1019" s="223"/>
      <c r="Z1019" s="223"/>
      <c r="AA1019" s="223"/>
      <c r="AB1019" s="223"/>
      <c r="AC1019" s="223"/>
      <c r="AD1019" s="221"/>
      <c r="AE1019" s="221"/>
      <c r="AF1019" s="221"/>
      <c r="AG1019" s="221"/>
      <c r="AH1019" s="221"/>
      <c r="AI1019" s="221"/>
      <c r="AJ1019" s="221"/>
      <c r="AK1019" s="221"/>
      <c r="AL1019" s="68"/>
      <c r="AM1019" s="68"/>
      <c r="AN1019" s="68"/>
      <c r="AO1019" s="68"/>
      <c r="AP1019" s="68"/>
      <c r="AQ1019" s="68"/>
      <c r="AR1019" s="68"/>
      <c r="AS1019" s="68"/>
      <c r="AT1019" s="68"/>
      <c r="AU1019" s="68"/>
      <c r="AV1019" s="68"/>
      <c r="AW1019" s="68"/>
      <c r="AX1019" s="68"/>
      <c r="AY1019" s="68"/>
    </row>
    <row r="1020" spans="1:51" ht="13.2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2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2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2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25" customHeight="1">
      <c r="A1024" s="14"/>
      <c r="B1024" s="14"/>
      <c r="C1024" s="222"/>
      <c r="D1024" s="885"/>
      <c r="E1024" s="885"/>
      <c r="F1024" s="885"/>
      <c r="G1024" s="885"/>
      <c r="H1024" s="885"/>
      <c r="I1024" s="885"/>
      <c r="J1024" s="885"/>
      <c r="K1024" s="885"/>
      <c r="L1024" s="885"/>
      <c r="M1024" s="885"/>
      <c r="N1024" s="885"/>
      <c r="O1024" s="885"/>
      <c r="P1024" s="885"/>
      <c r="Q1024" s="885"/>
      <c r="R1024" s="885"/>
      <c r="S1024" s="885"/>
      <c r="T1024" s="885"/>
      <c r="U1024" s="885"/>
      <c r="V1024" s="885"/>
      <c r="W1024" s="885"/>
      <c r="X1024" s="885"/>
      <c r="Y1024" s="885"/>
      <c r="Z1024" s="885"/>
      <c r="AA1024" s="885"/>
      <c r="AB1024" s="885"/>
      <c r="AC1024" s="885"/>
      <c r="AD1024" s="885"/>
      <c r="AE1024" s="885"/>
      <c r="AF1024" s="885"/>
      <c r="AG1024" s="885"/>
      <c r="AH1024" s="885"/>
      <c r="AI1024" s="885"/>
      <c r="AJ1024" s="885"/>
      <c r="AK1024" s="885"/>
      <c r="AL1024" s="68"/>
      <c r="AM1024" s="68"/>
      <c r="AN1024" s="68"/>
      <c r="AO1024" s="68"/>
      <c r="AP1024" s="68"/>
      <c r="AQ1024" s="68"/>
      <c r="AR1024" s="68"/>
      <c r="AS1024" s="68"/>
      <c r="AT1024" s="68"/>
      <c r="AU1024" s="68"/>
      <c r="AV1024" s="68"/>
      <c r="AW1024" s="68"/>
      <c r="AX1024" s="68"/>
      <c r="AY1024" s="68"/>
    </row>
    <row r="1025" spans="1:51" ht="13.25" customHeight="1">
      <c r="A1025" s="88"/>
      <c r="B1025" s="1638">
        <f>IF(ISNA(IF((AJ985&gt;(AJ961*0.15)),"(f) cannot be greater than 15% of unadjusted eligible basis.",0)),"",(IF((AJ985&gt;(AJ961*0.15)),"(f) cannot be greater than 15% of unadjusted eligible basis.",0)))</f>
        <v>0</v>
      </c>
      <c r="C1025" s="1638"/>
      <c r="D1025" s="1638"/>
      <c r="E1025" s="1638"/>
      <c r="F1025" s="1638"/>
      <c r="G1025" s="1638"/>
      <c r="H1025" s="1638"/>
      <c r="I1025" s="1638"/>
      <c r="J1025" s="1638"/>
      <c r="K1025" s="1638"/>
      <c r="L1025" s="1638"/>
      <c r="M1025" s="1638"/>
      <c r="N1025" s="1638"/>
      <c r="O1025" s="1638"/>
      <c r="P1025" s="1638"/>
      <c r="Q1025" s="1638"/>
      <c r="R1025" s="1638"/>
      <c r="S1025" s="1638"/>
      <c r="T1025" s="1638"/>
      <c r="U1025" s="1638"/>
      <c r="V1025" s="1638"/>
      <c r="W1025" s="1638"/>
      <c r="X1025" s="1638"/>
      <c r="Y1025" s="1638"/>
      <c r="Z1025" s="1638"/>
      <c r="AA1025" s="1638"/>
      <c r="AB1025" s="1638"/>
      <c r="AC1025" s="1638"/>
      <c r="AD1025" s="1638"/>
      <c r="AE1025" s="1638"/>
      <c r="AF1025" s="1638"/>
      <c r="AG1025" s="1638"/>
      <c r="AH1025" s="1638"/>
      <c r="AI1025" s="1638"/>
      <c r="AJ1025" s="1638"/>
      <c r="AK1025" s="1638"/>
      <c r="AL1025" s="68"/>
      <c r="AM1025" s="68"/>
      <c r="AN1025" s="68"/>
      <c r="AO1025" s="68"/>
      <c r="AP1025" s="68"/>
      <c r="AQ1025" s="68"/>
      <c r="AR1025" s="68"/>
      <c r="AS1025" s="68"/>
      <c r="AT1025" s="68"/>
      <c r="AU1025" s="68"/>
      <c r="AV1025" s="68"/>
      <c r="AW1025" s="68"/>
      <c r="AX1025" s="68"/>
      <c r="AY1025" s="68"/>
    </row>
    <row r="1026" spans="1:51" ht="13.25" customHeight="1" thickBot="1">
      <c r="A1026" s="1673" t="s">
        <v>819</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3.2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2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2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25" customHeight="1">
      <c r="A1030" s="1351" t="s">
        <v>601</v>
      </c>
      <c r="B1030" s="1351"/>
      <c r="C1030" s="8">
        <v>1</v>
      </c>
      <c r="D1030" s="1259" t="s">
        <v>1170</v>
      </c>
      <c r="E1030" s="1259"/>
      <c r="F1030" s="1259"/>
      <c r="G1030" s="1259"/>
      <c r="H1030" s="1259"/>
      <c r="I1030" s="1259"/>
      <c r="J1030" s="1259"/>
      <c r="K1030" s="1259"/>
      <c r="L1030" s="1259"/>
      <c r="M1030" s="1259"/>
      <c r="N1030" s="1259"/>
      <c r="O1030" s="1259"/>
      <c r="P1030" s="1259"/>
      <c r="Q1030" s="1259"/>
      <c r="R1030" s="1259"/>
      <c r="S1030" s="1259"/>
      <c r="T1030" s="1259"/>
      <c r="U1030" s="1259"/>
      <c r="V1030" s="1259"/>
      <c r="W1030" s="1259"/>
      <c r="X1030" s="1259"/>
      <c r="Y1030" s="1259"/>
      <c r="Z1030" s="1259"/>
      <c r="AA1030" s="1259"/>
      <c r="AB1030" s="1259"/>
      <c r="AC1030" s="1259"/>
      <c r="AD1030" s="1259"/>
      <c r="AE1030" s="1259"/>
      <c r="AF1030" s="1259"/>
      <c r="AG1030" s="1259"/>
      <c r="AH1030" s="1259"/>
      <c r="AI1030" s="1259"/>
      <c r="AJ1030" s="1259"/>
      <c r="AK1030" s="1259"/>
      <c r="AL1030" s="68"/>
      <c r="AM1030" s="68"/>
      <c r="AN1030" s="68"/>
      <c r="AO1030" s="68"/>
      <c r="AP1030" s="68"/>
      <c r="AQ1030" s="68"/>
      <c r="AR1030" s="68"/>
      <c r="AS1030" s="68"/>
      <c r="AT1030" s="68"/>
      <c r="AU1030" s="68"/>
      <c r="AV1030" s="68"/>
      <c r="AW1030" s="68"/>
      <c r="AX1030" s="68"/>
      <c r="AY1030" s="68"/>
    </row>
    <row r="1031" spans="1:51" ht="13.25" customHeight="1">
      <c r="A1031" s="1"/>
      <c r="B1031" s="1"/>
      <c r="C1031" s="8"/>
      <c r="D1031" s="1259"/>
      <c r="E1031" s="1259"/>
      <c r="F1031" s="1259"/>
      <c r="G1031" s="1259"/>
      <c r="H1031" s="1259"/>
      <c r="I1031" s="1259"/>
      <c r="J1031" s="1259"/>
      <c r="K1031" s="1259"/>
      <c r="L1031" s="1259"/>
      <c r="M1031" s="1259"/>
      <c r="N1031" s="1259"/>
      <c r="O1031" s="1259"/>
      <c r="P1031" s="1259"/>
      <c r="Q1031" s="1259"/>
      <c r="R1031" s="1259"/>
      <c r="S1031" s="1259"/>
      <c r="T1031" s="1259"/>
      <c r="U1031" s="1259"/>
      <c r="V1031" s="1259"/>
      <c r="W1031" s="1259"/>
      <c r="X1031" s="1259"/>
      <c r="Y1031" s="1259"/>
      <c r="Z1031" s="1259"/>
      <c r="AA1031" s="1259"/>
      <c r="AB1031" s="1259"/>
      <c r="AC1031" s="1259"/>
      <c r="AD1031" s="1259"/>
      <c r="AE1031" s="1259"/>
      <c r="AF1031" s="1259"/>
      <c r="AG1031" s="1259"/>
      <c r="AH1031" s="1259"/>
      <c r="AI1031" s="1259"/>
      <c r="AJ1031" s="1259"/>
      <c r="AK1031" s="1259"/>
      <c r="AL1031" s="68"/>
      <c r="AM1031" s="68"/>
      <c r="AN1031" s="68"/>
      <c r="AO1031" s="68"/>
      <c r="AP1031" s="68"/>
      <c r="AQ1031" s="68"/>
      <c r="AR1031" s="68"/>
      <c r="AS1031" s="68"/>
      <c r="AT1031" s="68"/>
      <c r="AU1031" s="68"/>
      <c r="AV1031" s="68"/>
      <c r="AW1031" s="68"/>
      <c r="AX1031" s="68"/>
      <c r="AY1031" s="68"/>
    </row>
    <row r="1032" spans="1:51" ht="13.25" customHeight="1">
      <c r="A1032" s="1"/>
      <c r="B1032" s="1"/>
      <c r="C1032" s="8"/>
      <c r="D1032" s="1259"/>
      <c r="E1032" s="1259"/>
      <c r="F1032" s="1259"/>
      <c r="G1032" s="1259"/>
      <c r="H1032" s="1259"/>
      <c r="I1032" s="1259"/>
      <c r="J1032" s="1259"/>
      <c r="K1032" s="1259"/>
      <c r="L1032" s="1259"/>
      <c r="M1032" s="1259"/>
      <c r="N1032" s="1259"/>
      <c r="O1032" s="1259"/>
      <c r="P1032" s="1259"/>
      <c r="Q1032" s="1259"/>
      <c r="R1032" s="1259"/>
      <c r="S1032" s="1259"/>
      <c r="T1032" s="1259"/>
      <c r="U1032" s="1259"/>
      <c r="V1032" s="1259"/>
      <c r="W1032" s="1259"/>
      <c r="X1032" s="1259"/>
      <c r="Y1032" s="1259"/>
      <c r="Z1032" s="1259"/>
      <c r="AA1032" s="1259"/>
      <c r="AB1032" s="1259"/>
      <c r="AC1032" s="1259"/>
      <c r="AD1032" s="1259"/>
      <c r="AE1032" s="1259"/>
      <c r="AF1032" s="1259"/>
      <c r="AG1032" s="1259"/>
      <c r="AH1032" s="1259"/>
      <c r="AI1032" s="1259"/>
      <c r="AJ1032" s="1259"/>
      <c r="AK1032" s="1259"/>
      <c r="AL1032" s="68"/>
      <c r="AM1032" s="68"/>
      <c r="AN1032" s="68"/>
      <c r="AO1032" s="68"/>
      <c r="AP1032" s="68"/>
      <c r="AQ1032" s="68"/>
      <c r="AR1032" s="68"/>
      <c r="AS1032" s="68"/>
      <c r="AT1032" s="68"/>
      <c r="AU1032" s="68"/>
      <c r="AV1032" s="68"/>
      <c r="AW1032" s="68"/>
      <c r="AX1032" s="68"/>
      <c r="AY1032" s="68"/>
    </row>
    <row r="1033" spans="1:51" ht="13.25" customHeight="1">
      <c r="A1033" s="1"/>
      <c r="B1033" s="1"/>
      <c r="C1033" s="8"/>
      <c r="D1033" s="1259"/>
      <c r="E1033" s="1259"/>
      <c r="F1033" s="1259"/>
      <c r="G1033" s="1259"/>
      <c r="H1033" s="1259"/>
      <c r="I1033" s="1259"/>
      <c r="J1033" s="1259"/>
      <c r="K1033" s="1259"/>
      <c r="L1033" s="1259"/>
      <c r="M1033" s="1259"/>
      <c r="N1033" s="1259"/>
      <c r="O1033" s="1259"/>
      <c r="P1033" s="1259"/>
      <c r="Q1033" s="1259"/>
      <c r="R1033" s="1259"/>
      <c r="S1033" s="1259"/>
      <c r="T1033" s="1259"/>
      <c r="U1033" s="1259"/>
      <c r="V1033" s="1259"/>
      <c r="W1033" s="1259"/>
      <c r="X1033" s="1259"/>
      <c r="Y1033" s="1259"/>
      <c r="Z1033" s="1259"/>
      <c r="AA1033" s="1259"/>
      <c r="AB1033" s="1259"/>
      <c r="AC1033" s="1259"/>
      <c r="AD1033" s="1259"/>
      <c r="AE1033" s="1259"/>
      <c r="AF1033" s="1259"/>
      <c r="AG1033" s="1259"/>
      <c r="AH1033" s="1259"/>
      <c r="AI1033" s="1259"/>
      <c r="AJ1033" s="1259"/>
      <c r="AK1033" s="1259"/>
      <c r="AL1033" s="68"/>
      <c r="AM1033" s="68"/>
      <c r="AN1033" s="68"/>
      <c r="AO1033" s="68"/>
      <c r="AP1033" s="68"/>
      <c r="AQ1033" s="68"/>
      <c r="AR1033" s="68"/>
      <c r="AS1033" s="68"/>
      <c r="AT1033" s="68"/>
      <c r="AU1033" s="68"/>
      <c r="AV1033" s="68"/>
      <c r="AW1033" s="68"/>
      <c r="AX1033" s="68"/>
      <c r="AY1033" s="68"/>
    </row>
    <row r="1034" spans="1:51" ht="13.25" customHeight="1">
      <c r="A1034" s="1"/>
      <c r="B1034" s="1"/>
      <c r="C1034" s="8"/>
      <c r="D1034" s="1259"/>
      <c r="E1034" s="1259"/>
      <c r="F1034" s="1259"/>
      <c r="G1034" s="1259"/>
      <c r="H1034" s="1259"/>
      <c r="I1034" s="1259"/>
      <c r="J1034" s="1259"/>
      <c r="K1034" s="1259"/>
      <c r="L1034" s="1259"/>
      <c r="M1034" s="1259"/>
      <c r="N1034" s="1259"/>
      <c r="O1034" s="1259"/>
      <c r="P1034" s="1259"/>
      <c r="Q1034" s="1259"/>
      <c r="R1034" s="1259"/>
      <c r="S1034" s="1259"/>
      <c r="T1034" s="1259"/>
      <c r="U1034" s="1259"/>
      <c r="V1034" s="1259"/>
      <c r="W1034" s="1259"/>
      <c r="X1034" s="1259"/>
      <c r="Y1034" s="1259"/>
      <c r="Z1034" s="1259"/>
      <c r="AA1034" s="1259"/>
      <c r="AB1034" s="1259"/>
      <c r="AC1034" s="1259"/>
      <c r="AD1034" s="1259"/>
      <c r="AE1034" s="1259"/>
      <c r="AF1034" s="1259"/>
      <c r="AG1034" s="1259"/>
      <c r="AH1034" s="1259"/>
      <c r="AI1034" s="1259"/>
      <c r="AJ1034" s="1259"/>
      <c r="AK1034" s="1259"/>
      <c r="AL1034" s="68"/>
      <c r="AM1034" s="68"/>
      <c r="AN1034" s="68"/>
      <c r="AO1034" s="68"/>
      <c r="AP1034" s="68"/>
      <c r="AQ1034" s="68"/>
      <c r="AR1034" s="68"/>
      <c r="AS1034" s="68"/>
      <c r="AT1034" s="68"/>
      <c r="AU1034" s="68"/>
      <c r="AV1034" s="68"/>
      <c r="AW1034" s="68"/>
      <c r="AX1034" s="68"/>
      <c r="AY1034" s="68"/>
    </row>
    <row r="1035" spans="1:51" ht="13.25" customHeight="1">
      <c r="A1035" s="2"/>
      <c r="B1035" s="25"/>
      <c r="C1035" s="8"/>
      <c r="D1035" s="1259"/>
      <c r="E1035" s="1259"/>
      <c r="F1035" s="1259"/>
      <c r="G1035" s="1259"/>
      <c r="H1035" s="1259"/>
      <c r="I1035" s="1259"/>
      <c r="J1035" s="1259"/>
      <c r="K1035" s="1259"/>
      <c r="L1035" s="1259"/>
      <c r="M1035" s="1259"/>
      <c r="N1035" s="1259"/>
      <c r="O1035" s="1259"/>
      <c r="P1035" s="1259"/>
      <c r="Q1035" s="1259"/>
      <c r="R1035" s="1259"/>
      <c r="S1035" s="1259"/>
      <c r="T1035" s="1259"/>
      <c r="U1035" s="1259"/>
      <c r="V1035" s="1259"/>
      <c r="W1035" s="1259"/>
      <c r="X1035" s="1259"/>
      <c r="Y1035" s="1259"/>
      <c r="Z1035" s="1259"/>
      <c r="AA1035" s="1259"/>
      <c r="AB1035" s="1259"/>
      <c r="AC1035" s="1259"/>
      <c r="AD1035" s="1259"/>
      <c r="AE1035" s="1259"/>
      <c r="AF1035" s="1259"/>
      <c r="AG1035" s="1259"/>
      <c r="AH1035" s="1259"/>
      <c r="AI1035" s="1259"/>
      <c r="AJ1035" s="1259"/>
      <c r="AK1035" s="1259"/>
      <c r="AL1035" s="68"/>
      <c r="AM1035" s="68"/>
      <c r="AN1035" s="68"/>
      <c r="AO1035" s="68"/>
      <c r="AP1035" s="68"/>
      <c r="AQ1035" s="68"/>
      <c r="AR1035" s="68"/>
      <c r="AS1035" s="68"/>
      <c r="AT1035" s="68"/>
      <c r="AU1035" s="68"/>
      <c r="AV1035" s="68"/>
      <c r="AW1035" s="68"/>
      <c r="AX1035" s="68"/>
      <c r="AY1035" s="68"/>
    </row>
    <row r="1036" spans="1:51" ht="13.25" customHeight="1">
      <c r="A1036" s="1351" t="s">
        <v>601</v>
      </c>
      <c r="B1036" s="1351"/>
      <c r="C1036" s="8">
        <v>2</v>
      </c>
      <c r="D1036" s="1259" t="s">
        <v>1169</v>
      </c>
      <c r="E1036" s="1259"/>
      <c r="F1036" s="1259"/>
      <c r="G1036" s="1259"/>
      <c r="H1036" s="1259"/>
      <c r="I1036" s="1259"/>
      <c r="J1036" s="1259"/>
      <c r="K1036" s="1259"/>
      <c r="L1036" s="1259"/>
      <c r="M1036" s="1259"/>
      <c r="N1036" s="1259"/>
      <c r="O1036" s="1259"/>
      <c r="P1036" s="1259"/>
      <c r="Q1036" s="1259"/>
      <c r="R1036" s="1259"/>
      <c r="S1036" s="1259"/>
      <c r="T1036" s="1259"/>
      <c r="U1036" s="1259"/>
      <c r="V1036" s="1259"/>
      <c r="W1036" s="1259"/>
      <c r="X1036" s="1259"/>
      <c r="Y1036" s="1259"/>
      <c r="Z1036" s="1259"/>
      <c r="AA1036" s="1259"/>
      <c r="AB1036" s="1259"/>
      <c r="AC1036" s="1259"/>
      <c r="AD1036" s="1259"/>
      <c r="AE1036" s="1259"/>
      <c r="AF1036" s="1259"/>
      <c r="AG1036" s="1259"/>
      <c r="AH1036" s="1259"/>
      <c r="AI1036" s="1259"/>
      <c r="AJ1036" s="1259"/>
      <c r="AK1036" s="1259"/>
      <c r="AL1036" s="68"/>
      <c r="AM1036" s="68"/>
      <c r="AN1036" s="68"/>
      <c r="AO1036" s="68"/>
      <c r="AP1036" s="68"/>
      <c r="AQ1036" s="68"/>
      <c r="AR1036" s="68"/>
      <c r="AS1036" s="68"/>
      <c r="AT1036" s="68"/>
      <c r="AU1036" s="68"/>
      <c r="AV1036" s="68"/>
      <c r="AW1036" s="68"/>
      <c r="AX1036" s="68"/>
      <c r="AY1036" s="68"/>
    </row>
    <row r="1037" spans="1:51" ht="13.25" customHeight="1">
      <c r="A1037" s="1"/>
      <c r="B1037" s="1"/>
      <c r="C1037" s="8"/>
      <c r="D1037" s="1259"/>
      <c r="E1037" s="1259"/>
      <c r="F1037" s="1259"/>
      <c r="G1037" s="1259"/>
      <c r="H1037" s="1259"/>
      <c r="I1037" s="1259"/>
      <c r="J1037" s="1259"/>
      <c r="K1037" s="1259"/>
      <c r="L1037" s="1259"/>
      <c r="M1037" s="1259"/>
      <c r="N1037" s="1259"/>
      <c r="O1037" s="1259"/>
      <c r="P1037" s="1259"/>
      <c r="Q1037" s="1259"/>
      <c r="R1037" s="1259"/>
      <c r="S1037" s="1259"/>
      <c r="T1037" s="1259"/>
      <c r="U1037" s="1259"/>
      <c r="V1037" s="1259"/>
      <c r="W1037" s="1259"/>
      <c r="X1037" s="1259"/>
      <c r="Y1037" s="1259"/>
      <c r="Z1037" s="1259"/>
      <c r="AA1037" s="1259"/>
      <c r="AB1037" s="1259"/>
      <c r="AC1037" s="1259"/>
      <c r="AD1037" s="1259"/>
      <c r="AE1037" s="1259"/>
      <c r="AF1037" s="1259"/>
      <c r="AG1037" s="1259"/>
      <c r="AH1037" s="1259"/>
      <c r="AI1037" s="1259"/>
      <c r="AJ1037" s="1259"/>
      <c r="AK1037" s="1259"/>
      <c r="AL1037" s="68"/>
      <c r="AM1037" s="68"/>
      <c r="AN1037" s="68"/>
      <c r="AO1037" s="68"/>
      <c r="AP1037" s="68"/>
      <c r="AQ1037" s="68"/>
      <c r="AR1037" s="68"/>
      <c r="AS1037" s="68"/>
      <c r="AT1037" s="68"/>
      <c r="AU1037" s="68"/>
      <c r="AV1037" s="68"/>
      <c r="AW1037" s="68"/>
      <c r="AX1037" s="68"/>
      <c r="AY1037" s="68"/>
    </row>
    <row r="1038" spans="1:51" ht="13.25" customHeight="1">
      <c r="A1038" s="1"/>
      <c r="B1038" s="1"/>
      <c r="C1038" s="8"/>
      <c r="D1038" s="1259"/>
      <c r="E1038" s="1259"/>
      <c r="F1038" s="1259"/>
      <c r="G1038" s="1259"/>
      <c r="H1038" s="1259"/>
      <c r="I1038" s="1259"/>
      <c r="J1038" s="1259"/>
      <c r="K1038" s="1259"/>
      <c r="L1038" s="1259"/>
      <c r="M1038" s="1259"/>
      <c r="N1038" s="1259"/>
      <c r="O1038" s="1259"/>
      <c r="P1038" s="1259"/>
      <c r="Q1038" s="1259"/>
      <c r="R1038" s="1259"/>
      <c r="S1038" s="1259"/>
      <c r="T1038" s="1259"/>
      <c r="U1038" s="1259"/>
      <c r="V1038" s="1259"/>
      <c r="W1038" s="1259"/>
      <c r="X1038" s="1259"/>
      <c r="Y1038" s="1259"/>
      <c r="Z1038" s="1259"/>
      <c r="AA1038" s="1259"/>
      <c r="AB1038" s="1259"/>
      <c r="AC1038" s="1259"/>
      <c r="AD1038" s="1259"/>
      <c r="AE1038" s="1259"/>
      <c r="AF1038" s="1259"/>
      <c r="AG1038" s="1259"/>
      <c r="AH1038" s="1259"/>
      <c r="AI1038" s="1259"/>
      <c r="AJ1038" s="1259"/>
      <c r="AK1038" s="1259"/>
      <c r="AL1038" s="68"/>
      <c r="AM1038" s="68"/>
      <c r="AN1038" s="68"/>
      <c r="AO1038" s="68"/>
      <c r="AP1038" s="68"/>
      <c r="AQ1038" s="68"/>
      <c r="AR1038" s="68"/>
      <c r="AS1038" s="68"/>
      <c r="AT1038" s="68"/>
      <c r="AU1038" s="68"/>
      <c r="AV1038" s="68"/>
      <c r="AW1038" s="68"/>
      <c r="AX1038" s="68"/>
      <c r="AY1038" s="68"/>
    </row>
    <row r="1039" spans="1:51" ht="13.25" customHeight="1">
      <c r="A1039" s="1"/>
      <c r="B1039" s="1"/>
      <c r="C1039" s="8"/>
      <c r="D1039" s="1259"/>
      <c r="E1039" s="1259"/>
      <c r="F1039" s="1259"/>
      <c r="G1039" s="1259"/>
      <c r="H1039" s="1259"/>
      <c r="I1039" s="1259"/>
      <c r="J1039" s="1259"/>
      <c r="K1039" s="1259"/>
      <c r="L1039" s="1259"/>
      <c r="M1039" s="1259"/>
      <c r="N1039" s="1259"/>
      <c r="O1039" s="1259"/>
      <c r="P1039" s="1259"/>
      <c r="Q1039" s="1259"/>
      <c r="R1039" s="1259"/>
      <c r="S1039" s="1259"/>
      <c r="T1039" s="1259"/>
      <c r="U1039" s="1259"/>
      <c r="V1039" s="1259"/>
      <c r="W1039" s="1259"/>
      <c r="X1039" s="1259"/>
      <c r="Y1039" s="1259"/>
      <c r="Z1039" s="1259"/>
      <c r="AA1039" s="1259"/>
      <c r="AB1039" s="1259"/>
      <c r="AC1039" s="1259"/>
      <c r="AD1039" s="1259"/>
      <c r="AE1039" s="1259"/>
      <c r="AF1039" s="1259"/>
      <c r="AG1039" s="1259"/>
      <c r="AH1039" s="1259"/>
      <c r="AI1039" s="1259"/>
      <c r="AJ1039" s="1259"/>
      <c r="AK1039" s="1259"/>
      <c r="AL1039" s="68"/>
      <c r="AM1039" s="68"/>
      <c r="AN1039" s="68"/>
      <c r="AO1039" s="68"/>
      <c r="AP1039" s="68"/>
      <c r="AQ1039" s="68"/>
      <c r="AR1039" s="68"/>
      <c r="AS1039" s="68"/>
      <c r="AT1039" s="68"/>
      <c r="AU1039" s="68"/>
      <c r="AV1039" s="68"/>
      <c r="AW1039" s="68"/>
      <c r="AX1039" s="68"/>
      <c r="AY1039" s="68"/>
    </row>
    <row r="1040" spans="1:51" ht="13.25" customHeight="1">
      <c r="A1040" s="1"/>
      <c r="B1040" s="1"/>
      <c r="C1040" s="8"/>
      <c r="D1040" s="1259"/>
      <c r="E1040" s="1259"/>
      <c r="F1040" s="1259"/>
      <c r="G1040" s="1259"/>
      <c r="H1040" s="1259"/>
      <c r="I1040" s="1259"/>
      <c r="J1040" s="1259"/>
      <c r="K1040" s="1259"/>
      <c r="L1040" s="1259"/>
      <c r="M1040" s="1259"/>
      <c r="N1040" s="1259"/>
      <c r="O1040" s="1259"/>
      <c r="P1040" s="1259"/>
      <c r="Q1040" s="1259"/>
      <c r="R1040" s="1259"/>
      <c r="S1040" s="1259"/>
      <c r="T1040" s="1259"/>
      <c r="U1040" s="1259"/>
      <c r="V1040" s="1259"/>
      <c r="W1040" s="1259"/>
      <c r="X1040" s="1259"/>
      <c r="Y1040" s="1259"/>
      <c r="Z1040" s="1259"/>
      <c r="AA1040" s="1259"/>
      <c r="AB1040" s="1259"/>
      <c r="AC1040" s="1259"/>
      <c r="AD1040" s="1259"/>
      <c r="AE1040" s="1259"/>
      <c r="AF1040" s="1259"/>
      <c r="AG1040" s="1259"/>
      <c r="AH1040" s="1259"/>
      <c r="AI1040" s="1259"/>
      <c r="AJ1040" s="1259"/>
      <c r="AK1040" s="1259"/>
      <c r="AL1040" s="68"/>
      <c r="AM1040" s="68"/>
      <c r="AN1040" s="68"/>
      <c r="AO1040" s="68"/>
      <c r="AP1040" s="68"/>
      <c r="AQ1040" s="68"/>
      <c r="AR1040" s="68"/>
      <c r="AS1040" s="68"/>
      <c r="AT1040" s="68"/>
      <c r="AU1040" s="68"/>
      <c r="AV1040" s="68"/>
      <c r="AW1040" s="68"/>
      <c r="AX1040" s="68"/>
      <c r="AY1040" s="68"/>
    </row>
    <row r="1041" spans="1:37" ht="13.25" customHeight="1">
      <c r="A1041" s="1"/>
      <c r="B1041" s="1"/>
      <c r="C1041" s="8"/>
      <c r="D1041" s="1259"/>
      <c r="E1041" s="1259"/>
      <c r="F1041" s="1259"/>
      <c r="G1041" s="1259"/>
      <c r="H1041" s="1259"/>
      <c r="I1041" s="1259"/>
      <c r="J1041" s="1259"/>
      <c r="K1041" s="1259"/>
      <c r="L1041" s="1259"/>
      <c r="M1041" s="1259"/>
      <c r="N1041" s="1259"/>
      <c r="O1041" s="1259"/>
      <c r="P1041" s="1259"/>
      <c r="Q1041" s="1259"/>
      <c r="R1041" s="1259"/>
      <c r="S1041" s="1259"/>
      <c r="T1041" s="1259"/>
      <c r="U1041" s="1259"/>
      <c r="V1041" s="1259"/>
      <c r="W1041" s="1259"/>
      <c r="X1041" s="1259"/>
      <c r="Y1041" s="1259"/>
      <c r="Z1041" s="1259"/>
      <c r="AA1041" s="1259"/>
      <c r="AB1041" s="1259"/>
      <c r="AC1041" s="1259"/>
      <c r="AD1041" s="1259"/>
      <c r="AE1041" s="1259"/>
      <c r="AF1041" s="1259"/>
      <c r="AG1041" s="1259"/>
      <c r="AH1041" s="1259"/>
      <c r="AI1041" s="1259"/>
      <c r="AJ1041" s="1259"/>
      <c r="AK1041" s="1259"/>
    </row>
    <row r="1042" spans="1:37" ht="13.25" customHeight="1">
      <c r="A1042" s="1351" t="s">
        <v>601</v>
      </c>
      <c r="B1042" s="1351"/>
      <c r="C1042" s="8">
        <v>3</v>
      </c>
      <c r="D1042" s="1259" t="s">
        <v>2567</v>
      </c>
      <c r="E1042" s="1259"/>
      <c r="F1042" s="1259"/>
      <c r="G1042" s="1259"/>
      <c r="H1042" s="1259"/>
      <c r="I1042" s="1259"/>
      <c r="J1042" s="1259"/>
      <c r="K1042" s="1259"/>
      <c r="L1042" s="1259"/>
      <c r="M1042" s="1259"/>
      <c r="N1042" s="1259"/>
      <c r="O1042" s="1259"/>
      <c r="P1042" s="1259"/>
      <c r="Q1042" s="1259"/>
      <c r="R1042" s="1259"/>
      <c r="S1042" s="1259"/>
      <c r="T1042" s="1259"/>
      <c r="U1042" s="1259"/>
      <c r="V1042" s="1259"/>
      <c r="W1042" s="1259"/>
      <c r="X1042" s="1259"/>
      <c r="Y1042" s="1259"/>
      <c r="Z1042" s="1259"/>
      <c r="AA1042" s="1259"/>
      <c r="AB1042" s="1259"/>
      <c r="AC1042" s="1259"/>
      <c r="AD1042" s="1259"/>
      <c r="AE1042" s="1259"/>
      <c r="AF1042" s="1259"/>
      <c r="AG1042" s="1259"/>
      <c r="AH1042" s="1259"/>
      <c r="AI1042" s="1259"/>
      <c r="AJ1042" s="1259"/>
      <c r="AK1042" s="1259"/>
    </row>
    <row r="1043" spans="1:37" ht="13.25" customHeight="1">
      <c r="A1043" s="4"/>
      <c r="B1043" s="4"/>
      <c r="C1043" s="8"/>
      <c r="D1043" s="1259"/>
      <c r="E1043" s="1259"/>
      <c r="F1043" s="1259"/>
      <c r="G1043" s="1259"/>
      <c r="H1043" s="1259"/>
      <c r="I1043" s="1259"/>
      <c r="J1043" s="1259"/>
      <c r="K1043" s="1259"/>
      <c r="L1043" s="1259"/>
      <c r="M1043" s="1259"/>
      <c r="N1043" s="1259"/>
      <c r="O1043" s="1259"/>
      <c r="P1043" s="1259"/>
      <c r="Q1043" s="1259"/>
      <c r="R1043" s="1259"/>
      <c r="S1043" s="1259"/>
      <c r="T1043" s="1259"/>
      <c r="U1043" s="1259"/>
      <c r="V1043" s="1259"/>
      <c r="W1043" s="1259"/>
      <c r="X1043" s="1259"/>
      <c r="Y1043" s="1259"/>
      <c r="Z1043" s="1259"/>
      <c r="AA1043" s="1259"/>
      <c r="AB1043" s="1259"/>
      <c r="AC1043" s="1259"/>
      <c r="AD1043" s="1259"/>
      <c r="AE1043" s="1259"/>
      <c r="AF1043" s="1259"/>
      <c r="AG1043" s="1259"/>
      <c r="AH1043" s="1259"/>
      <c r="AI1043" s="1259"/>
      <c r="AJ1043" s="1259"/>
      <c r="AK1043" s="1259"/>
    </row>
    <row r="1044" spans="1:37" ht="13.25" customHeight="1">
      <c r="A1044" s="4"/>
      <c r="B1044" s="4"/>
      <c r="C1044" s="8"/>
      <c r="D1044" s="1259"/>
      <c r="E1044" s="1259"/>
      <c r="F1044" s="1259"/>
      <c r="G1044" s="1259"/>
      <c r="H1044" s="1259"/>
      <c r="I1044" s="1259"/>
      <c r="J1044" s="1259"/>
      <c r="K1044" s="1259"/>
      <c r="L1044" s="1259"/>
      <c r="M1044" s="1259"/>
      <c r="N1044" s="1259"/>
      <c r="O1044" s="1259"/>
      <c r="P1044" s="1259"/>
      <c r="Q1044" s="1259"/>
      <c r="R1044" s="1259"/>
      <c r="S1044" s="1259"/>
      <c r="T1044" s="1259"/>
      <c r="U1044" s="1259"/>
      <c r="V1044" s="1259"/>
      <c r="W1044" s="1259"/>
      <c r="X1044" s="1259"/>
      <c r="Y1044" s="1259"/>
      <c r="Z1044" s="1259"/>
      <c r="AA1044" s="1259"/>
      <c r="AB1044" s="1259"/>
      <c r="AC1044" s="1259"/>
      <c r="AD1044" s="1259"/>
      <c r="AE1044" s="1259"/>
      <c r="AF1044" s="1259"/>
      <c r="AG1044" s="1259"/>
      <c r="AH1044" s="1259"/>
      <c r="AI1044" s="1259"/>
      <c r="AJ1044" s="1259"/>
      <c r="AK1044" s="1259"/>
    </row>
    <row r="1045" spans="1:37" ht="13.25" customHeight="1">
      <c r="A1045" s="35"/>
      <c r="B1045" s="25"/>
      <c r="C1045" s="8"/>
      <c r="D1045" s="1259"/>
      <c r="E1045" s="1259"/>
      <c r="F1045" s="1259"/>
      <c r="G1045" s="1259"/>
      <c r="H1045" s="1259"/>
      <c r="I1045" s="1259"/>
      <c r="J1045" s="1259"/>
      <c r="K1045" s="1259"/>
      <c r="L1045" s="1259"/>
      <c r="M1045" s="1259"/>
      <c r="N1045" s="1259"/>
      <c r="O1045" s="1259"/>
      <c r="P1045" s="1259"/>
      <c r="Q1045" s="1259"/>
      <c r="R1045" s="1259"/>
      <c r="S1045" s="1259"/>
      <c r="T1045" s="1259"/>
      <c r="U1045" s="1259"/>
      <c r="V1045" s="1259"/>
      <c r="W1045" s="1259"/>
      <c r="X1045" s="1259"/>
      <c r="Y1045" s="1259"/>
      <c r="Z1045" s="1259"/>
      <c r="AA1045" s="1259"/>
      <c r="AB1045" s="1259"/>
      <c r="AC1045" s="1259"/>
      <c r="AD1045" s="1259"/>
      <c r="AE1045" s="1259"/>
      <c r="AF1045" s="1259"/>
      <c r="AG1045" s="1259"/>
      <c r="AH1045" s="1259"/>
      <c r="AI1045" s="1259"/>
      <c r="AJ1045" s="1259"/>
      <c r="AK1045" s="1259"/>
    </row>
    <row r="1046" spans="1:37" ht="13.25" customHeight="1">
      <c r="A1046" s="35"/>
      <c r="B1046" s="25"/>
      <c r="C1046" s="8"/>
      <c r="D1046" s="1259"/>
      <c r="E1046" s="1259"/>
      <c r="F1046" s="1259"/>
      <c r="G1046" s="1259"/>
      <c r="H1046" s="1259"/>
      <c r="I1046" s="1259"/>
      <c r="J1046" s="1259"/>
      <c r="K1046" s="1259"/>
      <c r="L1046" s="1259"/>
      <c r="M1046" s="1259"/>
      <c r="N1046" s="1259"/>
      <c r="O1046" s="1259"/>
      <c r="P1046" s="1259"/>
      <c r="Q1046" s="1259"/>
      <c r="R1046" s="1259"/>
      <c r="S1046" s="1259"/>
      <c r="T1046" s="1259"/>
      <c r="U1046" s="1259"/>
      <c r="V1046" s="1259"/>
      <c r="W1046" s="1259"/>
      <c r="X1046" s="1259"/>
      <c r="Y1046" s="1259"/>
      <c r="Z1046" s="1259"/>
      <c r="AA1046" s="1259"/>
      <c r="AB1046" s="1259"/>
      <c r="AC1046" s="1259"/>
      <c r="AD1046" s="1259"/>
      <c r="AE1046" s="1259"/>
      <c r="AF1046" s="1259"/>
      <c r="AG1046" s="1259"/>
      <c r="AH1046" s="1259"/>
      <c r="AI1046" s="1259"/>
      <c r="AJ1046" s="1259"/>
      <c r="AK1046" s="1259"/>
    </row>
    <row r="1047" spans="1:37" ht="13.25" customHeight="1">
      <c r="A1047" s="35"/>
      <c r="B1047" s="25"/>
      <c r="C1047" s="8"/>
      <c r="D1047" s="1259"/>
      <c r="E1047" s="1259"/>
      <c r="F1047" s="1259"/>
      <c r="G1047" s="1259"/>
      <c r="H1047" s="1259"/>
      <c r="I1047" s="1259"/>
      <c r="J1047" s="1259"/>
      <c r="K1047" s="1259"/>
      <c r="L1047" s="1259"/>
      <c r="M1047" s="1259"/>
      <c r="N1047" s="1259"/>
      <c r="O1047" s="1259"/>
      <c r="P1047" s="1259"/>
      <c r="Q1047" s="1259"/>
      <c r="R1047" s="1259"/>
      <c r="S1047" s="1259"/>
      <c r="T1047" s="1259"/>
      <c r="U1047" s="1259"/>
      <c r="V1047" s="1259"/>
      <c r="W1047" s="1259"/>
      <c r="X1047" s="1259"/>
      <c r="Y1047" s="1259"/>
      <c r="Z1047" s="1259"/>
      <c r="AA1047" s="1259"/>
      <c r="AB1047" s="1259"/>
      <c r="AC1047" s="1259"/>
      <c r="AD1047" s="1259"/>
      <c r="AE1047" s="1259"/>
      <c r="AF1047" s="1259"/>
      <c r="AG1047" s="1259"/>
      <c r="AH1047" s="1259"/>
      <c r="AI1047" s="1259"/>
      <c r="AJ1047" s="1259"/>
      <c r="AK1047" s="1259"/>
    </row>
    <row r="1048" spans="1:37" ht="13.25" customHeight="1">
      <c r="A1048" s="35"/>
      <c r="B1048" s="25"/>
      <c r="C1048" s="8"/>
      <c r="D1048" s="1259"/>
      <c r="E1048" s="1259"/>
      <c r="F1048" s="1259"/>
      <c r="G1048" s="1259"/>
      <c r="H1048" s="1259"/>
      <c r="I1048" s="1259"/>
      <c r="J1048" s="1259"/>
      <c r="K1048" s="1259"/>
      <c r="L1048" s="1259"/>
      <c r="M1048" s="1259"/>
      <c r="N1048" s="1259"/>
      <c r="O1048" s="1259"/>
      <c r="P1048" s="1259"/>
      <c r="Q1048" s="1259"/>
      <c r="R1048" s="1259"/>
      <c r="S1048" s="1259"/>
      <c r="T1048" s="1259"/>
      <c r="U1048" s="1259"/>
      <c r="V1048" s="1259"/>
      <c r="W1048" s="1259"/>
      <c r="X1048" s="1259"/>
      <c r="Y1048" s="1259"/>
      <c r="Z1048" s="1259"/>
      <c r="AA1048" s="1259"/>
      <c r="AB1048" s="1259"/>
      <c r="AC1048" s="1259"/>
      <c r="AD1048" s="1259"/>
      <c r="AE1048" s="1259"/>
      <c r="AF1048" s="1259"/>
      <c r="AG1048" s="1259"/>
      <c r="AH1048" s="1259"/>
      <c r="AI1048" s="1259"/>
      <c r="AJ1048" s="1259"/>
      <c r="AK1048" s="1259"/>
    </row>
    <row r="1049" spans="1:37" ht="13.25" customHeight="1">
      <c r="A1049" s="1351" t="s">
        <v>601</v>
      </c>
      <c r="B1049" s="1351"/>
      <c r="C1049" s="8">
        <v>4</v>
      </c>
      <c r="D1049" s="1259" t="s">
        <v>1155</v>
      </c>
      <c r="E1049" s="1259"/>
      <c r="F1049" s="1259"/>
      <c r="G1049" s="1259"/>
      <c r="H1049" s="1259"/>
      <c r="I1049" s="1259"/>
      <c r="J1049" s="1259"/>
      <c r="K1049" s="1259"/>
      <c r="L1049" s="1259"/>
      <c r="M1049" s="1259"/>
      <c r="N1049" s="1259"/>
      <c r="O1049" s="1259"/>
      <c r="P1049" s="1259"/>
      <c r="Q1049" s="1259"/>
      <c r="R1049" s="1259"/>
      <c r="S1049" s="1259"/>
      <c r="T1049" s="1259"/>
      <c r="U1049" s="1259"/>
      <c r="V1049" s="1259"/>
      <c r="W1049" s="1259"/>
      <c r="X1049" s="1259"/>
      <c r="Y1049" s="1259"/>
      <c r="Z1049" s="1259"/>
      <c r="AA1049" s="1259"/>
      <c r="AB1049" s="1259"/>
      <c r="AC1049" s="1259"/>
      <c r="AD1049" s="1259"/>
      <c r="AE1049" s="1259"/>
      <c r="AF1049" s="1259"/>
      <c r="AG1049" s="1259"/>
      <c r="AH1049" s="1259"/>
      <c r="AI1049" s="1259"/>
      <c r="AJ1049" s="1259"/>
      <c r="AK1049" s="1259"/>
    </row>
    <row r="1050" spans="1:37" ht="13.25" customHeight="1">
      <c r="A1050" s="1"/>
      <c r="B1050" s="1"/>
      <c r="C1050" s="8"/>
      <c r="D1050" s="1259"/>
      <c r="E1050" s="1259"/>
      <c r="F1050" s="1259"/>
      <c r="G1050" s="1259"/>
      <c r="H1050" s="1259"/>
      <c r="I1050" s="1259"/>
      <c r="J1050" s="1259"/>
      <c r="K1050" s="1259"/>
      <c r="L1050" s="1259"/>
      <c r="M1050" s="1259"/>
      <c r="N1050" s="1259"/>
      <c r="O1050" s="1259"/>
      <c r="P1050" s="1259"/>
      <c r="Q1050" s="1259"/>
      <c r="R1050" s="1259"/>
      <c r="S1050" s="1259"/>
      <c r="T1050" s="1259"/>
      <c r="U1050" s="1259"/>
      <c r="V1050" s="1259"/>
      <c r="W1050" s="1259"/>
      <c r="X1050" s="1259"/>
      <c r="Y1050" s="1259"/>
      <c r="Z1050" s="1259"/>
      <c r="AA1050" s="1259"/>
      <c r="AB1050" s="1259"/>
      <c r="AC1050" s="1259"/>
      <c r="AD1050" s="1259"/>
      <c r="AE1050" s="1259"/>
      <c r="AF1050" s="1259"/>
      <c r="AG1050" s="1259"/>
      <c r="AH1050" s="1259"/>
      <c r="AI1050" s="1259"/>
      <c r="AJ1050" s="1259"/>
      <c r="AK1050" s="1259"/>
    </row>
    <row r="1051" spans="1:37" ht="13.25" customHeight="1">
      <c r="A1051" s="35"/>
      <c r="B1051" s="25"/>
      <c r="C1051" s="8"/>
      <c r="D1051" s="1259"/>
      <c r="E1051" s="1259"/>
      <c r="F1051" s="1259"/>
      <c r="G1051" s="1259"/>
      <c r="H1051" s="1259"/>
      <c r="I1051" s="1259"/>
      <c r="J1051" s="1259"/>
      <c r="K1051" s="1259"/>
      <c r="L1051" s="1259"/>
      <c r="M1051" s="1259"/>
      <c r="N1051" s="1259"/>
      <c r="O1051" s="1259"/>
      <c r="P1051" s="1259"/>
      <c r="Q1051" s="1259"/>
      <c r="R1051" s="1259"/>
      <c r="S1051" s="1259"/>
      <c r="T1051" s="1259"/>
      <c r="U1051" s="1259"/>
      <c r="V1051" s="1259"/>
      <c r="W1051" s="1259"/>
      <c r="X1051" s="1259"/>
      <c r="Y1051" s="1259"/>
      <c r="Z1051" s="1259"/>
      <c r="AA1051" s="1259"/>
      <c r="AB1051" s="1259"/>
      <c r="AC1051" s="1259"/>
      <c r="AD1051" s="1259"/>
      <c r="AE1051" s="1259"/>
      <c r="AF1051" s="1259"/>
      <c r="AG1051" s="1259"/>
      <c r="AH1051" s="1259"/>
      <c r="AI1051" s="1259"/>
      <c r="AJ1051" s="1259"/>
      <c r="AK1051" s="1259"/>
    </row>
    <row r="1052" spans="1:37" ht="13.25" customHeight="1">
      <c r="A1052" s="1351" t="s">
        <v>601</v>
      </c>
      <c r="B1052" s="1351"/>
      <c r="C1052" s="8">
        <v>5</v>
      </c>
      <c r="D1052" s="1259" t="s">
        <v>2568</v>
      </c>
      <c r="E1052" s="1259"/>
      <c r="F1052" s="1259"/>
      <c r="G1052" s="1259"/>
      <c r="H1052" s="1259"/>
      <c r="I1052" s="1259"/>
      <c r="J1052" s="1259"/>
      <c r="K1052" s="1259"/>
      <c r="L1052" s="1259"/>
      <c r="M1052" s="1259"/>
      <c r="N1052" s="1259"/>
      <c r="O1052" s="1259"/>
      <c r="P1052" s="1259"/>
      <c r="Q1052" s="1259"/>
      <c r="R1052" s="1259"/>
      <c r="S1052" s="1259"/>
      <c r="T1052" s="1259"/>
      <c r="U1052" s="1259"/>
      <c r="V1052" s="1259"/>
      <c r="W1052" s="1259"/>
      <c r="X1052" s="1259"/>
      <c r="Y1052" s="1259"/>
      <c r="Z1052" s="1259"/>
      <c r="AA1052" s="1259"/>
      <c r="AB1052" s="1259"/>
      <c r="AC1052" s="1259"/>
      <c r="AD1052" s="1259"/>
      <c r="AE1052" s="1259"/>
      <c r="AF1052" s="1259"/>
      <c r="AG1052" s="1259"/>
      <c r="AH1052" s="1259"/>
      <c r="AI1052" s="1259"/>
      <c r="AJ1052" s="1259"/>
      <c r="AK1052" s="1259"/>
    </row>
    <row r="1053" spans="1:37" ht="13.25" customHeight="1">
      <c r="A1053" s="1"/>
      <c r="B1053" s="1"/>
      <c r="C1053" s="8"/>
      <c r="D1053" s="1259"/>
      <c r="E1053" s="1259"/>
      <c r="F1053" s="1259"/>
      <c r="G1053" s="1259"/>
      <c r="H1053" s="1259"/>
      <c r="I1053" s="1259"/>
      <c r="J1053" s="1259"/>
      <c r="K1053" s="1259"/>
      <c r="L1053" s="1259"/>
      <c r="M1053" s="1259"/>
      <c r="N1053" s="1259"/>
      <c r="O1053" s="1259"/>
      <c r="P1053" s="1259"/>
      <c r="Q1053" s="1259"/>
      <c r="R1053" s="1259"/>
      <c r="S1053" s="1259"/>
      <c r="T1053" s="1259"/>
      <c r="U1053" s="1259"/>
      <c r="V1053" s="1259"/>
      <c r="W1053" s="1259"/>
      <c r="X1053" s="1259"/>
      <c r="Y1053" s="1259"/>
      <c r="Z1053" s="1259"/>
      <c r="AA1053" s="1259"/>
      <c r="AB1053" s="1259"/>
      <c r="AC1053" s="1259"/>
      <c r="AD1053" s="1259"/>
      <c r="AE1053" s="1259"/>
      <c r="AF1053" s="1259"/>
      <c r="AG1053" s="1259"/>
      <c r="AH1053" s="1259"/>
      <c r="AI1053" s="1259"/>
      <c r="AJ1053" s="1259"/>
      <c r="AK1053" s="1259"/>
    </row>
    <row r="1054" spans="1:37" ht="13.25" customHeight="1">
      <c r="A1054" s="1"/>
      <c r="B1054" s="1"/>
      <c r="C1054" s="8"/>
      <c r="D1054" s="1259"/>
      <c r="E1054" s="1259"/>
      <c r="F1054" s="1259"/>
      <c r="G1054" s="1259"/>
      <c r="H1054" s="1259"/>
      <c r="I1054" s="1259"/>
      <c r="J1054" s="1259"/>
      <c r="K1054" s="1259"/>
      <c r="L1054" s="1259"/>
      <c r="M1054" s="1259"/>
      <c r="N1054" s="1259"/>
      <c r="O1054" s="1259"/>
      <c r="P1054" s="1259"/>
      <c r="Q1054" s="1259"/>
      <c r="R1054" s="1259"/>
      <c r="S1054" s="1259"/>
      <c r="T1054" s="1259"/>
      <c r="U1054" s="1259"/>
      <c r="V1054" s="1259"/>
      <c r="W1054" s="1259"/>
      <c r="X1054" s="1259"/>
      <c r="Y1054" s="1259"/>
      <c r="Z1054" s="1259"/>
      <c r="AA1054" s="1259"/>
      <c r="AB1054" s="1259"/>
      <c r="AC1054" s="1259"/>
      <c r="AD1054" s="1259"/>
      <c r="AE1054" s="1259"/>
      <c r="AF1054" s="1259"/>
      <c r="AG1054" s="1259"/>
      <c r="AH1054" s="1259"/>
      <c r="AI1054" s="1259"/>
      <c r="AJ1054" s="1259"/>
      <c r="AK1054" s="1259"/>
    </row>
    <row r="1055" spans="1:37" ht="13.25" hidden="1" customHeight="1">
      <c r="A1055" s="1"/>
      <c r="B1055" s="1"/>
      <c r="C1055" s="8"/>
      <c r="D1055" s="1259"/>
      <c r="E1055" s="1259"/>
      <c r="F1055" s="1259"/>
      <c r="G1055" s="1259"/>
      <c r="H1055" s="1259"/>
      <c r="I1055" s="1259"/>
      <c r="J1055" s="1259"/>
      <c r="K1055" s="1259"/>
      <c r="L1055" s="1259"/>
      <c r="M1055" s="1259"/>
      <c r="N1055" s="1259"/>
      <c r="O1055" s="1259"/>
      <c r="P1055" s="1259"/>
      <c r="Q1055" s="1259"/>
      <c r="R1055" s="1259"/>
      <c r="S1055" s="1259"/>
      <c r="T1055" s="1259"/>
      <c r="U1055" s="1259"/>
      <c r="V1055" s="1259"/>
      <c r="W1055" s="1259"/>
      <c r="X1055" s="1259"/>
      <c r="Y1055" s="1259"/>
      <c r="Z1055" s="1259"/>
      <c r="AA1055" s="1259"/>
      <c r="AB1055" s="1259"/>
      <c r="AC1055" s="1259"/>
      <c r="AD1055" s="1259"/>
      <c r="AE1055" s="1259"/>
      <c r="AF1055" s="1259"/>
      <c r="AG1055" s="1259"/>
      <c r="AH1055" s="1259"/>
      <c r="AI1055" s="1259"/>
      <c r="AJ1055" s="1259"/>
      <c r="AK1055" s="1259"/>
    </row>
    <row r="1056" spans="1:37" ht="13.25" customHeight="1">
      <c r="A1056" s="35"/>
      <c r="B1056" s="25"/>
      <c r="C1056" s="8"/>
      <c r="D1056" s="1259"/>
      <c r="E1056" s="1259"/>
      <c r="F1056" s="1259"/>
      <c r="G1056" s="1259"/>
      <c r="H1056" s="1259"/>
      <c r="I1056" s="1259"/>
      <c r="J1056" s="1259"/>
      <c r="K1056" s="1259"/>
      <c r="L1056" s="1259"/>
      <c r="M1056" s="1259"/>
      <c r="N1056" s="1259"/>
      <c r="O1056" s="1259"/>
      <c r="P1056" s="1259"/>
      <c r="Q1056" s="1259"/>
      <c r="R1056" s="1259"/>
      <c r="S1056" s="1259"/>
      <c r="T1056" s="1259"/>
      <c r="U1056" s="1259"/>
      <c r="V1056" s="1259"/>
      <c r="W1056" s="1259"/>
      <c r="X1056" s="1259"/>
      <c r="Y1056" s="1259"/>
      <c r="Z1056" s="1259"/>
      <c r="AA1056" s="1259"/>
      <c r="AB1056" s="1259"/>
      <c r="AC1056" s="1259"/>
      <c r="AD1056" s="1259"/>
      <c r="AE1056" s="1259"/>
      <c r="AF1056" s="1259"/>
      <c r="AG1056" s="1259"/>
      <c r="AH1056" s="1259"/>
      <c r="AI1056" s="1259"/>
      <c r="AJ1056" s="1259"/>
      <c r="AK1056" s="1259"/>
    </row>
    <row r="1057" spans="1:37" ht="13.25" customHeight="1">
      <c r="A1057" s="1351" t="s">
        <v>601</v>
      </c>
      <c r="B1057" s="1351"/>
      <c r="C1057" s="8">
        <v>6</v>
      </c>
      <c r="D1057" s="1259" t="s">
        <v>1156</v>
      </c>
      <c r="E1057" s="1259"/>
      <c r="F1057" s="1259"/>
      <c r="G1057" s="1259"/>
      <c r="H1057" s="1259"/>
      <c r="I1057" s="1259"/>
      <c r="J1057" s="1259"/>
      <c r="K1057" s="1259"/>
      <c r="L1057" s="1259"/>
      <c r="M1057" s="1259"/>
      <c r="N1057" s="1259"/>
      <c r="O1057" s="1259"/>
      <c r="P1057" s="1259"/>
      <c r="Q1057" s="1259"/>
      <c r="R1057" s="1259"/>
      <c r="S1057" s="1259"/>
      <c r="T1057" s="1259"/>
      <c r="U1057" s="1259"/>
      <c r="V1057" s="1259"/>
      <c r="W1057" s="1259"/>
      <c r="X1057" s="1259"/>
      <c r="Y1057" s="1259"/>
      <c r="Z1057" s="1259"/>
      <c r="AA1057" s="1259"/>
      <c r="AB1057" s="1259"/>
      <c r="AC1057" s="1259"/>
      <c r="AD1057" s="1259"/>
      <c r="AE1057" s="1259"/>
      <c r="AF1057" s="1259"/>
      <c r="AG1057" s="1259"/>
      <c r="AH1057" s="1259"/>
      <c r="AI1057" s="1259"/>
      <c r="AJ1057" s="1259"/>
      <c r="AK1057" s="1259"/>
    </row>
    <row r="1058" spans="1:37" ht="13.25" customHeight="1">
      <c r="A1058" s="35"/>
      <c r="B1058" s="25"/>
      <c r="C1058" s="8"/>
      <c r="D1058" s="1259"/>
      <c r="E1058" s="1259"/>
      <c r="F1058" s="1259"/>
      <c r="G1058" s="1259"/>
      <c r="H1058" s="1259"/>
      <c r="I1058" s="1259"/>
      <c r="J1058" s="1259"/>
      <c r="K1058" s="1259"/>
      <c r="L1058" s="1259"/>
      <c r="M1058" s="1259"/>
      <c r="N1058" s="1259"/>
      <c r="O1058" s="1259"/>
      <c r="P1058" s="1259"/>
      <c r="Q1058" s="1259"/>
      <c r="R1058" s="1259"/>
      <c r="S1058" s="1259"/>
      <c r="T1058" s="1259"/>
      <c r="U1058" s="1259"/>
      <c r="V1058" s="1259"/>
      <c r="W1058" s="1259"/>
      <c r="X1058" s="1259"/>
      <c r="Y1058" s="1259"/>
      <c r="Z1058" s="1259"/>
      <c r="AA1058" s="1259"/>
      <c r="AB1058" s="1259"/>
      <c r="AC1058" s="1259"/>
      <c r="AD1058" s="1259"/>
      <c r="AE1058" s="1259"/>
      <c r="AF1058" s="1259"/>
      <c r="AG1058" s="1259"/>
      <c r="AH1058" s="1259"/>
      <c r="AI1058" s="1259"/>
      <c r="AJ1058" s="1259"/>
      <c r="AK1058" s="1259"/>
    </row>
    <row r="1059" spans="1:37" ht="13.25" customHeight="1">
      <c r="A1059" s="35"/>
      <c r="B1059" s="25"/>
      <c r="C1059" s="8"/>
      <c r="D1059" s="1259"/>
      <c r="E1059" s="1259"/>
      <c r="F1059" s="1259"/>
      <c r="G1059" s="1259"/>
      <c r="H1059" s="1259"/>
      <c r="I1059" s="1259"/>
      <c r="J1059" s="1259"/>
      <c r="K1059" s="1259"/>
      <c r="L1059" s="1259"/>
      <c r="M1059" s="1259"/>
      <c r="N1059" s="1259"/>
      <c r="O1059" s="1259"/>
      <c r="P1059" s="1259"/>
      <c r="Q1059" s="1259"/>
      <c r="R1059" s="1259"/>
      <c r="S1059" s="1259"/>
      <c r="T1059" s="1259"/>
      <c r="U1059" s="1259"/>
      <c r="V1059" s="1259"/>
      <c r="W1059" s="1259"/>
      <c r="X1059" s="1259"/>
      <c r="Y1059" s="1259"/>
      <c r="Z1059" s="1259"/>
      <c r="AA1059" s="1259"/>
      <c r="AB1059" s="1259"/>
      <c r="AC1059" s="1259"/>
      <c r="AD1059" s="1259"/>
      <c r="AE1059" s="1259"/>
      <c r="AF1059" s="1259"/>
      <c r="AG1059" s="1259"/>
      <c r="AH1059" s="1259"/>
      <c r="AI1059" s="1259"/>
      <c r="AJ1059" s="1259"/>
      <c r="AK1059" s="1259"/>
    </row>
    <row r="1060" spans="1:37" ht="13.25" customHeight="1">
      <c r="A1060" s="1351" t="s">
        <v>601</v>
      </c>
      <c r="B1060" s="1351"/>
      <c r="C1060" s="212">
        <v>7</v>
      </c>
      <c r="D1060" s="1259" t="s">
        <v>1158</v>
      </c>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row>
    <row r="1061" spans="1:37" ht="13.25" customHeight="1">
      <c r="A1061" s="1"/>
      <c r="B1061" s="1"/>
      <c r="C1061" s="212"/>
      <c r="D1061" s="1259"/>
      <c r="E1061" s="1259"/>
      <c r="F1061" s="1259"/>
      <c r="G1061" s="1259"/>
      <c r="H1061" s="1259"/>
      <c r="I1061" s="1259"/>
      <c r="J1061" s="1259"/>
      <c r="K1061" s="1259"/>
      <c r="L1061" s="1259"/>
      <c r="M1061" s="1259"/>
      <c r="N1061" s="1259"/>
      <c r="O1061" s="1259"/>
      <c r="P1061" s="1259"/>
      <c r="Q1061" s="1259"/>
      <c r="R1061" s="1259"/>
      <c r="S1061" s="1259"/>
      <c r="T1061" s="1259"/>
      <c r="U1061" s="1259"/>
      <c r="V1061" s="1259"/>
      <c r="W1061" s="1259"/>
      <c r="X1061" s="1259"/>
      <c r="Y1061" s="1259"/>
      <c r="Z1061" s="1259"/>
      <c r="AA1061" s="1259"/>
      <c r="AB1061" s="1259"/>
      <c r="AC1061" s="1259"/>
      <c r="AD1061" s="1259"/>
      <c r="AE1061" s="1259"/>
      <c r="AF1061" s="1259"/>
      <c r="AG1061" s="1259"/>
      <c r="AH1061" s="1259"/>
      <c r="AI1061" s="1259"/>
      <c r="AJ1061" s="1259"/>
      <c r="AK1061" s="1259"/>
    </row>
    <row r="1062" spans="1:37" ht="13.25" customHeight="1">
      <c r="A1062" s="1"/>
      <c r="B1062" s="1"/>
      <c r="C1062" s="212"/>
      <c r="D1062" s="1259"/>
      <c r="E1062" s="1259"/>
      <c r="F1062" s="1259"/>
      <c r="G1062" s="1259"/>
      <c r="H1062" s="1259"/>
      <c r="I1062" s="1259"/>
      <c r="J1062" s="1259"/>
      <c r="K1062" s="1259"/>
      <c r="L1062" s="1259"/>
      <c r="M1062" s="1259"/>
      <c r="N1062" s="1259"/>
      <c r="O1062" s="1259"/>
      <c r="P1062" s="1259"/>
      <c r="Q1062" s="1259"/>
      <c r="R1062" s="1259"/>
      <c r="S1062" s="1259"/>
      <c r="T1062" s="1259"/>
      <c r="U1062" s="1259"/>
      <c r="V1062" s="1259"/>
      <c r="W1062" s="1259"/>
      <c r="X1062" s="1259"/>
      <c r="Y1062" s="1259"/>
      <c r="Z1062" s="1259"/>
      <c r="AA1062" s="1259"/>
      <c r="AB1062" s="1259"/>
      <c r="AC1062" s="1259"/>
      <c r="AD1062" s="1259"/>
      <c r="AE1062" s="1259"/>
      <c r="AF1062" s="1259"/>
      <c r="AG1062" s="1259"/>
      <c r="AH1062" s="1259"/>
      <c r="AI1062" s="1259"/>
      <c r="AJ1062" s="1259"/>
      <c r="AK1062" s="1259"/>
    </row>
    <row r="1063" spans="1:37" ht="13.25" customHeight="1">
      <c r="A1063" s="35"/>
      <c r="B1063" s="25"/>
      <c r="C1063" s="212"/>
      <c r="D1063" s="1259"/>
      <c r="E1063" s="1259"/>
      <c r="F1063" s="1259"/>
      <c r="G1063" s="1259"/>
      <c r="H1063" s="1259"/>
      <c r="I1063" s="1259"/>
      <c r="J1063" s="1259"/>
      <c r="K1063" s="1259"/>
      <c r="L1063" s="1259"/>
      <c r="M1063" s="1259"/>
      <c r="N1063" s="1259"/>
      <c r="O1063" s="1259"/>
      <c r="P1063" s="1259"/>
      <c r="Q1063" s="1259"/>
      <c r="R1063" s="1259"/>
      <c r="S1063" s="1259"/>
      <c r="T1063" s="1259"/>
      <c r="U1063" s="1259"/>
      <c r="V1063" s="1259"/>
      <c r="W1063" s="1259"/>
      <c r="X1063" s="1259"/>
      <c r="Y1063" s="1259"/>
      <c r="Z1063" s="1259"/>
      <c r="AA1063" s="1259"/>
      <c r="AB1063" s="1259"/>
      <c r="AC1063" s="1259"/>
      <c r="AD1063" s="1259"/>
      <c r="AE1063" s="1259"/>
      <c r="AF1063" s="1259"/>
      <c r="AG1063" s="1259"/>
      <c r="AH1063" s="1259"/>
      <c r="AI1063" s="1259"/>
      <c r="AJ1063" s="1259"/>
      <c r="AK1063" s="1259"/>
    </row>
    <row r="1064" spans="1:37" ht="13.25" customHeight="1">
      <c r="A1064" s="1351" t="s">
        <v>601</v>
      </c>
      <c r="B1064" s="1351"/>
      <c r="C1064" s="212">
        <v>8</v>
      </c>
      <c r="D1064" s="1319" t="s">
        <v>1943</v>
      </c>
      <c r="E1064" s="1319"/>
      <c r="F1064" s="1319"/>
      <c r="G1064" s="1319"/>
      <c r="H1064" s="1319"/>
      <c r="I1064" s="1319"/>
      <c r="J1064" s="1319"/>
      <c r="K1064" s="1319"/>
      <c r="L1064" s="1319"/>
      <c r="M1064" s="1319"/>
      <c r="N1064" s="1319"/>
      <c r="O1064" s="1319"/>
      <c r="P1064" s="1319"/>
      <c r="Q1064" s="1319"/>
      <c r="R1064" s="1319"/>
      <c r="S1064" s="1319"/>
      <c r="T1064" s="1319"/>
      <c r="U1064" s="1319"/>
      <c r="V1064" s="1319"/>
      <c r="W1064" s="1319"/>
      <c r="X1064" s="1319"/>
      <c r="Y1064" s="1319"/>
      <c r="Z1064" s="1319"/>
      <c r="AA1064" s="1319"/>
      <c r="AB1064" s="1319"/>
      <c r="AC1064" s="1319"/>
      <c r="AD1064" s="1319"/>
      <c r="AE1064" s="1319"/>
      <c r="AF1064" s="1319"/>
      <c r="AG1064" s="1319"/>
      <c r="AH1064" s="1319"/>
      <c r="AI1064" s="1319"/>
      <c r="AJ1064" s="1319"/>
      <c r="AK1064" s="1319"/>
    </row>
    <row r="1065" spans="1:37" ht="13.25" customHeight="1">
      <c r="A1065" s="1"/>
      <c r="B1065" s="1"/>
      <c r="C1065" s="212"/>
      <c r="D1065" s="1319"/>
      <c r="E1065" s="1319"/>
      <c r="F1065" s="1319"/>
      <c r="G1065" s="1319"/>
      <c r="H1065" s="1319"/>
      <c r="I1065" s="1319"/>
      <c r="J1065" s="1319"/>
      <c r="K1065" s="1319"/>
      <c r="L1065" s="1319"/>
      <c r="M1065" s="1319"/>
      <c r="N1065" s="1319"/>
      <c r="O1065" s="1319"/>
      <c r="P1065" s="1319"/>
      <c r="Q1065" s="1319"/>
      <c r="R1065" s="1319"/>
      <c r="S1065" s="1319"/>
      <c r="T1065" s="1319"/>
      <c r="U1065" s="1319"/>
      <c r="V1065" s="1319"/>
      <c r="W1065" s="1319"/>
      <c r="X1065" s="1319"/>
      <c r="Y1065" s="1319"/>
      <c r="Z1065" s="1319"/>
      <c r="AA1065" s="1319"/>
      <c r="AB1065" s="1319"/>
      <c r="AC1065" s="1319"/>
      <c r="AD1065" s="1319"/>
      <c r="AE1065" s="1319"/>
      <c r="AF1065" s="1319"/>
      <c r="AG1065" s="1319"/>
      <c r="AH1065" s="1319"/>
      <c r="AI1065" s="1319"/>
      <c r="AJ1065" s="1319"/>
      <c r="AK1065" s="1319"/>
    </row>
    <row r="1066" spans="1:37" ht="13.25" customHeight="1">
      <c r="A1066" s="1"/>
      <c r="B1066" s="1"/>
      <c r="C1066" s="212"/>
      <c r="D1066" s="1319"/>
      <c r="E1066" s="1319"/>
      <c r="F1066" s="1319"/>
      <c r="G1066" s="1319"/>
      <c r="H1066" s="1319"/>
      <c r="I1066" s="1319"/>
      <c r="J1066" s="1319"/>
      <c r="K1066" s="1319"/>
      <c r="L1066" s="1319"/>
      <c r="M1066" s="1319"/>
      <c r="N1066" s="1319"/>
      <c r="O1066" s="1319"/>
      <c r="P1066" s="1319"/>
      <c r="Q1066" s="1319"/>
      <c r="R1066" s="1319"/>
      <c r="S1066" s="1319"/>
      <c r="T1066" s="1319"/>
      <c r="U1066" s="1319"/>
      <c r="V1066" s="1319"/>
      <c r="W1066" s="1319"/>
      <c r="X1066" s="1319"/>
      <c r="Y1066" s="1319"/>
      <c r="Z1066" s="1319"/>
      <c r="AA1066" s="1319"/>
      <c r="AB1066" s="1319"/>
      <c r="AC1066" s="1319"/>
      <c r="AD1066" s="1319"/>
      <c r="AE1066" s="1319"/>
      <c r="AF1066" s="1319"/>
      <c r="AG1066" s="1319"/>
      <c r="AH1066" s="1319"/>
      <c r="AI1066" s="1319"/>
      <c r="AJ1066" s="1319"/>
      <c r="AK1066" s="1319"/>
    </row>
    <row r="1067" spans="1:37" ht="13.25" customHeight="1">
      <c r="A1067" s="35"/>
      <c r="B1067" s="25"/>
      <c r="C1067" s="212"/>
      <c r="D1067" s="1319"/>
      <c r="E1067" s="1319"/>
      <c r="F1067" s="1319"/>
      <c r="G1067" s="1319"/>
      <c r="H1067" s="1319"/>
      <c r="I1067" s="1319"/>
      <c r="J1067" s="1319"/>
      <c r="K1067" s="1319"/>
      <c r="L1067" s="1319"/>
      <c r="M1067" s="1319"/>
      <c r="N1067" s="1319"/>
      <c r="O1067" s="1319"/>
      <c r="P1067" s="1319"/>
      <c r="Q1067" s="1319"/>
      <c r="R1067" s="1319"/>
      <c r="S1067" s="1319"/>
      <c r="T1067" s="1319"/>
      <c r="U1067" s="1319"/>
      <c r="V1067" s="1319"/>
      <c r="W1067" s="1319"/>
      <c r="X1067" s="1319"/>
      <c r="Y1067" s="1319"/>
      <c r="Z1067" s="1319"/>
      <c r="AA1067" s="1319"/>
      <c r="AB1067" s="1319"/>
      <c r="AC1067" s="1319"/>
      <c r="AD1067" s="1319"/>
      <c r="AE1067" s="1319"/>
      <c r="AF1067" s="1319"/>
      <c r="AG1067" s="1319"/>
      <c r="AH1067" s="1319"/>
      <c r="AI1067" s="1319"/>
      <c r="AJ1067" s="1319"/>
      <c r="AK1067" s="1319"/>
    </row>
    <row r="1068" spans="1:37" ht="13.25" customHeight="1">
      <c r="A1068" s="1351" t="s">
        <v>601</v>
      </c>
      <c r="B1068" s="1351"/>
      <c r="C1068" s="212">
        <v>9</v>
      </c>
      <c r="D1068" s="1259" t="s">
        <v>1157</v>
      </c>
      <c r="E1068" s="1259"/>
      <c r="F1068" s="1259"/>
      <c r="G1068" s="1259"/>
      <c r="H1068" s="1259"/>
      <c r="I1068" s="1259"/>
      <c r="J1068" s="1259"/>
      <c r="K1068" s="1259"/>
      <c r="L1068" s="1259"/>
      <c r="M1068" s="1259"/>
      <c r="N1068" s="1259"/>
      <c r="O1068" s="1259"/>
      <c r="P1068" s="1259"/>
      <c r="Q1068" s="1259"/>
      <c r="R1068" s="1259"/>
      <c r="S1068" s="1259"/>
      <c r="T1068" s="1259"/>
      <c r="U1068" s="1259"/>
      <c r="V1068" s="1259"/>
      <c r="W1068" s="1259"/>
      <c r="X1068" s="1259"/>
      <c r="Y1068" s="1259"/>
      <c r="Z1068" s="1259"/>
      <c r="AA1068" s="1259"/>
      <c r="AB1068" s="1259"/>
      <c r="AC1068" s="1259"/>
      <c r="AD1068" s="1259"/>
      <c r="AE1068" s="1259"/>
      <c r="AF1068" s="1259"/>
      <c r="AG1068" s="1259"/>
      <c r="AH1068" s="1259"/>
      <c r="AI1068" s="1259"/>
      <c r="AJ1068" s="1259"/>
      <c r="AK1068" s="1259"/>
    </row>
    <row r="1069" spans="1:37" ht="13.25" customHeight="1">
      <c r="A1069" s="35"/>
      <c r="B1069" s="25"/>
      <c r="C1069" s="212"/>
      <c r="D1069" s="1259"/>
      <c r="E1069" s="1259"/>
      <c r="F1069" s="1259"/>
      <c r="G1069" s="1259"/>
      <c r="H1069" s="1259"/>
      <c r="I1069" s="1259"/>
      <c r="J1069" s="1259"/>
      <c r="K1069" s="1259"/>
      <c r="L1069" s="1259"/>
      <c r="M1069" s="1259"/>
      <c r="N1069" s="1259"/>
      <c r="O1069" s="1259"/>
      <c r="P1069" s="1259"/>
      <c r="Q1069" s="1259"/>
      <c r="R1069" s="1259"/>
      <c r="S1069" s="1259"/>
      <c r="T1069" s="1259"/>
      <c r="U1069" s="1259"/>
      <c r="V1069" s="1259"/>
      <c r="W1069" s="1259"/>
      <c r="X1069" s="1259"/>
      <c r="Y1069" s="1259"/>
      <c r="Z1069" s="1259"/>
      <c r="AA1069" s="1259"/>
      <c r="AB1069" s="1259"/>
      <c r="AC1069" s="1259"/>
      <c r="AD1069" s="1259"/>
      <c r="AE1069" s="1259"/>
      <c r="AF1069" s="1259"/>
      <c r="AG1069" s="1259"/>
      <c r="AH1069" s="1259"/>
      <c r="AI1069" s="1259"/>
      <c r="AJ1069" s="1259"/>
      <c r="AK1069" s="1259"/>
    </row>
    <row r="1070" spans="1:37" ht="13.25" customHeight="1">
      <c r="D1070" s="1259"/>
      <c r="E1070" s="1259"/>
      <c r="F1070" s="1259"/>
      <c r="G1070" s="1259"/>
      <c r="H1070" s="1259"/>
      <c r="I1070" s="1259"/>
      <c r="J1070" s="1259"/>
      <c r="K1070" s="1259"/>
      <c r="L1070" s="1259"/>
      <c r="M1070" s="1259"/>
      <c r="N1070" s="1259"/>
      <c r="O1070" s="1259"/>
      <c r="P1070" s="1259"/>
      <c r="Q1070" s="1259"/>
      <c r="R1070" s="1259"/>
      <c r="S1070" s="1259"/>
      <c r="T1070" s="1259"/>
      <c r="U1070" s="1259"/>
      <c r="V1070" s="1259"/>
      <c r="W1070" s="1259"/>
      <c r="X1070" s="1259"/>
      <c r="Y1070" s="1259"/>
      <c r="Z1070" s="1259"/>
      <c r="AA1070" s="1259"/>
      <c r="AB1070" s="1259"/>
      <c r="AC1070" s="1259"/>
      <c r="AD1070" s="1259"/>
      <c r="AE1070" s="1259"/>
      <c r="AF1070" s="1259"/>
      <c r="AG1070" s="1259"/>
      <c r="AH1070" s="1259"/>
      <c r="AI1070" s="1259"/>
      <c r="AJ1070" s="1259"/>
      <c r="AK1070" s="1259"/>
    </row>
  </sheetData>
  <sheetProtection algorithmName="SHA-512" hashValue="xHDBU5O/XzDLVLZHCHzI2VKaeD6/TtLRmxjFMav+rhhqPXVRT0H3L5ffCmjV27dMwTVAndWH8Y/rryK/Y4TOrQ==" saltValue="nX3gebn2RZBuCpsK5oeTGw=="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9" priority="36" stopIfTrue="1" operator="equal">
      <formula>"Please Enter Amount:"</formula>
    </cfRule>
  </conditionalFormatting>
  <conditionalFormatting sqref="AJ1010">
    <cfRule type="cellIs" dxfId="208" priority="39" stopIfTrue="1" operator="equal">
      <formula>"#DIV/0!"</formula>
    </cfRule>
  </conditionalFormatting>
  <conditionalFormatting sqref="AG440:AJ440">
    <cfRule type="expression" dxfId="207" priority="40" stopIfTrue="1">
      <formula>"iserror(d31)"</formula>
    </cfRule>
  </conditionalFormatting>
  <conditionalFormatting sqref="AF998">
    <cfRule type="cellIs" dxfId="206" priority="34" stopIfTrue="1" operator="equal">
      <formula>"Please Enter Amount:"</formula>
    </cfRule>
  </conditionalFormatting>
  <conditionalFormatting sqref="AF991">
    <cfRule type="cellIs" dxfId="205" priority="33" stopIfTrue="1" operator="equal">
      <formula>"Please Enter Amount:"</formula>
    </cfRule>
  </conditionalFormatting>
  <conditionalFormatting sqref="D211:X211">
    <cfRule type="expression" dxfId="204" priority="32">
      <formula>NOT($D$210="Special Needs")</formula>
    </cfRule>
  </conditionalFormatting>
  <conditionalFormatting sqref="Y211:AC211">
    <cfRule type="expression" dxfId="203" priority="31">
      <formula>NOT($D$210="Special Needs")</formula>
    </cfRule>
  </conditionalFormatting>
  <conditionalFormatting sqref="D214:U214">
    <cfRule type="expression" dxfId="202" priority="29">
      <formula>NOT(OR($D$213="Seniors",$D$210="Seniors"))</formula>
    </cfRule>
  </conditionalFormatting>
  <conditionalFormatting sqref="AA214:AO214">
    <cfRule type="expression" dxfId="201" priority="30">
      <formula>NOT(OR($D$213="Seniors",$D$210="Seniors"))</formula>
    </cfRule>
  </conditionalFormatting>
  <conditionalFormatting sqref="D212">
    <cfRule type="expression" dxfId="200" priority="28">
      <formula>AND($Y$211&gt;0,$AB$211&lt;75%)</formula>
    </cfRule>
  </conditionalFormatting>
  <conditionalFormatting sqref="D213:Z213">
    <cfRule type="expression" dxfId="199" priority="27">
      <formula>AND($Y$211&gt;0,$AB$211&lt;75%)</formula>
    </cfRule>
  </conditionalFormatting>
  <conditionalFormatting sqref="D215">
    <cfRule type="expression" dxfId="198" priority="25">
      <formula>NOT($D$210="At-Risk")</formula>
    </cfRule>
  </conditionalFormatting>
  <conditionalFormatting sqref="AB215:AM215">
    <cfRule type="expression" dxfId="197" priority="26">
      <formula>NOT($D$210="At-Risk")</formula>
    </cfRule>
  </conditionalFormatting>
  <conditionalFormatting sqref="L506:AB506">
    <cfRule type="expression" dxfId="196" priority="24">
      <formula>AND(NOT(AC506="N/A"),AH506&lt;&gt;"",OR(L506="(specify here)",L506=""))</formula>
    </cfRule>
  </conditionalFormatting>
  <conditionalFormatting sqref="O518:AA518">
    <cfRule type="expression" dxfId="195" priority="23">
      <formula>AND(OR(AND(NOT(AC518="N/A"),AH518&lt;&gt;""),AND(NOT(AC519="N/A"),AH519&lt;&gt;""),AND(NOT(AC520="N/A"),AH520&lt;&gt;"")),OR(O518="(specify here)",O518=""))</formula>
    </cfRule>
  </conditionalFormatting>
  <conditionalFormatting sqref="O521:AA521">
    <cfRule type="expression" dxfId="194" priority="22">
      <formula>AND(OR(AND(NOT(AC521="N/A"),AH521&lt;&gt;""),AND(NOT(AC522="N/A"),AH522&lt;&gt;""),AND(NOT(AC523="N/A"),AH523&lt;&gt;"")),OR(O521="(specify here)",O521=""))</formula>
    </cfRule>
  </conditionalFormatting>
  <conditionalFormatting sqref="O524:AA524">
    <cfRule type="expression" dxfId="193" priority="21">
      <formula>AND(OR(AND(NOT(AC524="N/A"),AH524&lt;&gt;""),AND(NOT(AC525="N/A"),AH525&lt;&gt;""),AND(NOT(AC526="N/A"),AH526&lt;&gt;"")),OR(O524="(specify here)",O524=""))</formula>
    </cfRule>
  </conditionalFormatting>
  <conditionalFormatting sqref="O527:AA527">
    <cfRule type="expression" dxfId="192" priority="20">
      <formula>AND(OR(AND(NOT(AC527="N/A"),AH527&lt;&gt;""),AND(NOT(AC528="N/A"),AH528&lt;&gt;""),AND(NOT(AC529="N/A"),AH529&lt;&gt;"")),OR(O527="(specify here)",O527=""))</formula>
    </cfRule>
  </conditionalFormatting>
  <conditionalFormatting sqref="O530:AA530">
    <cfRule type="expression" dxfId="191" priority="19">
      <formula>AND(OR(AND(NOT(AC530="N/A"),AH530&lt;&gt;""),AND(NOT(AC531="N/A"),AH531&lt;&gt;""),AND(NOT(AC532="N/A"),AH532&lt;&gt;"")),OR(O530="(specify here)",O530=""))</formula>
    </cfRule>
  </conditionalFormatting>
  <conditionalFormatting sqref="O533:AA533">
    <cfRule type="expression" dxfId="190" priority="18">
      <formula>AND(OR(AND(NOT(AC533="N/A"),AH533&lt;&gt;""),AND(NOT(AC534="N/A"),AH534&lt;&gt;""),AND(NOT(AC535="N/A"),AH535&lt;&gt;"")),OR(O533="(specify here)",O533=""))</formula>
    </cfRule>
  </conditionalFormatting>
  <conditionalFormatting sqref="Q551:AS561 C551:C561 AC624:AS634 Q624:Z634">
    <cfRule type="expression" dxfId="189" priority="17">
      <formula>$AT551="!"</formula>
    </cfRule>
  </conditionalFormatting>
  <conditionalFormatting sqref="C624:C634">
    <cfRule type="expression" dxfId="188" priority="16">
      <formula>$AT624="!"</formula>
    </cfRule>
  </conditionalFormatting>
  <conditionalFormatting sqref="E703:AK703">
    <cfRule type="expression" dxfId="187" priority="15">
      <formula>AND($W$702="Other",OR($E$703="(specify here)",$E$703=""))</formula>
    </cfRule>
  </conditionalFormatting>
  <conditionalFormatting sqref="B740:AH741">
    <cfRule type="expression" dxfId="186" priority="14">
      <formula>NOT($D$210="Special Needs")</formula>
    </cfRule>
  </conditionalFormatting>
  <conditionalFormatting sqref="AG742:AJ742">
    <cfRule type="expression" dxfId="185" priority="12">
      <formula>NOT($D$210="Special Needs")</formula>
    </cfRule>
  </conditionalFormatting>
  <conditionalFormatting sqref="U742">
    <cfRule type="expression" dxfId="184" priority="13">
      <formula>NOT($D$210="Special Needs")</formula>
    </cfRule>
  </conditionalFormatting>
  <conditionalFormatting sqref="P800:Y800">
    <cfRule type="expression" dxfId="183" priority="11">
      <formula>AND(Z800&lt;&gt;"",OR(P800="(specify here)",P800=""))</formula>
    </cfRule>
  </conditionalFormatting>
  <conditionalFormatting sqref="F815:L815">
    <cfRule type="expression" dxfId="182" priority="10">
      <formula>AND(OR(M815&lt;&gt;"",$Q$795&lt;&gt;"",$U$795&lt;&gt;"",$Y$795&lt;&gt;"",$AC$795&lt;&gt;"",$AG$795&lt;&gt;"",SUM($M$815:$AJ$815)&gt;0),OR(F815="(specify here)",F815=""))</formula>
    </cfRule>
  </conditionalFormatting>
  <conditionalFormatting sqref="M830:V830">
    <cfRule type="expression" dxfId="181" priority="9">
      <formula>AND(W830&lt;&gt;"",OR(M830="(specify here)",M830=""))</formula>
    </cfRule>
  </conditionalFormatting>
  <conditionalFormatting sqref="M845:V845">
    <cfRule type="expression" dxfId="180" priority="8">
      <formula>AND(W845&lt;&gt;"",OR(M845="(specify here)",M845=""))</formula>
    </cfRule>
  </conditionalFormatting>
  <conditionalFormatting sqref="M855:V855">
    <cfRule type="expression" dxfId="179" priority="7">
      <formula>AND(W855&lt;&gt;"",OR(M855="(specify here)",M855=""))</formula>
    </cfRule>
  </conditionalFormatting>
  <conditionalFormatting sqref="M858:V862">
    <cfRule type="expression" dxfId="178" priority="6">
      <formula>AND(W858&lt;&gt;"",OR(M858="(specify here)",M858=""))</formula>
    </cfRule>
  </conditionalFormatting>
  <conditionalFormatting sqref="C877:AB877">
    <cfRule type="expression" dxfId="177" priority="4">
      <formula>AND(AC877&lt;&gt;"",OR(C877="Other (Specify):",C877=""))</formula>
    </cfRule>
  </conditionalFormatting>
  <conditionalFormatting sqref="C878:AB878">
    <cfRule type="expression" dxfId="176" priority="2">
      <formula>AND(AC878&lt;&gt;"",OR(C878="Other (Specify):",C878=""))</formula>
    </cfRule>
  </conditionalFormatting>
  <conditionalFormatting sqref="W944:AG944">
    <cfRule type="expression" dxfId="175"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13" zoomScale="125" zoomScaleNormal="125" zoomScaleSheetLayoutView="90" workbookViewId="0">
      <selection activeCell="D93" sqref="D93"/>
    </sheetView>
  </sheetViews>
  <sheetFormatPr defaultColWidth="0" defaultRowHeight="11.5" zeroHeight="1"/>
  <cols>
    <col min="1" max="1" width="35.6328125" style="199"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6328125" style="158" hidden="1"/>
    <col min="16384" max="16384" width="8.984375E-2" style="158" customWidth="1"/>
  </cols>
  <sheetData>
    <row r="1" spans="1:21" s="110" customFormat="1" ht="13.5">
      <c r="A1" s="168" t="s">
        <v>559</v>
      </c>
      <c r="B1" s="125"/>
      <c r="C1" s="125"/>
      <c r="D1" s="125"/>
      <c r="E1" s="126"/>
      <c r="F1" s="1859" t="s">
        <v>631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1)CCRC TE Perm Loan Tranche A</v>
      </c>
      <c r="G2" s="139" t="str">
        <f>Application!B624&amp;Application!C624</f>
        <v>2)CCRC TE Perm Loan Tranche B</v>
      </c>
      <c r="H2" s="139" t="str">
        <f>Application!B625&amp;Application!C625</f>
        <v>3)HCD - AHSC</v>
      </c>
      <c r="I2" s="139" t="str">
        <f>Application!B626&amp;Application!C626</f>
        <v>4)San Mateo County Loans</v>
      </c>
      <c r="J2" s="139" t="str">
        <f>Application!B627&amp;Application!C627</f>
        <v>5)Santa Clara County - Stanford Funds</v>
      </c>
      <c r="K2" s="139" t="str">
        <f>Application!B628&amp;Application!C628</f>
        <v>6)City of East Palo Alto Loans</v>
      </c>
      <c r="L2" s="139" t="str">
        <f>Application!B629&amp;Application!C629</f>
        <v>7)HEART - LHTF</v>
      </c>
      <c r="M2" s="139" t="str">
        <f>Application!B630&amp;Application!C630</f>
        <v>8)LISC Housing Catalyst Fund</v>
      </c>
      <c r="N2" s="139" t="str">
        <f>Application!B631&amp;Application!C631</f>
        <v>9)Impact Fee Waiver</v>
      </c>
      <c r="O2" s="139" t="str">
        <f>Application!B632&amp;Application!C632</f>
        <v>10)Deferred Developer Fee</v>
      </c>
      <c r="P2" s="139" t="str">
        <f>Application!B633&amp;Application!C633</f>
        <v>11)Accrued/Deferred Interest</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99</v>
      </c>
      <c r="C4" s="147">
        <v>99</v>
      </c>
      <c r="D4" s="147"/>
      <c r="E4" s="147">
        <f>+B4-SUM(F4:Q4)</f>
        <v>99</v>
      </c>
      <c r="F4" s="147"/>
      <c r="G4" s="147"/>
      <c r="H4" s="147"/>
      <c r="I4" s="147"/>
      <c r="J4" s="147"/>
      <c r="K4" s="147"/>
      <c r="L4" s="147"/>
      <c r="M4" s="147"/>
      <c r="N4" s="147"/>
      <c r="O4" s="147"/>
      <c r="P4" s="147"/>
      <c r="Q4" s="147"/>
      <c r="R4" s="542">
        <f>SUM(E4:Q4)</f>
        <v>99</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42">
        <f>SUM(E5:Q5)</f>
        <v>0</v>
      </c>
      <c r="S5" s="148"/>
      <c r="T5" s="148"/>
      <c r="U5" s="143"/>
    </row>
    <row r="6" spans="1:21" s="144" customFormat="1">
      <c r="A6" s="145" t="s">
        <v>29</v>
      </c>
      <c r="B6" s="146">
        <f>SUM(C6+D6)</f>
        <v>60000</v>
      </c>
      <c r="C6" s="147">
        <v>60000</v>
      </c>
      <c r="D6" s="147"/>
      <c r="E6" s="147">
        <f t="shared" si="0"/>
        <v>60000</v>
      </c>
      <c r="F6" s="147"/>
      <c r="G6" s="147"/>
      <c r="H6" s="147"/>
      <c r="I6" s="147"/>
      <c r="J6" s="147"/>
      <c r="K6" s="147"/>
      <c r="L6" s="147"/>
      <c r="M6" s="147"/>
      <c r="N6" s="147"/>
      <c r="O6" s="147"/>
      <c r="P6" s="147"/>
      <c r="Q6" s="147"/>
      <c r="R6" s="542">
        <f>SUM(E6:Q6)</f>
        <v>60000</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42">
        <f>SUM(E7:Q7)</f>
        <v>0</v>
      </c>
      <c r="S7" s="148"/>
      <c r="T7" s="148"/>
      <c r="U7" s="143"/>
    </row>
    <row r="8" spans="1:21" s="144" customFormat="1">
      <c r="A8" s="149" t="s">
        <v>603</v>
      </c>
      <c r="B8" s="146">
        <f>SUM(C8:D8)</f>
        <v>60099</v>
      </c>
      <c r="C8" s="146">
        <f t="shared" ref="C8:Q8" si="1">SUM(C4:C7)</f>
        <v>60099</v>
      </c>
      <c r="D8" s="146">
        <f t="shared" si="1"/>
        <v>0</v>
      </c>
      <c r="E8" s="146">
        <f t="shared" si="1"/>
        <v>60099</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62">
        <f>SUM(R4:R7)</f>
        <v>60099</v>
      </c>
      <c r="S8" s="148"/>
      <c r="T8" s="148"/>
      <c r="U8" s="143"/>
    </row>
    <row r="9" spans="1:21" s="144" customFormat="1">
      <c r="A9" s="145" t="s">
        <v>604</v>
      </c>
      <c r="B9" s="146">
        <f>SUM(C9+D9)</f>
        <v>0</v>
      </c>
      <c r="C9" s="147"/>
      <c r="D9" s="147"/>
      <c r="E9" s="147">
        <f t="shared" ref="E9:E10" si="2">+B9-SUM(F9:Q9)</f>
        <v>0</v>
      </c>
      <c r="F9" s="147"/>
      <c r="G9" s="147"/>
      <c r="H9" s="147"/>
      <c r="I9" s="147"/>
      <c r="J9" s="147"/>
      <c r="K9" s="147"/>
      <c r="L9" s="147"/>
      <c r="M9" s="147"/>
      <c r="N9" s="147"/>
      <c r="O9" s="147"/>
      <c r="P9" s="147"/>
      <c r="Q9" s="147"/>
      <c r="R9" s="542">
        <f>SUM(E9:Q9)</f>
        <v>0</v>
      </c>
      <c r="S9" s="148"/>
      <c r="T9" s="147"/>
      <c r="U9" s="143"/>
    </row>
    <row r="10" spans="1:21" s="144" customFormat="1">
      <c r="A10" s="145" t="s">
        <v>605</v>
      </c>
      <c r="B10" s="146">
        <f>SUM(C10+D10)</f>
        <v>2342777</v>
      </c>
      <c r="C10" s="147">
        <v>2342777</v>
      </c>
      <c r="D10" s="147"/>
      <c r="E10" s="147">
        <f t="shared" si="2"/>
        <v>2342777</v>
      </c>
      <c r="F10" s="147"/>
      <c r="G10" s="147"/>
      <c r="H10" s="147"/>
      <c r="I10" s="147"/>
      <c r="J10" s="147"/>
      <c r="K10" s="147"/>
      <c r="L10" s="147"/>
      <c r="M10" s="147"/>
      <c r="N10" s="147"/>
      <c r="O10" s="147"/>
      <c r="P10" s="147"/>
      <c r="Q10" s="147"/>
      <c r="R10" s="542">
        <f>SUM(E10:Q10)</f>
        <v>2342777</v>
      </c>
      <c r="S10" s="147">
        <f>+B10</f>
        <v>2342777</v>
      </c>
      <c r="T10" s="147"/>
      <c r="U10" s="143"/>
    </row>
    <row r="11" spans="1:21" s="144" customFormat="1">
      <c r="A11" s="149" t="s">
        <v>606</v>
      </c>
      <c r="B11" s="146">
        <f>SUM(C11:D11)</f>
        <v>2342777</v>
      </c>
      <c r="C11" s="146">
        <f t="shared" ref="C11:Q11" si="3">SUM(C9:C10)</f>
        <v>2342777</v>
      </c>
      <c r="D11" s="146">
        <f t="shared" si="3"/>
        <v>0</v>
      </c>
      <c r="E11" s="146">
        <f t="shared" si="3"/>
        <v>2342777</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62">
        <f>SUM(R9:R10)</f>
        <v>2342777</v>
      </c>
      <c r="S11" s="148"/>
      <c r="T11" s="150">
        <f>SUM(T9:T10)</f>
        <v>0</v>
      </c>
      <c r="U11" s="143"/>
    </row>
    <row r="12" spans="1:21" s="144" customFormat="1">
      <c r="A12" s="149" t="s">
        <v>85</v>
      </c>
      <c r="B12" s="146">
        <f t="shared" ref="B12:Q12" si="4">SUM(B8+B11)</f>
        <v>2402876</v>
      </c>
      <c r="C12" s="146">
        <f t="shared" si="4"/>
        <v>2402876</v>
      </c>
      <c r="D12" s="146">
        <f t="shared" si="4"/>
        <v>0</v>
      </c>
      <c r="E12" s="146">
        <f t="shared" si="4"/>
        <v>2402876</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62">
        <f>SUM(R8+R11)</f>
        <v>2402876</v>
      </c>
      <c r="S12" s="148"/>
      <c r="T12" s="148"/>
      <c r="U12" s="143"/>
    </row>
    <row r="13" spans="1:21" s="144" customFormat="1">
      <c r="A13" s="300" t="s">
        <v>936</v>
      </c>
      <c r="B13" s="146">
        <f>SUM(C13+D13)</f>
        <v>110000</v>
      </c>
      <c r="C13" s="147">
        <v>110000</v>
      </c>
      <c r="D13" s="147"/>
      <c r="E13" s="147">
        <f t="shared" ref="E13:E15" si="5">+B13-SUM(F13:Q13)</f>
        <v>110000</v>
      </c>
      <c r="F13" s="147"/>
      <c r="G13" s="147"/>
      <c r="H13" s="147"/>
      <c r="I13" s="147"/>
      <c r="J13" s="147"/>
      <c r="K13" s="147"/>
      <c r="L13" s="147"/>
      <c r="M13" s="147"/>
      <c r="N13" s="147"/>
      <c r="O13" s="147"/>
      <c r="P13" s="147"/>
      <c r="Q13" s="147"/>
      <c r="R13" s="542">
        <f>SUM(E13:Q13)</f>
        <v>110000</v>
      </c>
      <c r="S13" s="147">
        <v>100000</v>
      </c>
      <c r="T13" s="147"/>
      <c r="U13" s="143"/>
    </row>
    <row r="14" spans="1:21" s="144" customFormat="1" ht="23">
      <c r="A14" s="301" t="s">
        <v>1824</v>
      </c>
      <c r="B14" s="146">
        <f>SUM(C14+D14)</f>
        <v>0</v>
      </c>
      <c r="C14" s="147"/>
      <c r="D14" s="147"/>
      <c r="E14" s="147">
        <f t="shared" si="5"/>
        <v>0</v>
      </c>
      <c r="F14" s="147"/>
      <c r="G14" s="147"/>
      <c r="H14" s="147"/>
      <c r="I14" s="147"/>
      <c r="J14" s="147"/>
      <c r="K14" s="147"/>
      <c r="L14" s="147"/>
      <c r="M14" s="147"/>
      <c r="N14" s="147"/>
      <c r="O14" s="147"/>
      <c r="P14" s="147"/>
      <c r="Q14" s="147"/>
      <c r="R14" s="542">
        <f>SUM(E14:Q14)</f>
        <v>0</v>
      </c>
      <c r="S14" s="147"/>
      <c r="T14" s="147"/>
      <c r="U14" s="143"/>
    </row>
    <row r="15" spans="1:21" s="144" customFormat="1">
      <c r="A15" s="301" t="s">
        <v>1303</v>
      </c>
      <c r="B15" s="146">
        <f>SUM(C15+D15)</f>
        <v>0</v>
      </c>
      <c r="C15" s="147"/>
      <c r="D15" s="147"/>
      <c r="E15" s="147">
        <f t="shared" si="5"/>
        <v>0</v>
      </c>
      <c r="F15" s="147"/>
      <c r="G15" s="147"/>
      <c r="H15" s="147"/>
      <c r="I15" s="147"/>
      <c r="J15" s="147"/>
      <c r="K15" s="147"/>
      <c r="L15" s="147"/>
      <c r="M15" s="147"/>
      <c r="N15" s="147"/>
      <c r="O15" s="147"/>
      <c r="P15" s="147"/>
      <c r="Q15" s="147"/>
      <c r="R15" s="542">
        <f>SUM(E15:Q15)</f>
        <v>0</v>
      </c>
      <c r="S15" s="148"/>
      <c r="T15" s="148"/>
      <c r="U15" s="143"/>
    </row>
    <row r="16" spans="1:21" s="144" customFormat="1" ht="12">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6">SUM(C17+D17)</f>
        <v>0</v>
      </c>
      <c r="C17" s="147"/>
      <c r="D17" s="147"/>
      <c r="E17" s="147"/>
      <c r="F17" s="147"/>
      <c r="G17" s="147"/>
      <c r="H17" s="147"/>
      <c r="I17" s="147"/>
      <c r="J17" s="147"/>
      <c r="K17" s="147"/>
      <c r="L17" s="147"/>
      <c r="M17" s="147"/>
      <c r="N17" s="147"/>
      <c r="O17" s="147"/>
      <c r="P17" s="147"/>
      <c r="Q17" s="147"/>
      <c r="R17" s="542">
        <f>SUM(E17:Q17)</f>
        <v>0</v>
      </c>
      <c r="S17" s="147"/>
      <c r="T17" s="147"/>
      <c r="U17" s="143"/>
    </row>
    <row r="18" spans="1:21" s="144" customFormat="1">
      <c r="A18" s="145" t="s">
        <v>609</v>
      </c>
      <c r="B18" s="146">
        <f t="shared" si="6"/>
        <v>0</v>
      </c>
      <c r="C18" s="147"/>
      <c r="D18" s="147"/>
      <c r="E18" s="147"/>
      <c r="F18" s="147"/>
      <c r="G18" s="147"/>
      <c r="H18" s="147"/>
      <c r="I18" s="147"/>
      <c r="J18" s="147"/>
      <c r="K18" s="147"/>
      <c r="L18" s="147"/>
      <c r="M18" s="147"/>
      <c r="N18" s="147"/>
      <c r="O18" s="147"/>
      <c r="P18" s="147"/>
      <c r="Q18" s="147"/>
      <c r="R18" s="542">
        <f>SUM(E18:Q18)</f>
        <v>0</v>
      </c>
      <c r="S18" s="147"/>
      <c r="T18" s="147"/>
      <c r="U18" s="143"/>
    </row>
    <row r="19" spans="1:21" s="144" customFormat="1">
      <c r="A19" s="145" t="s">
        <v>610</v>
      </c>
      <c r="B19" s="146">
        <f t="shared" si="6"/>
        <v>0</v>
      </c>
      <c r="C19" s="147"/>
      <c r="D19" s="147"/>
      <c r="E19" s="147"/>
      <c r="F19" s="147"/>
      <c r="G19" s="147"/>
      <c r="H19" s="147"/>
      <c r="I19" s="147"/>
      <c r="J19" s="147"/>
      <c r="K19" s="147"/>
      <c r="L19" s="147"/>
      <c r="M19" s="147"/>
      <c r="N19" s="147"/>
      <c r="O19" s="147"/>
      <c r="P19" s="147"/>
      <c r="Q19" s="147"/>
      <c r="R19" s="542">
        <f>SUM(E19:Q19)</f>
        <v>0</v>
      </c>
      <c r="S19" s="147"/>
      <c r="T19" s="147"/>
      <c r="U19" s="143"/>
    </row>
    <row r="20" spans="1:21" s="144" customFormat="1">
      <c r="A20" s="145" t="s">
        <v>138</v>
      </c>
      <c r="B20" s="146">
        <f t="shared" si="6"/>
        <v>0</v>
      </c>
      <c r="C20" s="147"/>
      <c r="D20" s="147"/>
      <c r="E20" s="147"/>
      <c r="F20" s="147"/>
      <c r="G20" s="147"/>
      <c r="H20" s="147"/>
      <c r="I20" s="147"/>
      <c r="J20" s="147"/>
      <c r="K20" s="147"/>
      <c r="L20" s="147"/>
      <c r="M20" s="147"/>
      <c r="N20" s="147"/>
      <c r="O20" s="147"/>
      <c r="P20" s="147"/>
      <c r="Q20" s="147"/>
      <c r="R20" s="542">
        <f t="shared" ref="R20:R27" si="7">SUM(E20:Q20)</f>
        <v>0</v>
      </c>
      <c r="S20" s="147"/>
      <c r="T20" s="147"/>
      <c r="U20" s="143"/>
    </row>
    <row r="21" spans="1:21" s="144" customFormat="1">
      <c r="A21" s="145" t="s">
        <v>139</v>
      </c>
      <c r="B21" s="146">
        <f t="shared" si="6"/>
        <v>0</v>
      </c>
      <c r="C21" s="147"/>
      <c r="D21" s="147"/>
      <c r="E21" s="147"/>
      <c r="F21" s="147"/>
      <c r="G21" s="147"/>
      <c r="H21" s="147"/>
      <c r="I21" s="147"/>
      <c r="J21" s="147"/>
      <c r="K21" s="147"/>
      <c r="L21" s="147"/>
      <c r="M21" s="147"/>
      <c r="N21" s="147"/>
      <c r="O21" s="147"/>
      <c r="P21" s="147"/>
      <c r="Q21" s="147"/>
      <c r="R21" s="542">
        <f t="shared" si="7"/>
        <v>0</v>
      </c>
      <c r="S21" s="147"/>
      <c r="T21" s="147"/>
      <c r="U21" s="143"/>
    </row>
    <row r="22" spans="1:21" s="144" customFormat="1">
      <c r="A22" s="145" t="s">
        <v>140</v>
      </c>
      <c r="B22" s="146">
        <f t="shared" si="6"/>
        <v>0</v>
      </c>
      <c r="C22" s="147"/>
      <c r="D22" s="147"/>
      <c r="E22" s="147"/>
      <c r="F22" s="147"/>
      <c r="G22" s="147"/>
      <c r="H22" s="147"/>
      <c r="I22" s="147"/>
      <c r="J22" s="147"/>
      <c r="K22" s="147"/>
      <c r="L22" s="147"/>
      <c r="M22" s="147"/>
      <c r="N22" s="147"/>
      <c r="O22" s="147"/>
      <c r="P22" s="147"/>
      <c r="Q22" s="147"/>
      <c r="R22" s="542">
        <f t="shared" si="7"/>
        <v>0</v>
      </c>
      <c r="S22" s="147"/>
      <c r="T22" s="147"/>
      <c r="U22" s="143"/>
    </row>
    <row r="23" spans="1:21" s="144" customFormat="1">
      <c r="A23" s="145" t="s">
        <v>141</v>
      </c>
      <c r="B23" s="146">
        <f t="shared" si="6"/>
        <v>0</v>
      </c>
      <c r="C23" s="147"/>
      <c r="D23" s="147"/>
      <c r="E23" s="147"/>
      <c r="F23" s="147"/>
      <c r="G23" s="147"/>
      <c r="H23" s="147"/>
      <c r="I23" s="147"/>
      <c r="J23" s="147"/>
      <c r="K23" s="147"/>
      <c r="L23" s="147"/>
      <c r="M23" s="147"/>
      <c r="N23" s="147"/>
      <c r="O23" s="147"/>
      <c r="P23" s="147"/>
      <c r="Q23" s="147"/>
      <c r="R23" s="542">
        <f t="shared" si="7"/>
        <v>0</v>
      </c>
      <c r="S23" s="147"/>
      <c r="T23" s="147"/>
      <c r="U23" s="143"/>
    </row>
    <row r="24" spans="1:21" s="144" customFormat="1">
      <c r="A24" s="534" t="s">
        <v>1821</v>
      </c>
      <c r="B24" s="146">
        <f t="shared" si="6"/>
        <v>0</v>
      </c>
      <c r="C24" s="147"/>
      <c r="D24" s="147"/>
      <c r="E24" s="147"/>
      <c r="F24" s="147"/>
      <c r="G24" s="147"/>
      <c r="H24" s="147"/>
      <c r="I24" s="147"/>
      <c r="J24" s="147"/>
      <c r="K24" s="147"/>
      <c r="L24" s="147"/>
      <c r="M24" s="147"/>
      <c r="N24" s="147"/>
      <c r="O24" s="147"/>
      <c r="P24" s="147"/>
      <c r="Q24" s="147"/>
      <c r="R24" s="542">
        <f t="shared" si="7"/>
        <v>0</v>
      </c>
      <c r="S24" s="147"/>
      <c r="T24" s="147"/>
      <c r="U24" s="143"/>
    </row>
    <row r="25" spans="1:21" s="144" customFormat="1">
      <c r="A25" s="1184" t="s">
        <v>34</v>
      </c>
      <c r="B25" s="146">
        <f t="shared" si="6"/>
        <v>0</v>
      </c>
      <c r="C25" s="147"/>
      <c r="D25" s="147"/>
      <c r="E25" s="147"/>
      <c r="F25" s="147"/>
      <c r="G25" s="147"/>
      <c r="H25" s="147"/>
      <c r="I25" s="147"/>
      <c r="J25" s="147"/>
      <c r="K25" s="147"/>
      <c r="L25" s="147"/>
      <c r="M25" s="147"/>
      <c r="N25" s="147"/>
      <c r="O25" s="147"/>
      <c r="P25" s="147"/>
      <c r="Q25" s="147"/>
      <c r="R25" s="542">
        <f t="shared" si="7"/>
        <v>0</v>
      </c>
      <c r="S25" s="147"/>
      <c r="T25" s="147"/>
      <c r="U25" s="143"/>
    </row>
    <row r="26" spans="1:21" s="144" customFormat="1">
      <c r="A26" s="149" t="s">
        <v>134</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62">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42">
        <f t="shared" si="7"/>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9">SUM(C29+D29)</f>
        <v>3951762</v>
      </c>
      <c r="C29" s="147">
        <v>3951762</v>
      </c>
      <c r="D29" s="147"/>
      <c r="E29" s="147">
        <f t="shared" ref="E29:E37" si="10">+B29-SUM(F29:Q29)</f>
        <v>3951762</v>
      </c>
      <c r="F29" s="147"/>
      <c r="G29" s="147"/>
      <c r="H29" s="147"/>
      <c r="I29" s="147"/>
      <c r="J29" s="147"/>
      <c r="K29" s="147"/>
      <c r="L29" s="147"/>
      <c r="M29" s="147"/>
      <c r="N29" s="147"/>
      <c r="O29" s="147"/>
      <c r="P29" s="147"/>
      <c r="Q29" s="147"/>
      <c r="R29" s="542">
        <f t="shared" ref="R29:R37" si="11">SUM(E29:Q29)</f>
        <v>3951762</v>
      </c>
      <c r="S29" s="147">
        <f t="shared" ref="S29:S37" si="12">+B29</f>
        <v>3951762</v>
      </c>
      <c r="T29" s="147"/>
      <c r="U29" s="143"/>
    </row>
    <row r="30" spans="1:21" s="144" customFormat="1">
      <c r="A30" s="145" t="s">
        <v>609</v>
      </c>
      <c r="B30" s="146">
        <f t="shared" si="9"/>
        <v>82846243</v>
      </c>
      <c r="C30" s="147">
        <v>82846243</v>
      </c>
      <c r="D30" s="147"/>
      <c r="E30" s="147">
        <f t="shared" si="10"/>
        <v>15170156</v>
      </c>
      <c r="F30" s="147">
        <f>+F108</f>
        <v>13204000</v>
      </c>
      <c r="G30" s="147">
        <f t="shared" ref="G30:M30" si="13">+G108</f>
        <v>4117000</v>
      </c>
      <c r="H30" s="147">
        <f t="shared" si="13"/>
        <v>11700000</v>
      </c>
      <c r="I30" s="147">
        <f t="shared" si="13"/>
        <v>21425087</v>
      </c>
      <c r="J30" s="147">
        <f t="shared" si="13"/>
        <v>1500000</v>
      </c>
      <c r="K30" s="147">
        <f t="shared" si="13"/>
        <v>7214000</v>
      </c>
      <c r="L30" s="147">
        <f t="shared" si="13"/>
        <v>3230000</v>
      </c>
      <c r="M30" s="147">
        <f t="shared" si="13"/>
        <v>5286000</v>
      </c>
      <c r="N30" s="147"/>
      <c r="O30" s="147"/>
      <c r="P30" s="147"/>
      <c r="Q30" s="147"/>
      <c r="R30" s="542">
        <f t="shared" si="11"/>
        <v>82846243</v>
      </c>
      <c r="S30" s="147">
        <f t="shared" si="12"/>
        <v>82846243</v>
      </c>
      <c r="T30" s="147"/>
      <c r="U30" s="143"/>
    </row>
    <row r="31" spans="1:21" s="144" customFormat="1">
      <c r="A31" s="145" t="s">
        <v>610</v>
      </c>
      <c r="B31" s="146">
        <f t="shared" si="9"/>
        <v>4105528</v>
      </c>
      <c r="C31" s="147">
        <v>4105528</v>
      </c>
      <c r="D31" s="147"/>
      <c r="E31" s="147">
        <f t="shared" si="10"/>
        <v>4105528</v>
      </c>
      <c r="F31" s="147"/>
      <c r="G31" s="147"/>
      <c r="H31" s="147"/>
      <c r="I31" s="147"/>
      <c r="J31" s="147"/>
      <c r="K31" s="147"/>
      <c r="L31" s="147"/>
      <c r="M31" s="147"/>
      <c r="N31" s="147"/>
      <c r="O31" s="147"/>
      <c r="P31" s="147"/>
      <c r="Q31" s="147"/>
      <c r="R31" s="542">
        <f t="shared" si="11"/>
        <v>4105528</v>
      </c>
      <c r="S31" s="147">
        <f t="shared" si="12"/>
        <v>4105528</v>
      </c>
      <c r="T31" s="147"/>
      <c r="U31" s="143"/>
    </row>
    <row r="32" spans="1:21" s="144" customFormat="1">
      <c r="A32" s="145" t="s">
        <v>138</v>
      </c>
      <c r="B32" s="146">
        <f t="shared" si="9"/>
        <v>3514646</v>
      </c>
      <c r="C32" s="147">
        <v>3514646</v>
      </c>
      <c r="D32" s="147"/>
      <c r="E32" s="147">
        <f t="shared" si="10"/>
        <v>3514646</v>
      </c>
      <c r="F32" s="147"/>
      <c r="G32" s="147"/>
      <c r="H32" s="147"/>
      <c r="I32" s="147"/>
      <c r="J32" s="147"/>
      <c r="K32" s="147"/>
      <c r="L32" s="147"/>
      <c r="M32" s="147"/>
      <c r="N32" s="147"/>
      <c r="O32" s="147"/>
      <c r="P32" s="147"/>
      <c r="Q32" s="147"/>
      <c r="R32" s="542">
        <f t="shared" si="11"/>
        <v>3514646</v>
      </c>
      <c r="S32" s="147">
        <f t="shared" si="12"/>
        <v>3514646</v>
      </c>
      <c r="T32" s="147"/>
      <c r="U32" s="143"/>
    </row>
    <row r="33" spans="1:21" s="144" customFormat="1">
      <c r="A33" s="145" t="s">
        <v>139</v>
      </c>
      <c r="B33" s="146">
        <f t="shared" si="9"/>
        <v>0</v>
      </c>
      <c r="C33" s="147"/>
      <c r="D33" s="147"/>
      <c r="E33" s="147">
        <f t="shared" si="10"/>
        <v>0</v>
      </c>
      <c r="F33" s="147"/>
      <c r="G33" s="147"/>
      <c r="H33" s="147"/>
      <c r="I33" s="147"/>
      <c r="J33" s="147"/>
      <c r="K33" s="147"/>
      <c r="L33" s="147"/>
      <c r="M33" s="147"/>
      <c r="N33" s="147"/>
      <c r="O33" s="147"/>
      <c r="P33" s="147"/>
      <c r="Q33" s="147"/>
      <c r="R33" s="542">
        <f t="shared" si="11"/>
        <v>0</v>
      </c>
      <c r="S33" s="147">
        <f t="shared" si="12"/>
        <v>0</v>
      </c>
      <c r="T33" s="147"/>
      <c r="U33" s="143"/>
    </row>
    <row r="34" spans="1:21" s="144" customFormat="1">
      <c r="A34" s="145" t="s">
        <v>140</v>
      </c>
      <c r="B34" s="146">
        <f t="shared" si="9"/>
        <v>0</v>
      </c>
      <c r="C34" s="147"/>
      <c r="D34" s="147"/>
      <c r="E34" s="147">
        <f t="shared" si="10"/>
        <v>0</v>
      </c>
      <c r="F34" s="147"/>
      <c r="G34" s="147"/>
      <c r="H34" s="147"/>
      <c r="I34" s="147"/>
      <c r="J34" s="147"/>
      <c r="K34" s="147"/>
      <c r="L34" s="147"/>
      <c r="M34" s="147"/>
      <c r="N34" s="147"/>
      <c r="O34" s="147"/>
      <c r="P34" s="147"/>
      <c r="Q34" s="147"/>
      <c r="R34" s="542">
        <f t="shared" si="11"/>
        <v>0</v>
      </c>
      <c r="S34" s="147">
        <f t="shared" si="12"/>
        <v>0</v>
      </c>
      <c r="T34" s="147"/>
      <c r="U34" s="143"/>
    </row>
    <row r="35" spans="1:21" s="144" customFormat="1">
      <c r="A35" s="145" t="s">
        <v>141</v>
      </c>
      <c r="B35" s="146">
        <f t="shared" si="9"/>
        <v>2291037</v>
      </c>
      <c r="C35" s="147">
        <v>2291037</v>
      </c>
      <c r="D35" s="147"/>
      <c r="E35" s="147">
        <f t="shared" si="10"/>
        <v>2291037</v>
      </c>
      <c r="F35" s="147"/>
      <c r="G35" s="147"/>
      <c r="H35" s="147"/>
      <c r="I35" s="147"/>
      <c r="J35" s="147"/>
      <c r="K35" s="147"/>
      <c r="L35" s="147"/>
      <c r="M35" s="147"/>
      <c r="N35" s="147"/>
      <c r="O35" s="147"/>
      <c r="P35" s="147"/>
      <c r="Q35" s="147"/>
      <c r="R35" s="542">
        <f t="shared" si="11"/>
        <v>2291037</v>
      </c>
      <c r="S35" s="147">
        <f t="shared" si="12"/>
        <v>2291037</v>
      </c>
      <c r="T35" s="147"/>
      <c r="U35" s="143"/>
    </row>
    <row r="36" spans="1:21" s="144" customFormat="1">
      <c r="A36" s="295" t="s">
        <v>1821</v>
      </c>
      <c r="B36" s="146">
        <f t="shared" si="9"/>
        <v>0</v>
      </c>
      <c r="C36" s="147"/>
      <c r="D36" s="147"/>
      <c r="E36" s="147">
        <f t="shared" si="10"/>
        <v>0</v>
      </c>
      <c r="F36" s="147"/>
      <c r="G36" s="147"/>
      <c r="H36" s="147"/>
      <c r="I36" s="147"/>
      <c r="J36" s="147"/>
      <c r="K36" s="147"/>
      <c r="L36" s="147"/>
      <c r="M36" s="147"/>
      <c r="N36" s="147"/>
      <c r="O36" s="147"/>
      <c r="P36" s="147"/>
      <c r="Q36" s="147"/>
      <c r="R36" s="542">
        <f t="shared" si="11"/>
        <v>0</v>
      </c>
      <c r="S36" s="147">
        <f t="shared" si="12"/>
        <v>0</v>
      </c>
      <c r="T36" s="147"/>
      <c r="U36" s="143"/>
    </row>
    <row r="37" spans="1:21" s="144" customFormat="1">
      <c r="A37" s="1184" t="s">
        <v>34</v>
      </c>
      <c r="B37" s="146">
        <f t="shared" si="9"/>
        <v>0</v>
      </c>
      <c r="C37" s="147"/>
      <c r="D37" s="147"/>
      <c r="E37" s="147">
        <f t="shared" si="10"/>
        <v>0</v>
      </c>
      <c r="F37" s="147"/>
      <c r="G37" s="147"/>
      <c r="H37" s="147"/>
      <c r="I37" s="147"/>
      <c r="J37" s="147"/>
      <c r="K37" s="147"/>
      <c r="L37" s="147"/>
      <c r="M37" s="147"/>
      <c r="N37" s="147"/>
      <c r="O37" s="147"/>
      <c r="P37" s="147"/>
      <c r="Q37" s="147"/>
      <c r="R37" s="542">
        <f t="shared" si="11"/>
        <v>0</v>
      </c>
      <c r="S37" s="147">
        <f t="shared" si="12"/>
        <v>0</v>
      </c>
      <c r="T37" s="147"/>
      <c r="U37" s="143"/>
    </row>
    <row r="38" spans="1:21" s="144" customFormat="1">
      <c r="A38" s="149" t="s">
        <v>144</v>
      </c>
      <c r="B38" s="146">
        <f t="shared" si="9"/>
        <v>96709216</v>
      </c>
      <c r="C38" s="146">
        <f>SUM(C29:C37)</f>
        <v>96709216</v>
      </c>
      <c r="D38" s="146">
        <f t="shared" ref="D38:Q38" si="14">SUM(D29:D37)</f>
        <v>0</v>
      </c>
      <c r="E38" s="146">
        <f t="shared" si="14"/>
        <v>29033129</v>
      </c>
      <c r="F38" s="146">
        <f t="shared" si="14"/>
        <v>13204000</v>
      </c>
      <c r="G38" s="146">
        <f t="shared" si="14"/>
        <v>4117000</v>
      </c>
      <c r="H38" s="146">
        <f t="shared" si="14"/>
        <v>11700000</v>
      </c>
      <c r="I38" s="146">
        <f t="shared" si="14"/>
        <v>21425087</v>
      </c>
      <c r="J38" s="146">
        <f t="shared" si="14"/>
        <v>1500000</v>
      </c>
      <c r="K38" s="146">
        <f t="shared" si="14"/>
        <v>7214000</v>
      </c>
      <c r="L38" s="146">
        <f t="shared" si="14"/>
        <v>3230000</v>
      </c>
      <c r="M38" s="146">
        <f t="shared" si="14"/>
        <v>5286000</v>
      </c>
      <c r="N38" s="146">
        <f t="shared" si="14"/>
        <v>0</v>
      </c>
      <c r="O38" s="146">
        <f t="shared" si="14"/>
        <v>0</v>
      </c>
      <c r="P38" s="146">
        <f t="shared" si="14"/>
        <v>0</v>
      </c>
      <c r="Q38" s="146">
        <f t="shared" si="14"/>
        <v>0</v>
      </c>
      <c r="R38" s="362">
        <f>SUM(R29:R37)</f>
        <v>96709216</v>
      </c>
      <c r="S38" s="150">
        <f>SUM(S29:S37)</f>
        <v>96709216</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2112089</v>
      </c>
      <c r="C40" s="147">
        <v>2112089</v>
      </c>
      <c r="D40" s="147"/>
      <c r="E40" s="147">
        <f t="shared" ref="E40:E41" si="15">+B40-SUM(F40:Q40)</f>
        <v>2112089</v>
      </c>
      <c r="F40" s="147"/>
      <c r="G40" s="147"/>
      <c r="H40" s="147"/>
      <c r="I40" s="147"/>
      <c r="J40" s="147"/>
      <c r="K40" s="147"/>
      <c r="L40" s="147"/>
      <c r="M40" s="147"/>
      <c r="N40" s="147"/>
      <c r="O40" s="147"/>
      <c r="P40" s="147"/>
      <c r="Q40" s="147"/>
      <c r="R40" s="542">
        <f>SUM(E40:Q40)</f>
        <v>2112089</v>
      </c>
      <c r="S40" s="147">
        <f t="shared" ref="S40:S41" si="16">+B40</f>
        <v>2112089</v>
      </c>
      <c r="T40" s="147"/>
      <c r="U40" s="143"/>
    </row>
    <row r="41" spans="1:21" s="144" customFormat="1">
      <c r="A41" s="145" t="s">
        <v>147</v>
      </c>
      <c r="B41" s="146">
        <f>SUM(C41+D41)</f>
        <v>690000</v>
      </c>
      <c r="C41" s="147">
        <v>690000</v>
      </c>
      <c r="D41" s="147"/>
      <c r="E41" s="147">
        <f t="shared" si="15"/>
        <v>690000</v>
      </c>
      <c r="F41" s="147"/>
      <c r="G41" s="147"/>
      <c r="H41" s="147"/>
      <c r="I41" s="147"/>
      <c r="J41" s="147"/>
      <c r="K41" s="147"/>
      <c r="L41" s="147"/>
      <c r="M41" s="147"/>
      <c r="N41" s="147"/>
      <c r="O41" s="147"/>
      <c r="P41" s="147"/>
      <c r="Q41" s="147"/>
      <c r="R41" s="542">
        <f>SUM(E41:Q41)</f>
        <v>690000</v>
      </c>
      <c r="S41" s="147">
        <f t="shared" si="16"/>
        <v>690000</v>
      </c>
      <c r="T41" s="147"/>
      <c r="U41" s="143"/>
    </row>
    <row r="42" spans="1:21" s="144" customFormat="1">
      <c r="A42" s="149" t="s">
        <v>148</v>
      </c>
      <c r="B42" s="146">
        <f>SUM(C42:D42)</f>
        <v>2802089</v>
      </c>
      <c r="C42" s="146">
        <f>SUM(C39:C41)</f>
        <v>2802089</v>
      </c>
      <c r="D42" s="146">
        <f>SUM(D39:D41)</f>
        <v>0</v>
      </c>
      <c r="E42" s="146">
        <f t="shared" ref="E42:T42" si="17">SUM(E40:E41)</f>
        <v>2802089</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62">
        <f>SUM(R40:R41)</f>
        <v>2802089</v>
      </c>
      <c r="S42" s="150">
        <f t="shared" si="17"/>
        <v>2802089</v>
      </c>
      <c r="T42" s="150">
        <f t="shared" si="17"/>
        <v>0</v>
      </c>
      <c r="U42" s="143"/>
    </row>
    <row r="43" spans="1:21" s="144" customFormat="1">
      <c r="A43" s="149" t="s">
        <v>149</v>
      </c>
      <c r="B43" s="146">
        <f>SUM(C43:D43)</f>
        <v>609370</v>
      </c>
      <c r="C43" s="147">
        <v>609370</v>
      </c>
      <c r="D43" s="147"/>
      <c r="E43" s="147">
        <f>+B43-SUM(F43:Q43)</f>
        <v>609370</v>
      </c>
      <c r="F43" s="147"/>
      <c r="G43" s="147"/>
      <c r="H43" s="147"/>
      <c r="I43" s="147"/>
      <c r="J43" s="147"/>
      <c r="K43" s="147"/>
      <c r="L43" s="147"/>
      <c r="M43" s="147"/>
      <c r="N43" s="147"/>
      <c r="O43" s="147"/>
      <c r="P43" s="147"/>
      <c r="Q43" s="147"/>
      <c r="R43" s="542">
        <f>SUM(E43:Q43)</f>
        <v>609370</v>
      </c>
      <c r="S43" s="147">
        <f>+B43</f>
        <v>609370</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8">SUM(C45+D45)</f>
        <v>8954443</v>
      </c>
      <c r="C45" s="147">
        <v>8954443</v>
      </c>
      <c r="D45" s="147"/>
      <c r="E45" s="147">
        <f t="shared" ref="E45:E53" si="19">+B45-SUM(F45:Q45)</f>
        <v>8954443</v>
      </c>
      <c r="F45" s="147"/>
      <c r="G45" s="147"/>
      <c r="H45" s="147"/>
      <c r="I45" s="147"/>
      <c r="J45" s="147"/>
      <c r="K45" s="147"/>
      <c r="L45" s="147"/>
      <c r="M45" s="147"/>
      <c r="N45" s="147"/>
      <c r="O45" s="147"/>
      <c r="P45" s="147"/>
      <c r="Q45" s="147"/>
      <c r="R45" s="542">
        <f t="shared" ref="R45:R53" si="20">SUM(E45:Q45)</f>
        <v>8954443</v>
      </c>
      <c r="S45" s="147">
        <v>3417859</v>
      </c>
      <c r="T45" s="147"/>
      <c r="U45" s="143"/>
    </row>
    <row r="46" spans="1:21" s="144" customFormat="1">
      <c r="A46" s="145" t="s">
        <v>152</v>
      </c>
      <c r="B46" s="146">
        <f t="shared" si="18"/>
        <v>1116354</v>
      </c>
      <c r="C46" s="147">
        <v>1116354</v>
      </c>
      <c r="D46" s="147"/>
      <c r="E46" s="147">
        <f t="shared" si="19"/>
        <v>1116354</v>
      </c>
      <c r="F46" s="147"/>
      <c r="G46" s="147"/>
      <c r="H46" s="147"/>
      <c r="I46" s="147"/>
      <c r="J46" s="147"/>
      <c r="K46" s="147"/>
      <c r="L46" s="147"/>
      <c r="M46" s="147"/>
      <c r="N46" s="147"/>
      <c r="O46" s="147"/>
      <c r="P46" s="147"/>
      <c r="Q46" s="147"/>
      <c r="R46" s="542">
        <f t="shared" si="20"/>
        <v>1116354</v>
      </c>
      <c r="S46" s="147">
        <v>331194</v>
      </c>
      <c r="T46" s="147"/>
      <c r="U46" s="143"/>
    </row>
    <row r="47" spans="1:21" s="144" customFormat="1">
      <c r="A47" s="198" t="s">
        <v>153</v>
      </c>
      <c r="B47" s="146">
        <f t="shared" si="18"/>
        <v>0</v>
      </c>
      <c r="C47" s="147"/>
      <c r="D47" s="147"/>
      <c r="E47" s="147">
        <f t="shared" si="19"/>
        <v>0</v>
      </c>
      <c r="F47" s="147"/>
      <c r="G47" s="147"/>
      <c r="H47" s="147"/>
      <c r="I47" s="147"/>
      <c r="J47" s="147"/>
      <c r="K47" s="147"/>
      <c r="L47" s="147"/>
      <c r="M47" s="147"/>
      <c r="N47" s="147"/>
      <c r="O47" s="147"/>
      <c r="P47" s="147"/>
      <c r="Q47" s="147"/>
      <c r="R47" s="542">
        <f t="shared" si="20"/>
        <v>0</v>
      </c>
      <c r="S47" s="147"/>
      <c r="T47" s="147"/>
      <c r="U47" s="143"/>
    </row>
    <row r="48" spans="1:21" s="144" customFormat="1">
      <c r="A48" s="145" t="s">
        <v>154</v>
      </c>
      <c r="B48" s="146">
        <f t="shared" si="18"/>
        <v>0</v>
      </c>
      <c r="C48" s="147"/>
      <c r="D48" s="147"/>
      <c r="E48" s="147">
        <f t="shared" si="19"/>
        <v>0</v>
      </c>
      <c r="F48" s="147"/>
      <c r="G48" s="147"/>
      <c r="H48" s="147"/>
      <c r="I48" s="147"/>
      <c r="J48" s="147"/>
      <c r="K48" s="147"/>
      <c r="L48" s="147"/>
      <c r="M48" s="147"/>
      <c r="N48" s="147"/>
      <c r="O48" s="147"/>
      <c r="P48" s="147"/>
      <c r="Q48" s="147"/>
      <c r="R48" s="542">
        <f t="shared" si="20"/>
        <v>0</v>
      </c>
      <c r="S48" s="147">
        <f t="shared" ref="S48:S52" si="21">+B48</f>
        <v>0</v>
      </c>
      <c r="T48" s="147"/>
      <c r="U48" s="143"/>
    </row>
    <row r="49" spans="1:21" s="144" customFormat="1">
      <c r="A49" s="145" t="s">
        <v>57</v>
      </c>
      <c r="B49" s="146">
        <f t="shared" si="18"/>
        <v>310615</v>
      </c>
      <c r="C49" s="147">
        <v>310615</v>
      </c>
      <c r="D49" s="147"/>
      <c r="E49" s="147">
        <f t="shared" si="19"/>
        <v>310615</v>
      </c>
      <c r="F49" s="147"/>
      <c r="G49" s="147"/>
      <c r="H49" s="147"/>
      <c r="I49" s="147"/>
      <c r="J49" s="147"/>
      <c r="K49" s="147"/>
      <c r="L49" s="147"/>
      <c r="M49" s="147"/>
      <c r="N49" s="147"/>
      <c r="O49" s="147"/>
      <c r="P49" s="147"/>
      <c r="Q49" s="147"/>
      <c r="R49" s="542">
        <f t="shared" si="20"/>
        <v>310615</v>
      </c>
      <c r="S49" s="147"/>
      <c r="T49" s="147"/>
      <c r="U49" s="143"/>
    </row>
    <row r="50" spans="1:21" s="144" customFormat="1">
      <c r="A50" s="145" t="s">
        <v>157</v>
      </c>
      <c r="B50" s="146">
        <f t="shared" si="18"/>
        <v>100000</v>
      </c>
      <c r="C50" s="147">
        <v>100000</v>
      </c>
      <c r="D50" s="147"/>
      <c r="E50" s="147">
        <f t="shared" si="19"/>
        <v>100000</v>
      </c>
      <c r="F50" s="147"/>
      <c r="G50" s="147"/>
      <c r="H50" s="147"/>
      <c r="I50" s="147"/>
      <c r="J50" s="147"/>
      <c r="K50" s="147"/>
      <c r="L50" s="147"/>
      <c r="M50" s="147"/>
      <c r="N50" s="147"/>
      <c r="O50" s="147"/>
      <c r="P50" s="147"/>
      <c r="Q50" s="147"/>
      <c r="R50" s="542">
        <f t="shared" si="20"/>
        <v>100000</v>
      </c>
      <c r="S50" s="147">
        <f t="shared" si="21"/>
        <v>100000</v>
      </c>
      <c r="T50" s="147"/>
      <c r="U50" s="143"/>
    </row>
    <row r="51" spans="1:21" s="144" customFormat="1">
      <c r="A51" s="295" t="s">
        <v>155</v>
      </c>
      <c r="B51" s="146">
        <f t="shared" si="18"/>
        <v>0</v>
      </c>
      <c r="C51" s="147"/>
      <c r="D51" s="147"/>
      <c r="E51" s="147">
        <f t="shared" si="19"/>
        <v>0</v>
      </c>
      <c r="F51" s="147"/>
      <c r="G51" s="147"/>
      <c r="H51" s="147"/>
      <c r="I51" s="147"/>
      <c r="J51" s="147"/>
      <c r="K51" s="147"/>
      <c r="L51" s="147"/>
      <c r="M51" s="147"/>
      <c r="N51" s="147"/>
      <c r="O51" s="147"/>
      <c r="P51" s="147"/>
      <c r="Q51" s="147"/>
      <c r="R51" s="542">
        <f t="shared" si="20"/>
        <v>0</v>
      </c>
      <c r="S51" s="147">
        <f t="shared" si="21"/>
        <v>0</v>
      </c>
      <c r="T51" s="147"/>
      <c r="U51" s="143"/>
    </row>
    <row r="52" spans="1:21" s="144" customFormat="1">
      <c r="A52" s="145" t="s">
        <v>156</v>
      </c>
      <c r="B52" s="146">
        <f t="shared" si="18"/>
        <v>1468687</v>
      </c>
      <c r="C52" s="147">
        <v>1468687</v>
      </c>
      <c r="D52" s="147"/>
      <c r="E52" s="147">
        <f t="shared" si="19"/>
        <v>1468687</v>
      </c>
      <c r="F52" s="147"/>
      <c r="G52" s="147"/>
      <c r="H52" s="147"/>
      <c r="I52" s="147"/>
      <c r="J52" s="147"/>
      <c r="K52" s="147"/>
      <c r="L52" s="147"/>
      <c r="M52" s="147"/>
      <c r="N52" s="147"/>
      <c r="O52" s="147"/>
      <c r="P52" s="147"/>
      <c r="Q52" s="147"/>
      <c r="R52" s="542">
        <f t="shared" si="20"/>
        <v>1468687</v>
      </c>
      <c r="S52" s="147">
        <f t="shared" si="21"/>
        <v>1468687</v>
      </c>
      <c r="T52" s="147"/>
      <c r="U52" s="143"/>
    </row>
    <row r="53" spans="1:21" s="144" customFormat="1">
      <c r="A53" s="1184" t="s">
        <v>2733</v>
      </c>
      <c r="B53" s="146">
        <f t="shared" si="18"/>
        <v>1154519</v>
      </c>
      <c r="C53" s="147">
        <v>1154519</v>
      </c>
      <c r="D53" s="147"/>
      <c r="E53" s="147">
        <f t="shared" si="19"/>
        <v>109341</v>
      </c>
      <c r="F53" s="147"/>
      <c r="G53" s="147"/>
      <c r="H53" s="147"/>
      <c r="I53" s="147"/>
      <c r="J53" s="147"/>
      <c r="K53" s="147"/>
      <c r="L53" s="147"/>
      <c r="M53" s="147"/>
      <c r="N53" s="147"/>
      <c r="O53" s="147"/>
      <c r="P53" s="147">
        <f>+P108</f>
        <v>1045178</v>
      </c>
      <c r="Q53" s="147"/>
      <c r="R53" s="542">
        <f t="shared" si="20"/>
        <v>1154519</v>
      </c>
      <c r="S53" s="147">
        <v>618794</v>
      </c>
      <c r="T53" s="147"/>
      <c r="U53" s="143"/>
    </row>
    <row r="54" spans="1:21" s="153" customFormat="1">
      <c r="A54" s="149" t="s">
        <v>158</v>
      </c>
      <c r="B54" s="150">
        <f>SUM(C54:D54)</f>
        <v>13104618</v>
      </c>
      <c r="C54" s="150">
        <f t="shared" ref="C54:T54" si="22">SUM(C45:C53)</f>
        <v>13104618</v>
      </c>
      <c r="D54" s="150">
        <f t="shared" si="22"/>
        <v>0</v>
      </c>
      <c r="E54" s="150">
        <f t="shared" si="22"/>
        <v>12059440</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1045178</v>
      </c>
      <c r="Q54" s="150">
        <f t="shared" si="22"/>
        <v>0</v>
      </c>
      <c r="R54" s="362">
        <f t="shared" si="22"/>
        <v>13104618</v>
      </c>
      <c r="S54" s="150">
        <f t="shared" si="22"/>
        <v>5936534</v>
      </c>
      <c r="T54" s="150">
        <f t="shared" si="22"/>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3">SUM(C56+D56)</f>
        <v>188210</v>
      </c>
      <c r="C56" s="147">
        <v>188210</v>
      </c>
      <c r="D56" s="147"/>
      <c r="E56" s="147">
        <f t="shared" ref="E56:E61" si="24">+B56-SUM(F56:Q56)</f>
        <v>188210</v>
      </c>
      <c r="F56" s="147"/>
      <c r="G56" s="147"/>
      <c r="H56" s="147"/>
      <c r="I56" s="147"/>
      <c r="J56" s="147"/>
      <c r="K56" s="147"/>
      <c r="L56" s="147"/>
      <c r="M56" s="147"/>
      <c r="N56" s="147"/>
      <c r="O56" s="147"/>
      <c r="P56" s="147"/>
      <c r="Q56" s="147"/>
      <c r="R56" s="542">
        <f t="shared" ref="R56:R61" si="25">SUM(E56:Q56)</f>
        <v>188210</v>
      </c>
      <c r="S56" s="148"/>
      <c r="T56" s="148"/>
      <c r="U56" s="143"/>
    </row>
    <row r="57" spans="1:21" s="204" customFormat="1">
      <c r="A57" s="198" t="s">
        <v>153</v>
      </c>
      <c r="B57" s="205">
        <f t="shared" si="23"/>
        <v>0</v>
      </c>
      <c r="C57" s="202"/>
      <c r="D57" s="202"/>
      <c r="E57" s="202">
        <f t="shared" si="24"/>
        <v>0</v>
      </c>
      <c r="F57" s="202"/>
      <c r="G57" s="202"/>
      <c r="H57" s="202"/>
      <c r="I57" s="202"/>
      <c r="J57" s="202"/>
      <c r="K57" s="202"/>
      <c r="L57" s="202"/>
      <c r="M57" s="202"/>
      <c r="N57" s="202"/>
      <c r="O57" s="202"/>
      <c r="P57" s="202"/>
      <c r="Q57" s="202"/>
      <c r="R57" s="542">
        <f t="shared" si="25"/>
        <v>0</v>
      </c>
      <c r="S57" s="206"/>
      <c r="T57" s="206"/>
      <c r="U57" s="203"/>
    </row>
    <row r="58" spans="1:21" s="144" customFormat="1">
      <c r="A58" s="145" t="s">
        <v>157</v>
      </c>
      <c r="B58" s="146">
        <f t="shared" si="23"/>
        <v>25000</v>
      </c>
      <c r="C58" s="147">
        <v>25000</v>
      </c>
      <c r="D58" s="147"/>
      <c r="E58" s="147">
        <f t="shared" si="24"/>
        <v>25000</v>
      </c>
      <c r="F58" s="147"/>
      <c r="G58" s="147"/>
      <c r="H58" s="147"/>
      <c r="I58" s="147"/>
      <c r="J58" s="147"/>
      <c r="K58" s="147"/>
      <c r="L58" s="147"/>
      <c r="M58" s="147"/>
      <c r="N58" s="147"/>
      <c r="O58" s="147"/>
      <c r="P58" s="147"/>
      <c r="Q58" s="147"/>
      <c r="R58" s="542">
        <f t="shared" si="25"/>
        <v>25000</v>
      </c>
      <c r="S58" s="148"/>
      <c r="T58" s="148"/>
      <c r="U58" s="143"/>
    </row>
    <row r="59" spans="1:21" s="144" customFormat="1">
      <c r="A59" s="295" t="s">
        <v>155</v>
      </c>
      <c r="B59" s="146">
        <f t="shared" si="23"/>
        <v>0</v>
      </c>
      <c r="C59" s="147"/>
      <c r="D59" s="147"/>
      <c r="E59" s="147">
        <f t="shared" si="24"/>
        <v>0</v>
      </c>
      <c r="F59" s="147"/>
      <c r="G59" s="147"/>
      <c r="H59" s="147"/>
      <c r="I59" s="147"/>
      <c r="J59" s="147"/>
      <c r="K59" s="147"/>
      <c r="L59" s="147"/>
      <c r="M59" s="147"/>
      <c r="N59" s="147"/>
      <c r="O59" s="147"/>
      <c r="P59" s="147"/>
      <c r="Q59" s="147"/>
      <c r="R59" s="542">
        <f t="shared" si="25"/>
        <v>0</v>
      </c>
      <c r="S59" s="148"/>
      <c r="T59" s="148"/>
      <c r="U59" s="143"/>
    </row>
    <row r="60" spans="1:21" s="144" customFormat="1">
      <c r="A60" s="145" t="s">
        <v>156</v>
      </c>
      <c r="B60" s="146">
        <f t="shared" si="23"/>
        <v>0</v>
      </c>
      <c r="C60" s="147"/>
      <c r="D60" s="147"/>
      <c r="E60" s="147">
        <f t="shared" si="24"/>
        <v>0</v>
      </c>
      <c r="F60" s="147"/>
      <c r="G60" s="147"/>
      <c r="H60" s="147"/>
      <c r="I60" s="147"/>
      <c r="J60" s="147"/>
      <c r="K60" s="147"/>
      <c r="L60" s="147"/>
      <c r="M60" s="147"/>
      <c r="N60" s="147"/>
      <c r="O60" s="147"/>
      <c r="P60" s="147"/>
      <c r="Q60" s="147"/>
      <c r="R60" s="542">
        <f t="shared" si="25"/>
        <v>0</v>
      </c>
      <c r="S60" s="148"/>
      <c r="T60" s="148"/>
      <c r="U60" s="143"/>
    </row>
    <row r="61" spans="1:21" s="144" customFormat="1">
      <c r="A61" s="1184" t="s">
        <v>2746</v>
      </c>
      <c r="B61" s="146">
        <f t="shared" si="23"/>
        <v>50000</v>
      </c>
      <c r="C61" s="147">
        <v>50000</v>
      </c>
      <c r="D61" s="147"/>
      <c r="E61" s="147">
        <f t="shared" si="24"/>
        <v>50000</v>
      </c>
      <c r="F61" s="147"/>
      <c r="G61" s="147"/>
      <c r="H61" s="147"/>
      <c r="I61" s="147"/>
      <c r="J61" s="147"/>
      <c r="K61" s="147"/>
      <c r="L61" s="147"/>
      <c r="M61" s="147"/>
      <c r="N61" s="147"/>
      <c r="O61" s="147"/>
      <c r="P61" s="147"/>
      <c r="Q61" s="147"/>
      <c r="R61" s="542">
        <f t="shared" si="25"/>
        <v>50000</v>
      </c>
      <c r="S61" s="148"/>
      <c r="T61" s="148"/>
      <c r="U61" s="143"/>
    </row>
    <row r="62" spans="1:21" s="144" customFormat="1" ht="14" customHeight="1">
      <c r="A62" s="149" t="s">
        <v>303</v>
      </c>
      <c r="B62" s="146">
        <f>SUM(C62:D62)</f>
        <v>263210</v>
      </c>
      <c r="C62" s="146">
        <f t="shared" ref="C62:R62" si="26">SUM(C56:C61)</f>
        <v>263210</v>
      </c>
      <c r="D62" s="146">
        <f t="shared" si="26"/>
        <v>0</v>
      </c>
      <c r="E62" s="146">
        <f t="shared" si="26"/>
        <v>263210</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62">
        <f t="shared" si="26"/>
        <v>263210</v>
      </c>
      <c r="S62" s="148"/>
      <c r="T62" s="148"/>
      <c r="U62" s="143"/>
    </row>
    <row r="63" spans="1:21" s="144" customFormat="1">
      <c r="A63" s="154" t="s">
        <v>304</v>
      </c>
      <c r="B63" s="146">
        <f t="shared" ref="B63:R63" si="27">SUM(B8+B11+B13+B14+B15+B26+B27+B38+B42+B43+B54+B62)</f>
        <v>116001379</v>
      </c>
      <c r="C63" s="146">
        <f t="shared" si="27"/>
        <v>116001379</v>
      </c>
      <c r="D63" s="146">
        <f t="shared" si="27"/>
        <v>0</v>
      </c>
      <c r="E63" s="146">
        <f t="shared" si="27"/>
        <v>47280114</v>
      </c>
      <c r="F63" s="146">
        <f t="shared" si="27"/>
        <v>13204000</v>
      </c>
      <c r="G63" s="146">
        <f t="shared" si="27"/>
        <v>4117000</v>
      </c>
      <c r="H63" s="146">
        <f t="shared" si="27"/>
        <v>11700000</v>
      </c>
      <c r="I63" s="146">
        <f t="shared" si="27"/>
        <v>21425087</v>
      </c>
      <c r="J63" s="146">
        <f t="shared" si="27"/>
        <v>1500000</v>
      </c>
      <c r="K63" s="146">
        <f t="shared" si="27"/>
        <v>7214000</v>
      </c>
      <c r="L63" s="146">
        <f t="shared" si="27"/>
        <v>3230000</v>
      </c>
      <c r="M63" s="146">
        <f t="shared" si="27"/>
        <v>5286000</v>
      </c>
      <c r="N63" s="146">
        <f t="shared" si="27"/>
        <v>0</v>
      </c>
      <c r="O63" s="146">
        <f t="shared" si="27"/>
        <v>0</v>
      </c>
      <c r="P63" s="146">
        <f t="shared" si="27"/>
        <v>1045178</v>
      </c>
      <c r="Q63" s="146">
        <f t="shared" si="27"/>
        <v>0</v>
      </c>
      <c r="R63" s="362">
        <f t="shared" si="27"/>
        <v>116001379</v>
      </c>
      <c r="S63" s="146">
        <f>SUM(S10+S13+S14+S15+S26+S27+S38+S42+S43+S54)</f>
        <v>108499986</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85000</v>
      </c>
      <c r="C65" s="147">
        <v>85000</v>
      </c>
      <c r="D65" s="147"/>
      <c r="E65" s="147">
        <f t="shared" ref="E65:E69" si="28">+B65-SUM(F65:Q65)</f>
        <v>85000</v>
      </c>
      <c r="F65" s="147"/>
      <c r="G65" s="147"/>
      <c r="H65" s="147"/>
      <c r="I65" s="147"/>
      <c r="J65" s="147"/>
      <c r="K65" s="147"/>
      <c r="L65" s="147"/>
      <c r="M65" s="147"/>
      <c r="N65" s="147"/>
      <c r="O65" s="147"/>
      <c r="P65" s="147"/>
      <c r="Q65" s="147"/>
      <c r="R65" s="542">
        <f>SUM(E65:Q65)</f>
        <v>85000</v>
      </c>
      <c r="S65" s="147">
        <v>31322</v>
      </c>
      <c r="T65" s="147"/>
      <c r="U65" s="143"/>
    </row>
    <row r="66" spans="1:21" s="144" customFormat="1" ht="24" customHeight="1">
      <c r="A66" s="295" t="s">
        <v>1822</v>
      </c>
      <c r="B66" s="146">
        <f>SUM(C66+D66)</f>
        <v>0</v>
      </c>
      <c r="C66" s="147"/>
      <c r="D66" s="147"/>
      <c r="E66" s="147">
        <f t="shared" si="28"/>
        <v>0</v>
      </c>
      <c r="F66" s="147"/>
      <c r="G66" s="147"/>
      <c r="H66" s="147"/>
      <c r="I66" s="147"/>
      <c r="J66" s="147"/>
      <c r="K66" s="147"/>
      <c r="L66" s="147"/>
      <c r="M66" s="147"/>
      <c r="N66" s="147"/>
      <c r="O66" s="147"/>
      <c r="P66" s="147"/>
      <c r="Q66" s="147"/>
      <c r="R66" s="542">
        <f>SUM(E66:Q66)</f>
        <v>0</v>
      </c>
      <c r="S66" s="147">
        <f t="shared" ref="S66:S69" si="29">+B66</f>
        <v>0</v>
      </c>
      <c r="T66" s="147"/>
      <c r="U66" s="143"/>
    </row>
    <row r="67" spans="1:21" s="144" customFormat="1" ht="24" customHeight="1">
      <c r="A67" s="295" t="s">
        <v>1823</v>
      </c>
      <c r="B67" s="146">
        <f>SUM(C67+D67)</f>
        <v>0</v>
      </c>
      <c r="C67" s="147"/>
      <c r="D67" s="147"/>
      <c r="E67" s="147">
        <f t="shared" si="28"/>
        <v>0</v>
      </c>
      <c r="F67" s="147"/>
      <c r="G67" s="147"/>
      <c r="H67" s="147"/>
      <c r="I67" s="147"/>
      <c r="J67" s="147"/>
      <c r="K67" s="147"/>
      <c r="L67" s="147"/>
      <c r="M67" s="147"/>
      <c r="N67" s="147"/>
      <c r="O67" s="147"/>
      <c r="P67" s="147"/>
      <c r="Q67" s="147"/>
      <c r="R67" s="542">
        <f>SUM(E67:Q67)</f>
        <v>0</v>
      </c>
      <c r="S67" s="147">
        <f t="shared" si="29"/>
        <v>0</v>
      </c>
      <c r="T67" s="147"/>
      <c r="U67" s="143"/>
    </row>
    <row r="68" spans="1:21" s="144" customFormat="1" ht="12" customHeight="1">
      <c r="A68" s="295" t="s">
        <v>1829</v>
      </c>
      <c r="B68" s="146">
        <f>SUM(C68+D68)</f>
        <v>0</v>
      </c>
      <c r="C68" s="147"/>
      <c r="D68" s="147"/>
      <c r="E68" s="147">
        <f t="shared" si="28"/>
        <v>0</v>
      </c>
      <c r="F68" s="147"/>
      <c r="G68" s="147"/>
      <c r="H68" s="147"/>
      <c r="I68" s="147"/>
      <c r="J68" s="147"/>
      <c r="K68" s="147"/>
      <c r="L68" s="147"/>
      <c r="M68" s="147"/>
      <c r="N68" s="147"/>
      <c r="O68" s="147"/>
      <c r="P68" s="147"/>
      <c r="Q68" s="147"/>
      <c r="R68" s="542">
        <f>SUM(E68:Q68)</f>
        <v>0</v>
      </c>
      <c r="S68" s="147">
        <f t="shared" si="29"/>
        <v>0</v>
      </c>
      <c r="T68" s="147"/>
      <c r="U68" s="143"/>
    </row>
    <row r="69" spans="1:21" s="144" customFormat="1">
      <c r="A69" s="1184" t="s">
        <v>2747</v>
      </c>
      <c r="B69" s="146">
        <f>SUM(C69+D69)</f>
        <v>50000</v>
      </c>
      <c r="C69" s="147">
        <v>50000</v>
      </c>
      <c r="D69" s="147"/>
      <c r="E69" s="147">
        <f t="shared" si="28"/>
        <v>50000</v>
      </c>
      <c r="F69" s="147"/>
      <c r="G69" s="147"/>
      <c r="H69" s="147"/>
      <c r="I69" s="147"/>
      <c r="J69" s="147"/>
      <c r="K69" s="147"/>
      <c r="L69" s="147"/>
      <c r="M69" s="147"/>
      <c r="N69" s="147"/>
      <c r="O69" s="147"/>
      <c r="P69" s="147"/>
      <c r="Q69" s="147"/>
      <c r="R69" s="542">
        <f>SUM(E69:Q69)</f>
        <v>50000</v>
      </c>
      <c r="S69" s="147">
        <f t="shared" si="29"/>
        <v>50000</v>
      </c>
      <c r="T69" s="147"/>
      <c r="U69" s="143"/>
    </row>
    <row r="70" spans="1:21" s="144" customFormat="1">
      <c r="A70" s="149" t="s">
        <v>1826</v>
      </c>
      <c r="B70" s="146">
        <f>SUM(C70:D70)</f>
        <v>135000</v>
      </c>
      <c r="C70" s="146">
        <f>SUM(C65:C69)</f>
        <v>135000</v>
      </c>
      <c r="D70" s="146">
        <f>SUM(D65:D69)</f>
        <v>0</v>
      </c>
      <c r="E70" s="146">
        <f t="shared" ref="E70:T70" si="30">SUM(E65:E69)</f>
        <v>135000</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62">
        <f t="shared" si="30"/>
        <v>135000</v>
      </c>
      <c r="S70" s="150">
        <f t="shared" si="30"/>
        <v>81322</v>
      </c>
      <c r="T70" s="150">
        <f t="shared" si="30"/>
        <v>0</v>
      </c>
      <c r="U70" s="143"/>
    </row>
    <row r="71" spans="1:21" s="144" customFormat="1" ht="12">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f t="shared" ref="E72:E76" si="31">+B72-SUM(F72:Q72)</f>
        <v>0</v>
      </c>
      <c r="F72" s="147"/>
      <c r="G72" s="147"/>
      <c r="H72" s="147"/>
      <c r="I72" s="147"/>
      <c r="J72" s="147"/>
      <c r="K72" s="147"/>
      <c r="L72" s="147"/>
      <c r="M72" s="147"/>
      <c r="N72" s="147"/>
      <c r="O72" s="147"/>
      <c r="P72" s="147"/>
      <c r="Q72" s="147"/>
      <c r="R72" s="542">
        <f>SUM(E72:Q72)</f>
        <v>0</v>
      </c>
      <c r="S72" s="148"/>
      <c r="T72" s="148"/>
      <c r="U72" s="143"/>
    </row>
    <row r="73" spans="1:21" s="144" customFormat="1">
      <c r="A73" s="145" t="s">
        <v>614</v>
      </c>
      <c r="B73" s="146">
        <f>SUM(C73+D73)</f>
        <v>350000</v>
      </c>
      <c r="C73" s="147">
        <v>350000</v>
      </c>
      <c r="D73" s="147"/>
      <c r="E73" s="147">
        <f t="shared" si="31"/>
        <v>350000</v>
      </c>
      <c r="F73" s="147"/>
      <c r="G73" s="147"/>
      <c r="H73" s="147"/>
      <c r="I73" s="147"/>
      <c r="J73" s="147"/>
      <c r="K73" s="147"/>
      <c r="L73" s="147"/>
      <c r="M73" s="147"/>
      <c r="N73" s="147"/>
      <c r="O73" s="147"/>
      <c r="P73" s="147"/>
      <c r="Q73" s="147"/>
      <c r="R73" s="542">
        <f>SUM(E73:Q73)</f>
        <v>350000</v>
      </c>
      <c r="S73" s="148"/>
      <c r="T73" s="148"/>
      <c r="U73" s="143"/>
    </row>
    <row r="74" spans="1:21" s="144" customFormat="1">
      <c r="A74" s="476" t="s">
        <v>1040</v>
      </c>
      <c r="B74" s="146">
        <f>SUM(C74+D74)</f>
        <v>0</v>
      </c>
      <c r="C74" s="147"/>
      <c r="D74" s="147"/>
      <c r="E74" s="147">
        <f t="shared" si="31"/>
        <v>0</v>
      </c>
      <c r="F74" s="147"/>
      <c r="G74" s="147"/>
      <c r="H74" s="147"/>
      <c r="I74" s="147"/>
      <c r="J74" s="147"/>
      <c r="K74" s="147"/>
      <c r="L74" s="147"/>
      <c r="M74" s="147"/>
      <c r="N74" s="147"/>
      <c r="O74" s="147"/>
      <c r="P74" s="147"/>
      <c r="Q74" s="147"/>
      <c r="R74" s="542">
        <f>SUM(E74:Q74)</f>
        <v>0</v>
      </c>
      <c r="S74" s="148"/>
      <c r="T74" s="148"/>
      <c r="U74" s="143"/>
    </row>
    <row r="75" spans="1:21" s="144" customFormat="1">
      <c r="A75" s="145" t="s">
        <v>615</v>
      </c>
      <c r="B75" s="146">
        <f>SUM(C75+D75)</f>
        <v>687805</v>
      </c>
      <c r="C75" s="147">
        <v>687805</v>
      </c>
      <c r="D75" s="147"/>
      <c r="E75" s="147">
        <f t="shared" si="31"/>
        <v>687805</v>
      </c>
      <c r="F75" s="147"/>
      <c r="G75" s="147"/>
      <c r="H75" s="147"/>
      <c r="I75" s="147"/>
      <c r="J75" s="147"/>
      <c r="K75" s="147"/>
      <c r="L75" s="147"/>
      <c r="M75" s="147"/>
      <c r="N75" s="147"/>
      <c r="O75" s="147"/>
      <c r="P75" s="147"/>
      <c r="Q75" s="147"/>
      <c r="R75" s="542">
        <f>SUM(E75:Q75)</f>
        <v>687805</v>
      </c>
      <c r="S75" s="148"/>
      <c r="T75" s="148"/>
      <c r="U75" s="143"/>
    </row>
    <row r="76" spans="1:21" s="144" customFormat="1">
      <c r="A76" s="1184" t="s">
        <v>34</v>
      </c>
      <c r="B76" s="146">
        <f>SUM(C76+D76)</f>
        <v>0</v>
      </c>
      <c r="C76" s="147"/>
      <c r="D76" s="147"/>
      <c r="E76" s="147">
        <f t="shared" si="31"/>
        <v>0</v>
      </c>
      <c r="F76" s="147"/>
      <c r="G76" s="147"/>
      <c r="H76" s="147"/>
      <c r="I76" s="147"/>
      <c r="J76" s="147"/>
      <c r="K76" s="147"/>
      <c r="L76" s="147"/>
      <c r="M76" s="147"/>
      <c r="N76" s="147"/>
      <c r="O76" s="147"/>
      <c r="P76" s="147"/>
      <c r="Q76" s="147"/>
      <c r="R76" s="542">
        <f>SUM(E76:Q76)</f>
        <v>0</v>
      </c>
      <c r="S76" s="148"/>
      <c r="T76" s="148"/>
      <c r="U76" s="143"/>
    </row>
    <row r="77" spans="1:21" s="144" customFormat="1">
      <c r="A77" s="149" t="s">
        <v>616</v>
      </c>
      <c r="B77" s="146">
        <f>SUM(C77:D77)</f>
        <v>1037805</v>
      </c>
      <c r="C77" s="146">
        <f>SUM(C72:C76)</f>
        <v>1037805</v>
      </c>
      <c r="D77" s="146">
        <f>SUM(D72:D76)</f>
        <v>0</v>
      </c>
      <c r="E77" s="146">
        <f t="shared" ref="E77:Q77" si="32">SUM(E72:E76)</f>
        <v>1037805</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62">
        <f>SUM(R72:R76)</f>
        <v>1037805</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63"/>
      <c r="S78" s="151"/>
      <c r="T78" s="151"/>
      <c r="U78" s="143"/>
    </row>
    <row r="79" spans="1:21" s="144" customFormat="1">
      <c r="A79" s="295" t="s">
        <v>1355</v>
      </c>
      <c r="B79" s="146">
        <f>SUM(C79:D79)</f>
        <v>4952600</v>
      </c>
      <c r="C79" s="147">
        <v>4952600</v>
      </c>
      <c r="D79" s="147"/>
      <c r="E79" s="147">
        <f t="shared" ref="E79:E80" si="33">+B79-SUM(F79:Q79)</f>
        <v>4952600</v>
      </c>
      <c r="F79" s="147"/>
      <c r="G79" s="147"/>
      <c r="H79" s="147"/>
      <c r="I79" s="147"/>
      <c r="J79" s="147"/>
      <c r="K79" s="147"/>
      <c r="L79" s="147"/>
      <c r="M79" s="147"/>
      <c r="N79" s="147"/>
      <c r="O79" s="147"/>
      <c r="P79" s="147"/>
      <c r="Q79" s="147"/>
      <c r="R79" s="542">
        <f>SUM(E79:Q79)</f>
        <v>4952600</v>
      </c>
      <c r="S79" s="147">
        <f t="shared" ref="S79:S80" si="34">+B79</f>
        <v>4952600</v>
      </c>
      <c r="T79" s="147"/>
      <c r="U79" s="143"/>
    </row>
    <row r="80" spans="1:21" s="144" customFormat="1">
      <c r="A80" s="295" t="s">
        <v>58</v>
      </c>
      <c r="B80" s="146">
        <f>SUM(C80:D80)</f>
        <v>765000</v>
      </c>
      <c r="C80" s="147">
        <v>765000</v>
      </c>
      <c r="D80" s="147"/>
      <c r="E80" s="147">
        <f t="shared" si="33"/>
        <v>765000</v>
      </c>
      <c r="F80" s="147"/>
      <c r="G80" s="147"/>
      <c r="H80" s="147"/>
      <c r="I80" s="147"/>
      <c r="J80" s="147"/>
      <c r="K80" s="147"/>
      <c r="L80" s="147"/>
      <c r="M80" s="147"/>
      <c r="N80" s="147"/>
      <c r="O80" s="147"/>
      <c r="P80" s="147"/>
      <c r="Q80" s="147"/>
      <c r="R80" s="542">
        <f>SUM(E80:Q80)</f>
        <v>765000</v>
      </c>
      <c r="S80" s="147">
        <f t="shared" si="34"/>
        <v>765000</v>
      </c>
      <c r="T80" s="147"/>
      <c r="U80" s="143"/>
    </row>
    <row r="81" spans="1:21" s="144" customFormat="1">
      <c r="A81" s="149" t="s">
        <v>1352</v>
      </c>
      <c r="B81" s="146">
        <f>SUM(C81:D81)</f>
        <v>5717600</v>
      </c>
      <c r="C81" s="535">
        <f>SUM(C79:C80)</f>
        <v>5717600</v>
      </c>
      <c r="D81" s="535">
        <f t="shared" ref="D81:T81" si="35">SUM(D79:D80)</f>
        <v>0</v>
      </c>
      <c r="E81" s="535">
        <f t="shared" si="35"/>
        <v>5717600</v>
      </c>
      <c r="F81" s="535">
        <f t="shared" si="35"/>
        <v>0</v>
      </c>
      <c r="G81" s="535">
        <f t="shared" si="35"/>
        <v>0</v>
      </c>
      <c r="H81" s="535">
        <f t="shared" si="35"/>
        <v>0</v>
      </c>
      <c r="I81" s="535">
        <f t="shared" si="35"/>
        <v>0</v>
      </c>
      <c r="J81" s="535">
        <f t="shared" si="35"/>
        <v>0</v>
      </c>
      <c r="K81" s="535">
        <f t="shared" si="35"/>
        <v>0</v>
      </c>
      <c r="L81" s="535">
        <f t="shared" si="35"/>
        <v>0</v>
      </c>
      <c r="M81" s="535">
        <f t="shared" si="35"/>
        <v>0</v>
      </c>
      <c r="N81" s="535">
        <f t="shared" si="35"/>
        <v>0</v>
      </c>
      <c r="O81" s="535">
        <f t="shared" si="35"/>
        <v>0</v>
      </c>
      <c r="P81" s="535">
        <f t="shared" si="35"/>
        <v>0</v>
      </c>
      <c r="Q81" s="535">
        <f t="shared" si="35"/>
        <v>0</v>
      </c>
      <c r="R81" s="535">
        <f t="shared" si="35"/>
        <v>5717600</v>
      </c>
      <c r="S81" s="535">
        <f t="shared" si="35"/>
        <v>5717600</v>
      </c>
      <c r="T81" s="535">
        <f t="shared" si="35"/>
        <v>0</v>
      </c>
      <c r="U81" s="143"/>
    </row>
    <row r="82" spans="1:21" s="144" customFormat="1" ht="12">
      <c r="A82" s="141" t="s">
        <v>790</v>
      </c>
      <c r="B82" s="151"/>
      <c r="C82" s="151"/>
      <c r="D82" s="151"/>
      <c r="E82" s="151"/>
      <c r="F82" s="151"/>
      <c r="G82" s="151"/>
      <c r="H82" s="151"/>
      <c r="I82" s="151"/>
      <c r="J82" s="151"/>
      <c r="K82" s="151"/>
      <c r="L82" s="151"/>
      <c r="M82" s="151"/>
      <c r="N82" s="151"/>
      <c r="O82" s="151"/>
      <c r="P82" s="151"/>
      <c r="Q82" s="151"/>
      <c r="R82" s="363"/>
      <c r="S82" s="151"/>
      <c r="T82" s="151"/>
      <c r="U82" s="143"/>
    </row>
    <row r="83" spans="1:21" s="144" customFormat="1" ht="14" customHeight="1">
      <c r="A83" s="145" t="s">
        <v>2519</v>
      </c>
      <c r="B83" s="146">
        <f t="shared" ref="B83:B95" si="36">SUM(C83+D83)</f>
        <v>123365</v>
      </c>
      <c r="C83" s="147">
        <v>123365</v>
      </c>
      <c r="D83" s="147"/>
      <c r="E83" s="147">
        <f t="shared" ref="E83:E95" si="37">+B83-SUM(F83:Q83)</f>
        <v>123365</v>
      </c>
      <c r="F83" s="147"/>
      <c r="G83" s="147"/>
      <c r="H83" s="147"/>
      <c r="I83" s="147"/>
      <c r="J83" s="147"/>
      <c r="K83" s="147"/>
      <c r="L83" s="147"/>
      <c r="M83" s="147"/>
      <c r="N83" s="147"/>
      <c r="O83" s="147"/>
      <c r="P83" s="147"/>
      <c r="Q83" s="147"/>
      <c r="R83" s="542">
        <f t="shared" ref="R83:R95" si="38">SUM(E83:Q83)</f>
        <v>123365</v>
      </c>
      <c r="S83" s="148"/>
      <c r="T83" s="148"/>
      <c r="U83" s="143"/>
    </row>
    <row r="84" spans="1:21" s="144" customFormat="1">
      <c r="A84" s="145" t="s">
        <v>792</v>
      </c>
      <c r="B84" s="146">
        <f t="shared" si="36"/>
        <v>181565</v>
      </c>
      <c r="C84" s="147">
        <v>181565</v>
      </c>
      <c r="D84" s="147"/>
      <c r="E84" s="147">
        <f t="shared" si="37"/>
        <v>181565</v>
      </c>
      <c r="F84" s="147"/>
      <c r="G84" s="147"/>
      <c r="H84" s="147"/>
      <c r="I84" s="147"/>
      <c r="J84" s="147"/>
      <c r="K84" s="147"/>
      <c r="L84" s="147"/>
      <c r="M84" s="147"/>
      <c r="N84" s="147"/>
      <c r="O84" s="147"/>
      <c r="P84" s="147"/>
      <c r="Q84" s="147"/>
      <c r="R84" s="542">
        <f t="shared" si="38"/>
        <v>181565</v>
      </c>
      <c r="S84" s="147">
        <f t="shared" ref="S84:S87" si="39">+B84</f>
        <v>181565</v>
      </c>
      <c r="T84" s="147"/>
      <c r="U84" s="143"/>
    </row>
    <row r="85" spans="1:21" s="144" customFormat="1">
      <c r="A85" s="145" t="s">
        <v>793</v>
      </c>
      <c r="B85" s="146">
        <f t="shared" si="36"/>
        <v>5086799</v>
      </c>
      <c r="C85" s="147">
        <v>5086799</v>
      </c>
      <c r="D85" s="147"/>
      <c r="E85" s="147">
        <f t="shared" si="37"/>
        <v>5086799</v>
      </c>
      <c r="F85" s="147"/>
      <c r="G85" s="147"/>
      <c r="H85" s="147"/>
      <c r="I85" s="147"/>
      <c r="J85" s="147"/>
      <c r="K85" s="147"/>
      <c r="L85" s="147"/>
      <c r="M85" s="147"/>
      <c r="N85" s="147"/>
      <c r="O85" s="147"/>
      <c r="P85" s="147"/>
      <c r="Q85" s="147"/>
      <c r="R85" s="542">
        <f t="shared" si="38"/>
        <v>5086799</v>
      </c>
      <c r="S85" s="147">
        <f t="shared" si="39"/>
        <v>5086799</v>
      </c>
      <c r="T85" s="147"/>
      <c r="U85" s="143"/>
    </row>
    <row r="86" spans="1:21" s="144" customFormat="1">
      <c r="A86" s="145" t="s">
        <v>794</v>
      </c>
      <c r="B86" s="146">
        <f t="shared" si="36"/>
        <v>1015899</v>
      </c>
      <c r="C86" s="147">
        <v>1015899</v>
      </c>
      <c r="D86" s="147"/>
      <c r="E86" s="147">
        <f t="shared" si="37"/>
        <v>1015899</v>
      </c>
      <c r="F86" s="147"/>
      <c r="G86" s="147"/>
      <c r="H86" s="147"/>
      <c r="I86" s="147"/>
      <c r="J86" s="147"/>
      <c r="K86" s="147"/>
      <c r="L86" s="147"/>
      <c r="M86" s="147"/>
      <c r="N86" s="147"/>
      <c r="O86" s="147"/>
      <c r="P86" s="147"/>
      <c r="Q86" s="147"/>
      <c r="R86" s="542">
        <f t="shared" si="38"/>
        <v>1015899</v>
      </c>
      <c r="S86" s="147">
        <f t="shared" si="39"/>
        <v>1015899</v>
      </c>
      <c r="T86" s="147"/>
      <c r="U86" s="143"/>
    </row>
    <row r="87" spans="1:21" s="144" customFormat="1">
      <c r="A87" s="145" t="s">
        <v>795</v>
      </c>
      <c r="B87" s="146">
        <f t="shared" si="36"/>
        <v>0</v>
      </c>
      <c r="C87" s="147"/>
      <c r="D87" s="147"/>
      <c r="E87" s="147">
        <f t="shared" si="37"/>
        <v>0</v>
      </c>
      <c r="F87" s="147"/>
      <c r="G87" s="147"/>
      <c r="H87" s="147"/>
      <c r="I87" s="147"/>
      <c r="J87" s="147"/>
      <c r="K87" s="147"/>
      <c r="L87" s="147"/>
      <c r="M87" s="147"/>
      <c r="N87" s="147"/>
      <c r="O87" s="147"/>
      <c r="P87" s="147"/>
      <c r="Q87" s="147"/>
      <c r="R87" s="542">
        <f t="shared" si="38"/>
        <v>0</v>
      </c>
      <c r="S87" s="147">
        <f t="shared" si="39"/>
        <v>0</v>
      </c>
      <c r="T87" s="147"/>
      <c r="U87" s="143"/>
    </row>
    <row r="88" spans="1:21" s="144" customFormat="1">
      <c r="A88" s="145" t="s">
        <v>796</v>
      </c>
      <c r="B88" s="146">
        <f t="shared" si="36"/>
        <v>400000</v>
      </c>
      <c r="C88" s="147">
        <v>400000</v>
      </c>
      <c r="D88" s="147"/>
      <c r="E88" s="147">
        <f t="shared" si="37"/>
        <v>400000</v>
      </c>
      <c r="F88" s="147"/>
      <c r="G88" s="147"/>
      <c r="H88" s="147"/>
      <c r="I88" s="147"/>
      <c r="J88" s="147"/>
      <c r="K88" s="147"/>
      <c r="L88" s="147"/>
      <c r="M88" s="147"/>
      <c r="N88" s="147"/>
      <c r="O88" s="147"/>
      <c r="P88" s="147"/>
      <c r="Q88" s="147"/>
      <c r="R88" s="542">
        <f t="shared" si="38"/>
        <v>400000</v>
      </c>
      <c r="S88" s="148"/>
      <c r="T88" s="148"/>
      <c r="U88" s="143"/>
    </row>
    <row r="89" spans="1:21" s="144" customFormat="1">
      <c r="A89" s="145" t="s">
        <v>797</v>
      </c>
      <c r="B89" s="146">
        <f t="shared" si="36"/>
        <v>272000</v>
      </c>
      <c r="C89" s="147">
        <v>272000</v>
      </c>
      <c r="D89" s="147"/>
      <c r="E89" s="147">
        <f t="shared" si="37"/>
        <v>272000</v>
      </c>
      <c r="F89" s="147"/>
      <c r="G89" s="147"/>
      <c r="H89" s="147"/>
      <c r="I89" s="147"/>
      <c r="J89" s="147"/>
      <c r="K89" s="147"/>
      <c r="L89" s="147"/>
      <c r="M89" s="147"/>
      <c r="N89" s="147"/>
      <c r="O89" s="147"/>
      <c r="P89" s="147"/>
      <c r="Q89" s="147"/>
      <c r="R89" s="542">
        <f t="shared" si="38"/>
        <v>272000</v>
      </c>
      <c r="S89" s="147">
        <f t="shared" ref="S89:S94" si="40">+B89</f>
        <v>272000</v>
      </c>
      <c r="T89" s="147"/>
      <c r="U89" s="143"/>
    </row>
    <row r="90" spans="1:21" s="144" customFormat="1">
      <c r="A90" s="145" t="s">
        <v>798</v>
      </c>
      <c r="B90" s="146">
        <f t="shared" si="36"/>
        <v>15000</v>
      </c>
      <c r="C90" s="147">
        <v>15000</v>
      </c>
      <c r="D90" s="147"/>
      <c r="E90" s="147">
        <f t="shared" si="37"/>
        <v>15000</v>
      </c>
      <c r="F90" s="147"/>
      <c r="G90" s="147"/>
      <c r="H90" s="147"/>
      <c r="I90" s="147"/>
      <c r="J90" s="147"/>
      <c r="K90" s="147"/>
      <c r="L90" s="147"/>
      <c r="M90" s="147"/>
      <c r="N90" s="147"/>
      <c r="O90" s="147"/>
      <c r="P90" s="147"/>
      <c r="Q90" s="147"/>
      <c r="R90" s="542">
        <f t="shared" si="38"/>
        <v>15000</v>
      </c>
      <c r="S90" s="147"/>
      <c r="T90" s="147"/>
      <c r="U90" s="143"/>
    </row>
    <row r="91" spans="1:21" s="144" customFormat="1">
      <c r="A91" s="145" t="s">
        <v>374</v>
      </c>
      <c r="B91" s="146">
        <f t="shared" si="36"/>
        <v>0</v>
      </c>
      <c r="C91" s="147"/>
      <c r="D91" s="147"/>
      <c r="E91" s="147">
        <f t="shared" si="37"/>
        <v>0</v>
      </c>
      <c r="F91" s="147"/>
      <c r="G91" s="147"/>
      <c r="H91" s="147"/>
      <c r="I91" s="147"/>
      <c r="J91" s="147"/>
      <c r="K91" s="147"/>
      <c r="L91" s="147"/>
      <c r="M91" s="147"/>
      <c r="N91" s="147"/>
      <c r="O91" s="147"/>
      <c r="P91" s="147"/>
      <c r="Q91" s="147"/>
      <c r="R91" s="542">
        <f t="shared" si="38"/>
        <v>0</v>
      </c>
      <c r="S91" s="147">
        <f t="shared" si="40"/>
        <v>0</v>
      </c>
      <c r="T91" s="147"/>
      <c r="U91" s="143"/>
    </row>
    <row r="92" spans="1:21" s="144" customFormat="1">
      <c r="A92" s="295" t="s">
        <v>1354</v>
      </c>
      <c r="B92" s="146">
        <f t="shared" si="36"/>
        <v>15000</v>
      </c>
      <c r="C92" s="147">
        <v>15000</v>
      </c>
      <c r="D92" s="147"/>
      <c r="E92" s="147">
        <f t="shared" si="37"/>
        <v>15000</v>
      </c>
      <c r="F92" s="147"/>
      <c r="G92" s="147"/>
      <c r="H92" s="147"/>
      <c r="I92" s="147"/>
      <c r="J92" s="147"/>
      <c r="K92" s="147"/>
      <c r="L92" s="147"/>
      <c r="M92" s="147"/>
      <c r="N92" s="147"/>
      <c r="O92" s="147"/>
      <c r="P92" s="147"/>
      <c r="Q92" s="147"/>
      <c r="R92" s="542">
        <f t="shared" si="38"/>
        <v>15000</v>
      </c>
      <c r="S92" s="147">
        <f t="shared" si="40"/>
        <v>15000</v>
      </c>
      <c r="T92" s="147"/>
      <c r="U92" s="143"/>
    </row>
    <row r="93" spans="1:21" s="144" customFormat="1">
      <c r="A93" s="1184" t="s">
        <v>2748</v>
      </c>
      <c r="B93" s="146">
        <f t="shared" si="36"/>
        <v>216675</v>
      </c>
      <c r="C93" s="147">
        <v>216675</v>
      </c>
      <c r="D93" s="147"/>
      <c r="E93" s="147">
        <f t="shared" si="37"/>
        <v>216675</v>
      </c>
      <c r="F93" s="147"/>
      <c r="G93" s="147"/>
      <c r="H93" s="147"/>
      <c r="I93" s="147"/>
      <c r="J93" s="147"/>
      <c r="K93" s="147"/>
      <c r="L93" s="147"/>
      <c r="M93" s="147"/>
      <c r="N93" s="147"/>
      <c r="O93" s="147"/>
      <c r="P93" s="147"/>
      <c r="Q93" s="147"/>
      <c r="R93" s="542">
        <f t="shared" si="38"/>
        <v>216675</v>
      </c>
      <c r="S93" s="147">
        <f t="shared" si="40"/>
        <v>216675</v>
      </c>
      <c r="T93" s="147"/>
      <c r="U93" s="143"/>
    </row>
    <row r="94" spans="1:21" s="144" customFormat="1">
      <c r="A94" s="1184" t="s">
        <v>2749</v>
      </c>
      <c r="B94" s="146">
        <f t="shared" si="36"/>
        <v>50000</v>
      </c>
      <c r="C94" s="147">
        <v>50000</v>
      </c>
      <c r="D94" s="147"/>
      <c r="E94" s="147">
        <f t="shared" si="37"/>
        <v>50000</v>
      </c>
      <c r="F94" s="147"/>
      <c r="G94" s="147"/>
      <c r="H94" s="147"/>
      <c r="I94" s="147"/>
      <c r="J94" s="147"/>
      <c r="K94" s="147"/>
      <c r="L94" s="147"/>
      <c r="M94" s="147"/>
      <c r="N94" s="147"/>
      <c r="O94" s="147"/>
      <c r="P94" s="147"/>
      <c r="Q94" s="147"/>
      <c r="R94" s="542">
        <f t="shared" si="38"/>
        <v>50000</v>
      </c>
      <c r="S94" s="147">
        <f t="shared" si="40"/>
        <v>50000</v>
      </c>
      <c r="T94" s="147"/>
      <c r="U94" s="143"/>
    </row>
    <row r="95" spans="1:21" s="144" customFormat="1">
      <c r="A95" s="1184" t="s">
        <v>2750</v>
      </c>
      <c r="B95" s="146">
        <f t="shared" si="36"/>
        <v>3330452</v>
      </c>
      <c r="C95" s="147">
        <v>3330452</v>
      </c>
      <c r="D95" s="147"/>
      <c r="E95" s="147">
        <f t="shared" si="37"/>
        <v>0</v>
      </c>
      <c r="F95" s="147"/>
      <c r="G95" s="147"/>
      <c r="H95" s="147"/>
      <c r="I95" s="147"/>
      <c r="J95" s="147"/>
      <c r="K95" s="147"/>
      <c r="L95" s="147"/>
      <c r="M95" s="147"/>
      <c r="N95" s="147">
        <f>+N108</f>
        <v>3330452</v>
      </c>
      <c r="O95" s="147"/>
      <c r="P95" s="147"/>
      <c r="Q95" s="147"/>
      <c r="R95" s="542">
        <f t="shared" si="38"/>
        <v>3330452</v>
      </c>
      <c r="S95" s="147"/>
      <c r="T95" s="147"/>
      <c r="U95" s="143"/>
    </row>
    <row r="96" spans="1:21" s="144" customFormat="1">
      <c r="A96" s="149" t="s">
        <v>799</v>
      </c>
      <c r="B96" s="146">
        <f>SUM(C96:D96)</f>
        <v>10706755</v>
      </c>
      <c r="C96" s="146">
        <f t="shared" ref="C96:R96" si="41">SUM(C83:C95)</f>
        <v>10706755</v>
      </c>
      <c r="D96" s="146">
        <f t="shared" si="41"/>
        <v>0</v>
      </c>
      <c r="E96" s="146">
        <f t="shared" si="41"/>
        <v>7376303</v>
      </c>
      <c r="F96" s="146">
        <f t="shared" si="41"/>
        <v>0</v>
      </c>
      <c r="G96" s="146">
        <f t="shared" si="41"/>
        <v>0</v>
      </c>
      <c r="H96" s="146">
        <f t="shared" si="41"/>
        <v>0</v>
      </c>
      <c r="I96" s="146">
        <f t="shared" si="41"/>
        <v>0</v>
      </c>
      <c r="J96" s="146">
        <f t="shared" si="41"/>
        <v>0</v>
      </c>
      <c r="K96" s="146">
        <f t="shared" si="41"/>
        <v>0</v>
      </c>
      <c r="L96" s="146">
        <f t="shared" si="41"/>
        <v>0</v>
      </c>
      <c r="M96" s="146">
        <f t="shared" si="41"/>
        <v>0</v>
      </c>
      <c r="N96" s="146">
        <f t="shared" si="41"/>
        <v>3330452</v>
      </c>
      <c r="O96" s="146">
        <f t="shared" si="41"/>
        <v>0</v>
      </c>
      <c r="P96" s="146">
        <f t="shared" si="41"/>
        <v>0</v>
      </c>
      <c r="Q96" s="146">
        <f t="shared" si="41"/>
        <v>0</v>
      </c>
      <c r="R96" s="362">
        <f t="shared" si="41"/>
        <v>10706755</v>
      </c>
      <c r="S96" s="150">
        <f>SUM(S84:S87,S89:S95)</f>
        <v>6837938</v>
      </c>
      <c r="T96" s="146">
        <f>SUM(T84:T87,T89:T95)</f>
        <v>0</v>
      </c>
      <c r="U96" s="143"/>
    </row>
    <row r="97" spans="1:21" s="144" customFormat="1">
      <c r="A97" s="149" t="s">
        <v>800</v>
      </c>
      <c r="B97" s="146">
        <f>SUM(C97:D97)</f>
        <v>133598539</v>
      </c>
      <c r="C97" s="146">
        <f t="shared" ref="C97:R97" si="42">SUM(C63+C70+C77+C81+C96)</f>
        <v>133598539</v>
      </c>
      <c r="D97" s="146">
        <f t="shared" si="42"/>
        <v>0</v>
      </c>
      <c r="E97" s="146">
        <f t="shared" si="42"/>
        <v>61546822</v>
      </c>
      <c r="F97" s="146">
        <f t="shared" si="42"/>
        <v>13204000</v>
      </c>
      <c r="G97" s="146">
        <f t="shared" si="42"/>
        <v>4117000</v>
      </c>
      <c r="H97" s="146">
        <f t="shared" si="42"/>
        <v>11700000</v>
      </c>
      <c r="I97" s="146">
        <f t="shared" si="42"/>
        <v>21425087</v>
      </c>
      <c r="J97" s="146">
        <f t="shared" si="42"/>
        <v>1500000</v>
      </c>
      <c r="K97" s="146">
        <f t="shared" si="42"/>
        <v>7214000</v>
      </c>
      <c r="L97" s="146">
        <f t="shared" si="42"/>
        <v>3230000</v>
      </c>
      <c r="M97" s="146">
        <f t="shared" si="42"/>
        <v>5286000</v>
      </c>
      <c r="N97" s="146">
        <f t="shared" si="42"/>
        <v>3330452</v>
      </c>
      <c r="O97" s="146">
        <f t="shared" si="42"/>
        <v>0</v>
      </c>
      <c r="P97" s="146">
        <f t="shared" si="42"/>
        <v>1045178</v>
      </c>
      <c r="Q97" s="146">
        <f t="shared" si="42"/>
        <v>0</v>
      </c>
      <c r="R97" s="146">
        <f t="shared" si="42"/>
        <v>133598539</v>
      </c>
      <c r="S97" s="146">
        <f>SUM(S63+S70+S81+S96)</f>
        <v>121136846</v>
      </c>
      <c r="T97" s="146">
        <f>SUM(T63+T70+T81+T96)</f>
        <v>0</v>
      </c>
      <c r="U97" s="143"/>
    </row>
    <row r="98" spans="1:21" s="144" customFormat="1" ht="12">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6950527</v>
      </c>
      <c r="C99" s="998">
        <v>6950527</v>
      </c>
      <c r="D99" s="998"/>
      <c r="E99" s="998">
        <f t="shared" ref="E99:E103" si="43">+B99-SUM(F99:Q99)</f>
        <v>2200000</v>
      </c>
      <c r="F99" s="147"/>
      <c r="G99" s="147"/>
      <c r="H99" s="147"/>
      <c r="I99" s="147"/>
      <c r="J99" s="147"/>
      <c r="K99" s="147"/>
      <c r="L99" s="147"/>
      <c r="M99" s="147"/>
      <c r="N99" s="147"/>
      <c r="O99" s="147">
        <f>+O108</f>
        <v>4750527</v>
      </c>
      <c r="P99" s="147"/>
      <c r="Q99" s="147"/>
      <c r="R99" s="542">
        <f>SUM(E99:Q99)</f>
        <v>6950527</v>
      </c>
      <c r="S99" s="147">
        <f t="shared" ref="S99:S103" si="44">+B99</f>
        <v>6950527</v>
      </c>
      <c r="T99" s="147"/>
      <c r="U99" s="143"/>
    </row>
    <row r="100" spans="1:21" s="144" customFormat="1">
      <c r="A100" s="295" t="s">
        <v>1827</v>
      </c>
      <c r="B100" s="146">
        <f>SUM(C100+D100)</f>
        <v>0</v>
      </c>
      <c r="C100" s="147"/>
      <c r="D100" s="147"/>
      <c r="E100" s="147">
        <f t="shared" si="43"/>
        <v>0</v>
      </c>
      <c r="F100" s="147"/>
      <c r="G100" s="147"/>
      <c r="H100" s="147"/>
      <c r="I100" s="147"/>
      <c r="J100" s="147"/>
      <c r="K100" s="147"/>
      <c r="L100" s="147"/>
      <c r="M100" s="147"/>
      <c r="N100" s="147"/>
      <c r="O100" s="147"/>
      <c r="P100" s="147"/>
      <c r="Q100" s="147"/>
      <c r="R100" s="542">
        <f>SUM(E100:Q100)</f>
        <v>0</v>
      </c>
      <c r="S100" s="147">
        <f t="shared" si="44"/>
        <v>0</v>
      </c>
      <c r="T100" s="147"/>
      <c r="U100" s="143"/>
    </row>
    <row r="101" spans="1:21" s="144" customFormat="1" ht="12" customHeight="1">
      <c r="A101" s="145" t="s">
        <v>803</v>
      </c>
      <c r="B101" s="146">
        <f>SUM(C101+D101)</f>
        <v>0</v>
      </c>
      <c r="C101" s="147"/>
      <c r="D101" s="147"/>
      <c r="E101" s="147">
        <f t="shared" si="43"/>
        <v>0</v>
      </c>
      <c r="F101" s="147"/>
      <c r="G101" s="147"/>
      <c r="H101" s="147"/>
      <c r="I101" s="147"/>
      <c r="J101" s="147"/>
      <c r="K101" s="147"/>
      <c r="L101" s="147"/>
      <c r="M101" s="147"/>
      <c r="N101" s="147"/>
      <c r="O101" s="147"/>
      <c r="P101" s="147"/>
      <c r="Q101" s="147"/>
      <c r="R101" s="542">
        <f>SUM(E101:Q101)</f>
        <v>0</v>
      </c>
      <c r="S101" s="147">
        <f t="shared" si="44"/>
        <v>0</v>
      </c>
      <c r="T101" s="147"/>
      <c r="U101" s="143"/>
    </row>
    <row r="102" spans="1:21" s="144" customFormat="1">
      <c r="A102" s="295" t="s">
        <v>1828</v>
      </c>
      <c r="B102" s="146">
        <f>SUM(C102+D102)</f>
        <v>0</v>
      </c>
      <c r="C102" s="147"/>
      <c r="D102" s="147"/>
      <c r="E102" s="147">
        <f t="shared" si="43"/>
        <v>0</v>
      </c>
      <c r="F102" s="147"/>
      <c r="G102" s="147"/>
      <c r="H102" s="147"/>
      <c r="I102" s="147"/>
      <c r="J102" s="147"/>
      <c r="K102" s="147"/>
      <c r="L102" s="147"/>
      <c r="M102" s="147"/>
      <c r="N102" s="147"/>
      <c r="O102" s="147"/>
      <c r="P102" s="147"/>
      <c r="Q102" s="147"/>
      <c r="R102" s="542">
        <f>SUM(E102:Q102)</f>
        <v>0</v>
      </c>
      <c r="S102" s="147">
        <f t="shared" si="44"/>
        <v>0</v>
      </c>
      <c r="T102" s="147"/>
      <c r="U102" s="143"/>
    </row>
    <row r="103" spans="1:21" s="144" customFormat="1">
      <c r="A103" s="1184" t="s">
        <v>34</v>
      </c>
      <c r="B103" s="146">
        <f>SUM(C103+D103)</f>
        <v>0</v>
      </c>
      <c r="C103" s="147"/>
      <c r="D103" s="147"/>
      <c r="E103" s="147">
        <f t="shared" si="43"/>
        <v>0</v>
      </c>
      <c r="F103" s="147"/>
      <c r="G103" s="147"/>
      <c r="H103" s="147"/>
      <c r="I103" s="147"/>
      <c r="J103" s="147"/>
      <c r="K103" s="147"/>
      <c r="L103" s="147"/>
      <c r="M103" s="147"/>
      <c r="N103" s="147"/>
      <c r="O103" s="147"/>
      <c r="P103" s="147"/>
      <c r="Q103" s="147"/>
      <c r="R103" s="542">
        <f>SUM(E103:Q103)</f>
        <v>0</v>
      </c>
      <c r="S103" s="147">
        <f t="shared" si="44"/>
        <v>0</v>
      </c>
      <c r="T103" s="147"/>
      <c r="U103" s="143"/>
    </row>
    <row r="104" spans="1:21" s="144" customFormat="1">
      <c r="A104" s="149" t="s">
        <v>804</v>
      </c>
      <c r="B104" s="146">
        <f>SUM(C104:D104)</f>
        <v>6950527</v>
      </c>
      <c r="C104" s="146">
        <f>SUM(C99:C103)</f>
        <v>6950527</v>
      </c>
      <c r="D104" s="146">
        <f t="shared" ref="D104:T104" si="45">SUM(D99:D103)</f>
        <v>0</v>
      </c>
      <c r="E104" s="146">
        <f t="shared" si="45"/>
        <v>2200000</v>
      </c>
      <c r="F104" s="146">
        <f t="shared" si="45"/>
        <v>0</v>
      </c>
      <c r="G104" s="146">
        <f t="shared" si="45"/>
        <v>0</v>
      </c>
      <c r="H104" s="146">
        <f t="shared" si="45"/>
        <v>0</v>
      </c>
      <c r="I104" s="146">
        <f t="shared" si="45"/>
        <v>0</v>
      </c>
      <c r="J104" s="146">
        <f t="shared" si="45"/>
        <v>0</v>
      </c>
      <c r="K104" s="146">
        <f t="shared" si="45"/>
        <v>0</v>
      </c>
      <c r="L104" s="146">
        <f t="shared" si="45"/>
        <v>0</v>
      </c>
      <c r="M104" s="146">
        <f t="shared" si="45"/>
        <v>0</v>
      </c>
      <c r="N104" s="146">
        <f t="shared" si="45"/>
        <v>0</v>
      </c>
      <c r="O104" s="146">
        <f t="shared" si="45"/>
        <v>4750527</v>
      </c>
      <c r="P104" s="146">
        <f t="shared" si="45"/>
        <v>0</v>
      </c>
      <c r="Q104" s="146">
        <f t="shared" si="45"/>
        <v>0</v>
      </c>
      <c r="R104" s="362">
        <f t="shared" si="45"/>
        <v>6950527</v>
      </c>
      <c r="S104" s="150">
        <f t="shared" si="45"/>
        <v>6950527</v>
      </c>
      <c r="T104" s="150">
        <f t="shared" si="45"/>
        <v>0</v>
      </c>
      <c r="U104" s="143"/>
    </row>
    <row r="105" spans="1:21" s="144" customFormat="1">
      <c r="A105" s="149" t="s">
        <v>805</v>
      </c>
      <c r="B105" s="150">
        <f>SUM(C105:D105)</f>
        <v>140549066</v>
      </c>
      <c r="C105" s="150">
        <f t="shared" ref="C105:R105" si="46">SUM(C97+C104)</f>
        <v>140549066</v>
      </c>
      <c r="D105" s="150">
        <f t="shared" si="46"/>
        <v>0</v>
      </c>
      <c r="E105" s="150">
        <f t="shared" si="46"/>
        <v>63746822</v>
      </c>
      <c r="F105" s="150">
        <f t="shared" si="46"/>
        <v>13204000</v>
      </c>
      <c r="G105" s="150">
        <f t="shared" si="46"/>
        <v>4117000</v>
      </c>
      <c r="H105" s="150">
        <f t="shared" si="46"/>
        <v>11700000</v>
      </c>
      <c r="I105" s="150">
        <f t="shared" si="46"/>
        <v>21425087</v>
      </c>
      <c r="J105" s="150">
        <f t="shared" si="46"/>
        <v>1500000</v>
      </c>
      <c r="K105" s="150">
        <f t="shared" si="46"/>
        <v>7214000</v>
      </c>
      <c r="L105" s="150">
        <f t="shared" si="46"/>
        <v>3230000</v>
      </c>
      <c r="M105" s="150">
        <f t="shared" si="46"/>
        <v>5286000</v>
      </c>
      <c r="N105" s="150">
        <f t="shared" si="46"/>
        <v>3330452</v>
      </c>
      <c r="O105" s="150">
        <f t="shared" si="46"/>
        <v>4750527</v>
      </c>
      <c r="P105" s="150">
        <f t="shared" si="46"/>
        <v>1045178</v>
      </c>
      <c r="Q105" s="150">
        <f t="shared" si="46"/>
        <v>0</v>
      </c>
      <c r="R105" s="362">
        <f t="shared" si="46"/>
        <v>140549066</v>
      </c>
      <c r="S105" s="150">
        <f>S97+S104</f>
        <v>128087373</v>
      </c>
      <c r="T105" s="150">
        <f>T97+T104</f>
        <v>0</v>
      </c>
      <c r="U105" s="143"/>
    </row>
    <row r="106" spans="1:21">
      <c r="A106" s="540"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128087373</v>
      </c>
      <c r="T107" s="150">
        <f>T105+T106</f>
        <v>0</v>
      </c>
    </row>
    <row r="108" spans="1:21" s="201" customFormat="1">
      <c r="A108" s="162" t="s">
        <v>909</v>
      </c>
      <c r="B108" s="157"/>
      <c r="C108" s="157"/>
      <c r="D108" s="157"/>
      <c r="E108" s="314">
        <f>Application!AO636</f>
        <v>63746822</v>
      </c>
      <c r="F108" s="314">
        <f>Application!AO623</f>
        <v>13204000</v>
      </c>
      <c r="G108" s="314">
        <f>Application!AO624</f>
        <v>4117000</v>
      </c>
      <c r="H108" s="314">
        <f>Application!AO625</f>
        <v>11700000</v>
      </c>
      <c r="I108" s="314">
        <f>Application!AO626</f>
        <v>21425087</v>
      </c>
      <c r="J108" s="314">
        <f>Application!AO627</f>
        <v>1500000</v>
      </c>
      <c r="K108" s="314">
        <f>Application!AO628</f>
        <v>7214000</v>
      </c>
      <c r="L108" s="314">
        <f>Application!AO629</f>
        <v>3230000</v>
      </c>
      <c r="M108" s="314">
        <f>Application!AO630</f>
        <v>5286000</v>
      </c>
      <c r="N108" s="314">
        <f>Application!AO631</f>
        <v>3330452</v>
      </c>
      <c r="O108" s="314">
        <f>Application!AO632</f>
        <v>4750527</v>
      </c>
      <c r="P108" s="314">
        <f>Application!AO633</f>
        <v>1045178</v>
      </c>
      <c r="Q108" s="314">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27"/>
      <c r="B112" s="157"/>
      <c r="C112" s="157"/>
      <c r="D112" s="157"/>
    </row>
    <row r="113" spans="1:21">
      <c r="A113" s="156" t="s">
        <v>1077</v>
      </c>
      <c r="B113" s="157"/>
      <c r="C113" s="157"/>
      <c r="D113" s="157"/>
    </row>
    <row r="114" spans="1:21">
      <c r="A114" s="156" t="s">
        <v>2520</v>
      </c>
      <c r="B114" s="157"/>
      <c r="C114" s="157"/>
      <c r="D114" s="157"/>
    </row>
    <row r="115" spans="1:21" ht="12" customHeight="1">
      <c r="A115" s="327"/>
      <c r="B115" s="157"/>
      <c r="C115" s="157"/>
      <c r="D115" s="157"/>
    </row>
    <row r="116" spans="1:21">
      <c r="A116" s="365" t="s">
        <v>1083</v>
      </c>
      <c r="B116" s="157"/>
      <c r="C116" s="157"/>
      <c r="D116" s="157"/>
    </row>
    <row r="117" spans="1:21">
      <c r="A117" s="365" t="s">
        <v>1370</v>
      </c>
      <c r="B117" s="157"/>
      <c r="C117" s="157"/>
      <c r="D117" s="157"/>
    </row>
    <row r="118" spans="1:21">
      <c r="A118" s="365" t="s">
        <v>1082</v>
      </c>
      <c r="B118" s="157"/>
      <c r="C118" s="157"/>
      <c r="D118" s="157"/>
    </row>
    <row r="119" spans="1:21">
      <c r="A119" s="365" t="s">
        <v>1084</v>
      </c>
      <c r="B119" s="157"/>
      <c r="C119" s="157"/>
      <c r="D119" s="157"/>
    </row>
    <row r="120" spans="1:21" ht="12" customHeight="1">
      <c r="A120" s="364"/>
      <c r="B120" s="157"/>
      <c r="C120" s="157"/>
      <c r="D120" s="157"/>
    </row>
    <row r="121" spans="1:21" ht="15.5">
      <c r="A121" s="358" t="s">
        <v>1062</v>
      </c>
      <c r="B121" s="157"/>
      <c r="C121" s="157"/>
      <c r="D121" s="157"/>
    </row>
    <row r="122" spans="1:21">
      <c r="A122" s="345" t="s">
        <v>1046</v>
      </c>
      <c r="B122" s="344"/>
      <c r="C122" s="344"/>
      <c r="D122" s="1865" t="s">
        <v>1047</v>
      </c>
      <c r="E122" s="1865"/>
      <c r="F122" s="1865"/>
      <c r="G122" s="344"/>
      <c r="H122" s="344"/>
      <c r="I122" s="344"/>
      <c r="J122" s="344"/>
      <c r="K122" s="344"/>
      <c r="L122" s="344"/>
      <c r="M122" s="344"/>
      <c r="N122" s="344"/>
      <c r="O122" s="344"/>
      <c r="P122" s="344"/>
      <c r="Q122" s="344"/>
      <c r="R122" s="344"/>
      <c r="S122" s="344"/>
      <c r="T122" s="344"/>
      <c r="U122" s="346"/>
    </row>
    <row r="123" spans="1:21">
      <c r="A123" s="344" t="s">
        <v>1048</v>
      </c>
      <c r="B123" s="353"/>
      <c r="C123" s="344"/>
      <c r="D123" s="1867" t="s">
        <v>1371</v>
      </c>
      <c r="E123" s="1868"/>
      <c r="F123" s="1868"/>
      <c r="G123" s="1868"/>
      <c r="H123" s="1868"/>
      <c r="I123" s="1868"/>
      <c r="J123" s="1868"/>
      <c r="K123" s="1868"/>
      <c r="L123" s="1868"/>
      <c r="M123" s="1868"/>
      <c r="N123" s="1868"/>
      <c r="O123" s="1868"/>
      <c r="P123" s="1868"/>
      <c r="Q123" s="1868"/>
      <c r="R123" s="1868"/>
      <c r="S123" s="1868"/>
      <c r="T123" s="344"/>
      <c r="U123" s="346"/>
    </row>
    <row r="124" spans="1:21" ht="12.5">
      <c r="A124" s="117" t="s">
        <v>1049</v>
      </c>
      <c r="B124" s="353"/>
      <c r="C124" s="117"/>
      <c r="D124" s="1868"/>
      <c r="E124" s="1868"/>
      <c r="F124" s="1868"/>
      <c r="G124" s="1868"/>
      <c r="H124" s="1868"/>
      <c r="I124" s="1868"/>
      <c r="J124" s="1868"/>
      <c r="K124" s="1868"/>
      <c r="L124" s="1868"/>
      <c r="M124" s="1868"/>
      <c r="N124" s="1868"/>
      <c r="O124" s="1868"/>
      <c r="P124" s="1868"/>
      <c r="Q124" s="1868"/>
      <c r="R124" s="1868"/>
      <c r="S124" s="1868"/>
      <c r="T124" s="344"/>
      <c r="U124" s="346"/>
    </row>
    <row r="125" spans="1:21" ht="12.5">
      <c r="A125" s="117" t="s">
        <v>1050</v>
      </c>
      <c r="B125" s="353"/>
      <c r="C125" s="117"/>
      <c r="D125" s="1868"/>
      <c r="E125" s="1868"/>
      <c r="F125" s="1868"/>
      <c r="G125" s="1868"/>
      <c r="H125" s="1868"/>
      <c r="I125" s="1868"/>
      <c r="J125" s="1868"/>
      <c r="K125" s="1868"/>
      <c r="L125" s="1868"/>
      <c r="M125" s="1868"/>
      <c r="N125" s="1868"/>
      <c r="O125" s="1868"/>
      <c r="P125" s="1868"/>
      <c r="Q125" s="1868"/>
      <c r="R125" s="1868"/>
      <c r="S125" s="1868"/>
      <c r="T125" s="344"/>
      <c r="U125" s="346"/>
    </row>
    <row r="126" spans="1:21" ht="12.5">
      <c r="A126" s="117" t="s">
        <v>1051</v>
      </c>
      <c r="B126" s="353"/>
      <c r="C126" s="117"/>
      <c r="D126" s="116"/>
      <c r="E126" s="116"/>
      <c r="F126" s="116"/>
      <c r="G126" s="116"/>
      <c r="H126" s="116"/>
      <c r="I126" s="116"/>
      <c r="J126" s="116"/>
      <c r="K126" s="116"/>
      <c r="L126" s="116"/>
      <c r="M126" s="116"/>
      <c r="N126" s="116"/>
      <c r="O126" s="117"/>
      <c r="P126" s="117"/>
      <c r="Q126" s="117"/>
      <c r="R126" s="117"/>
      <c r="S126" s="117"/>
      <c r="T126" s="344"/>
      <c r="U126" s="346"/>
    </row>
    <row r="127" spans="1:21" ht="12.5">
      <c r="A127" s="117" t="s">
        <v>1052</v>
      </c>
      <c r="B127" s="353"/>
      <c r="C127" s="117"/>
      <c r="D127" s="116"/>
      <c r="E127" s="116"/>
      <c r="F127" s="116"/>
      <c r="G127" s="116"/>
      <c r="H127" s="116"/>
      <c r="I127" s="116"/>
      <c r="J127" s="116"/>
      <c r="K127" s="116"/>
      <c r="L127" s="116"/>
      <c r="M127" s="116"/>
      <c r="N127" s="116"/>
      <c r="O127" s="117"/>
      <c r="P127" s="117"/>
      <c r="Q127" s="117"/>
      <c r="R127" s="117"/>
      <c r="S127" s="117"/>
      <c r="T127" s="344"/>
      <c r="U127" s="346"/>
    </row>
    <row r="128" spans="1:21" ht="12.5">
      <c r="A128" s="117" t="s">
        <v>1053</v>
      </c>
      <c r="B128" s="353"/>
      <c r="C128" s="117"/>
      <c r="D128" s="1862"/>
      <c r="E128" s="1862"/>
      <c r="F128" s="1862"/>
      <c r="G128" s="1862"/>
      <c r="H128" s="1862"/>
      <c r="I128" s="117"/>
      <c r="J128" s="1863"/>
      <c r="K128" s="1863"/>
      <c r="L128" s="117"/>
      <c r="M128" s="117"/>
      <c r="N128" s="117"/>
      <c r="O128" s="117"/>
      <c r="P128" s="117"/>
      <c r="Q128" s="117"/>
      <c r="R128" s="117"/>
      <c r="S128" s="117"/>
      <c r="T128" s="344"/>
      <c r="U128" s="346"/>
    </row>
    <row r="129" spans="1:21" ht="12.5">
      <c r="A129" s="117" t="s">
        <v>302</v>
      </c>
      <c r="B129" s="353"/>
      <c r="C129" s="117"/>
      <c r="D129" s="1864" t="s">
        <v>1054</v>
      </c>
      <c r="E129" s="1864"/>
      <c r="F129" s="1864"/>
      <c r="G129" s="1864"/>
      <c r="H129" s="1864"/>
      <c r="I129" s="117"/>
      <c r="J129" s="117" t="s">
        <v>1055</v>
      </c>
      <c r="K129" s="117"/>
      <c r="L129" s="117"/>
      <c r="M129" s="117"/>
      <c r="N129" s="117"/>
      <c r="O129" s="117"/>
      <c r="P129" s="117"/>
      <c r="Q129" s="117"/>
      <c r="R129" s="117"/>
      <c r="S129" s="117"/>
      <c r="T129" s="344"/>
      <c r="U129" s="346"/>
    </row>
    <row r="130" spans="1:21" ht="12" customHeight="1">
      <c r="A130" s="117"/>
      <c r="B130" s="352"/>
      <c r="C130" s="117"/>
      <c r="D130" s="117"/>
      <c r="E130" s="117"/>
      <c r="F130" s="117"/>
      <c r="G130" s="117"/>
      <c r="H130" s="117"/>
      <c r="I130" s="117"/>
      <c r="J130" s="117"/>
      <c r="K130" s="117"/>
      <c r="L130" s="117"/>
      <c r="M130" s="117"/>
      <c r="N130" s="117"/>
      <c r="O130" s="117"/>
      <c r="P130" s="117"/>
      <c r="Q130" s="117"/>
      <c r="R130" s="117"/>
      <c r="S130" s="117"/>
      <c r="T130" s="344"/>
      <c r="U130" s="346"/>
    </row>
    <row r="131" spans="1:21" ht="13">
      <c r="A131" s="355" t="s">
        <v>1056</v>
      </c>
      <c r="B131" s="354">
        <f>SUM(B123:B129)</f>
        <v>0</v>
      </c>
      <c r="C131" s="117"/>
      <c r="D131" s="1837"/>
      <c r="E131" s="1837"/>
      <c r="F131" s="1837"/>
      <c r="G131" s="1837"/>
      <c r="H131" s="1837"/>
      <c r="I131" s="117"/>
      <c r="J131" s="1837"/>
      <c r="K131" s="1837"/>
      <c r="L131" s="1837"/>
      <c r="M131" s="1837"/>
      <c r="N131" s="117"/>
      <c r="O131" s="117"/>
      <c r="P131" s="117"/>
      <c r="Q131" s="117"/>
      <c r="R131" s="117"/>
      <c r="S131" s="117"/>
      <c r="T131" s="344"/>
      <c r="U131" s="346"/>
    </row>
    <row r="132" spans="1:21" ht="12" customHeight="1">
      <c r="A132" s="356"/>
      <c r="B132" s="117"/>
      <c r="C132" s="117"/>
      <c r="D132" s="1869" t="s">
        <v>1057</v>
      </c>
      <c r="E132" s="1869"/>
      <c r="F132" s="1869"/>
      <c r="G132" s="1869"/>
      <c r="H132" s="1869"/>
      <c r="I132" s="117"/>
      <c r="J132" s="1869" t="s">
        <v>1058</v>
      </c>
      <c r="K132" s="1869"/>
      <c r="L132" s="1869"/>
      <c r="M132" s="1869"/>
      <c r="N132" s="117"/>
      <c r="O132" s="117"/>
      <c r="P132" s="117"/>
      <c r="Q132" s="117"/>
      <c r="R132" s="117"/>
      <c r="S132" s="117"/>
      <c r="T132" s="344"/>
      <c r="U132" s="346"/>
    </row>
    <row r="133" spans="1:21" ht="12" customHeight="1">
      <c r="A133" s="356"/>
      <c r="B133" s="117"/>
      <c r="C133" s="117"/>
      <c r="D133" s="117"/>
      <c r="E133" s="117"/>
      <c r="F133" s="117"/>
      <c r="G133" s="117"/>
      <c r="H133" s="117"/>
      <c r="I133" s="117"/>
      <c r="J133" s="117"/>
      <c r="K133" s="117"/>
      <c r="L133" s="117"/>
      <c r="M133" s="117"/>
      <c r="N133" s="117"/>
      <c r="O133" s="117"/>
      <c r="P133" s="117"/>
      <c r="Q133" s="117"/>
      <c r="R133" s="117"/>
      <c r="S133" s="117"/>
      <c r="T133" s="344"/>
      <c r="U133" s="346"/>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44"/>
      <c r="U134" s="346"/>
    </row>
    <row r="135" spans="1:21" ht="13">
      <c r="A135" s="327" t="s">
        <v>1060</v>
      </c>
      <c r="B135" s="117"/>
      <c r="C135" s="117"/>
      <c r="D135" s="117"/>
      <c r="E135" s="117"/>
      <c r="F135" s="117"/>
      <c r="G135" s="117"/>
      <c r="H135" s="117"/>
      <c r="I135" s="117"/>
      <c r="J135" s="117"/>
      <c r="K135" s="117"/>
      <c r="L135" s="117"/>
      <c r="M135" s="117"/>
      <c r="N135" s="357"/>
      <c r="O135" s="117"/>
      <c r="P135" s="117"/>
      <c r="Q135" s="117"/>
      <c r="R135" s="117"/>
      <c r="S135" s="117"/>
      <c r="T135" s="344"/>
      <c r="U135" s="346"/>
    </row>
    <row r="136" spans="1:21" ht="12" customHeight="1">
      <c r="A136" s="356"/>
      <c r="B136" s="117"/>
      <c r="C136" s="117"/>
      <c r="D136" s="117"/>
      <c r="E136" s="117"/>
      <c r="F136" s="117"/>
      <c r="G136" s="117"/>
      <c r="H136" s="117"/>
      <c r="I136" s="117"/>
      <c r="J136" s="117"/>
      <c r="K136" s="117"/>
      <c r="L136" s="117"/>
      <c r="M136" s="117"/>
      <c r="N136" s="117"/>
      <c r="O136" s="117"/>
      <c r="P136" s="117"/>
      <c r="Q136" s="117"/>
      <c r="R136" s="117"/>
      <c r="S136" s="117"/>
      <c r="T136" s="350"/>
      <c r="U136" s="351"/>
    </row>
    <row r="137" spans="1:21" ht="12.5">
      <c r="A137" s="356"/>
      <c r="B137" s="117"/>
      <c r="C137" s="117"/>
      <c r="D137" s="117"/>
      <c r="E137" s="117"/>
      <c r="F137" s="117"/>
      <c r="G137" s="117"/>
      <c r="H137" s="117"/>
      <c r="I137" s="117"/>
      <c r="J137" s="117"/>
      <c r="K137" s="117"/>
      <c r="L137" s="117"/>
      <c r="M137" s="117"/>
      <c r="N137" s="117"/>
      <c r="O137" s="117"/>
      <c r="P137" s="117"/>
      <c r="Q137" s="117"/>
      <c r="R137" s="117"/>
      <c r="S137" s="117"/>
      <c r="T137" s="350"/>
      <c r="U137" s="351"/>
    </row>
    <row r="138" spans="1:21" ht="12" customHeight="1">
      <c r="A138" s="1870"/>
      <c r="B138" s="1862"/>
      <c r="C138" s="1862"/>
      <c r="D138" s="348"/>
      <c r="E138" s="1863"/>
      <c r="F138" s="1863"/>
      <c r="G138" s="117"/>
      <c r="H138" s="117"/>
      <c r="I138" s="117"/>
      <c r="J138" s="117"/>
      <c r="K138" s="117"/>
      <c r="L138" s="117"/>
      <c r="M138" s="117"/>
      <c r="N138" s="117"/>
      <c r="O138" s="117"/>
      <c r="P138" s="117"/>
      <c r="Q138" s="117"/>
      <c r="R138" s="117"/>
      <c r="S138" s="117"/>
      <c r="T138" s="350"/>
      <c r="U138" s="351"/>
    </row>
    <row r="139" spans="1:21" ht="13">
      <c r="A139" s="1866" t="s">
        <v>1061</v>
      </c>
      <c r="B139" s="1866"/>
      <c r="C139" s="1866"/>
      <c r="D139" s="348"/>
      <c r="E139" s="117" t="s">
        <v>1055</v>
      </c>
      <c r="F139" s="117"/>
      <c r="G139" s="117"/>
      <c r="H139" s="117"/>
      <c r="I139" s="117"/>
      <c r="J139" s="117"/>
      <c r="K139" s="117"/>
      <c r="L139" s="117"/>
      <c r="M139" s="117"/>
      <c r="N139" s="117"/>
      <c r="O139" s="117"/>
      <c r="P139" s="117"/>
      <c r="Q139" s="117"/>
      <c r="R139" s="117"/>
      <c r="S139" s="117"/>
      <c r="T139" s="350"/>
      <c r="U139" s="351"/>
    </row>
    <row r="140" spans="1:21" ht="13">
      <c r="A140" s="356"/>
      <c r="B140" s="117"/>
      <c r="C140" s="117"/>
      <c r="D140" s="348"/>
      <c r="E140" s="117"/>
      <c r="F140" s="117"/>
      <c r="G140" s="117"/>
      <c r="H140" s="117"/>
      <c r="I140" s="117"/>
      <c r="J140" s="117"/>
      <c r="K140" s="117"/>
      <c r="L140" s="117"/>
      <c r="M140" s="117"/>
      <c r="N140" s="117"/>
      <c r="O140" s="117"/>
      <c r="P140" s="117"/>
      <c r="Q140" s="117"/>
      <c r="R140" s="117"/>
      <c r="S140" s="117"/>
      <c r="T140" s="347"/>
      <c r="U140" s="349"/>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4" priority="254" stopIfTrue="1">
      <formula>T9&gt;C9</formula>
    </cfRule>
  </conditionalFormatting>
  <conditionalFormatting sqref="S10">
    <cfRule type="expression" dxfId="173" priority="253" stopIfTrue="1">
      <formula>(S10+T10)&gt;C10</formula>
    </cfRule>
  </conditionalFormatting>
  <conditionalFormatting sqref="R8">
    <cfRule type="cellIs" dxfId="172" priority="242" stopIfTrue="1" operator="notEqual">
      <formula>$B8</formula>
    </cfRule>
    <cfRule type="cellIs" priority="245" stopIfTrue="1" operator="notEqual">
      <formula>$B8</formula>
    </cfRule>
  </conditionalFormatting>
  <conditionalFormatting sqref="R4:R7 R56:R61 R45:R53 R83:R95 R99:R103">
    <cfRule type="cellIs" dxfId="171" priority="244" stopIfTrue="1" operator="notEqual">
      <formula>$B4</formula>
    </cfRule>
  </conditionalFormatting>
  <conditionalFormatting sqref="R9:R10">
    <cfRule type="cellIs" dxfId="170" priority="243" stopIfTrue="1" operator="notEqual">
      <formula>$B9</formula>
    </cfRule>
  </conditionalFormatting>
  <conditionalFormatting sqref="R11:R12">
    <cfRule type="cellIs" dxfId="169" priority="240" stopIfTrue="1" operator="notEqual">
      <formula>$B11</formula>
    </cfRule>
    <cfRule type="cellIs" priority="241" stopIfTrue="1" operator="notEqual">
      <formula>$B11</formula>
    </cfRule>
  </conditionalFormatting>
  <conditionalFormatting sqref="R13:R15">
    <cfRule type="cellIs" dxfId="168" priority="239" stopIfTrue="1" operator="notEqual">
      <formula>$B13</formula>
    </cfRule>
  </conditionalFormatting>
  <conditionalFormatting sqref="R26">
    <cfRule type="cellIs" dxfId="167" priority="237" stopIfTrue="1" operator="notEqual">
      <formula>$B26</formula>
    </cfRule>
    <cfRule type="cellIs" priority="238" stopIfTrue="1" operator="notEqual">
      <formula>$B26</formula>
    </cfRule>
  </conditionalFormatting>
  <conditionalFormatting sqref="R17:R25">
    <cfRule type="cellIs" dxfId="166" priority="236" stopIfTrue="1" operator="notEqual">
      <formula>$B17</formula>
    </cfRule>
  </conditionalFormatting>
  <conditionalFormatting sqref="R27">
    <cfRule type="cellIs" dxfId="165" priority="235" stopIfTrue="1" operator="notEqual">
      <formula>$B27</formula>
    </cfRule>
  </conditionalFormatting>
  <conditionalFormatting sqref="R38">
    <cfRule type="cellIs" dxfId="164" priority="233" stopIfTrue="1" operator="notEqual">
      <formula>$B38</formula>
    </cfRule>
    <cfRule type="cellIs" priority="234" stopIfTrue="1" operator="notEqual">
      <formula>$B38</formula>
    </cfRule>
  </conditionalFormatting>
  <conditionalFormatting sqref="R29:R37">
    <cfRule type="cellIs" dxfId="163" priority="232" stopIfTrue="1" operator="notEqual">
      <formula>$B29</formula>
    </cfRule>
  </conditionalFormatting>
  <conditionalFormatting sqref="R42">
    <cfRule type="cellIs" dxfId="162" priority="230" stopIfTrue="1" operator="notEqual">
      <formula>$B42</formula>
    </cfRule>
    <cfRule type="cellIs" priority="231" stopIfTrue="1" operator="notEqual">
      <formula>$B42</formula>
    </cfRule>
  </conditionalFormatting>
  <conditionalFormatting sqref="R40:R41">
    <cfRule type="cellIs" dxfId="161" priority="229" stopIfTrue="1" operator="notEqual">
      <formula>$B40</formula>
    </cfRule>
  </conditionalFormatting>
  <conditionalFormatting sqref="R43">
    <cfRule type="cellIs" dxfId="160" priority="228" stopIfTrue="1" operator="notEqual">
      <formula>$B43</formula>
    </cfRule>
  </conditionalFormatting>
  <conditionalFormatting sqref="R54">
    <cfRule type="cellIs" dxfId="159" priority="226" stopIfTrue="1" operator="notEqual">
      <formula>$B54</formula>
    </cfRule>
    <cfRule type="cellIs" priority="227" stopIfTrue="1" operator="notEqual">
      <formula>$B54</formula>
    </cfRule>
  </conditionalFormatting>
  <conditionalFormatting sqref="R62:R63">
    <cfRule type="cellIs" dxfId="158" priority="223" stopIfTrue="1" operator="notEqual">
      <formula>$B62</formula>
    </cfRule>
    <cfRule type="cellIs" priority="224" stopIfTrue="1" operator="notEqual">
      <formula>$B62</formula>
    </cfRule>
  </conditionalFormatting>
  <conditionalFormatting sqref="R70">
    <cfRule type="cellIs" dxfId="157" priority="220" stopIfTrue="1" operator="notEqual">
      <formula>$B70</formula>
    </cfRule>
    <cfRule type="cellIs" priority="221" stopIfTrue="1" operator="notEqual">
      <formula>$B70</formula>
    </cfRule>
  </conditionalFormatting>
  <conditionalFormatting sqref="R65:R69">
    <cfRule type="cellIs" dxfId="156" priority="219" stopIfTrue="1" operator="notEqual">
      <formula>$B65</formula>
    </cfRule>
  </conditionalFormatting>
  <conditionalFormatting sqref="R77">
    <cfRule type="cellIs" dxfId="155" priority="217" stopIfTrue="1" operator="notEqual">
      <formula>$B77</formula>
    </cfRule>
    <cfRule type="cellIs" priority="218" stopIfTrue="1" operator="notEqual">
      <formula>$B77</formula>
    </cfRule>
  </conditionalFormatting>
  <conditionalFormatting sqref="R96">
    <cfRule type="cellIs" dxfId="154" priority="215" stopIfTrue="1" operator="notEqual">
      <formula>$B96</formula>
    </cfRule>
    <cfRule type="cellIs" priority="216" stopIfTrue="1" operator="notEqual">
      <formula>$B96</formula>
    </cfRule>
  </conditionalFormatting>
  <conditionalFormatting sqref="R72:R76">
    <cfRule type="cellIs" dxfId="153" priority="214" stopIfTrue="1" operator="notEqual">
      <formula>$B72</formula>
    </cfRule>
  </conditionalFormatting>
  <conditionalFormatting sqref="R79:R80">
    <cfRule type="cellIs" dxfId="152" priority="213" stopIfTrue="1" operator="notEqual">
      <formula>$B79</formula>
    </cfRule>
  </conditionalFormatting>
  <conditionalFormatting sqref="R104:R105">
    <cfRule type="cellIs" dxfId="151" priority="210" stopIfTrue="1" operator="notEqual">
      <formula>$B104</formula>
    </cfRule>
    <cfRule type="cellIs" priority="211" stopIfTrue="1" operator="notEqual">
      <formula>$B104</formula>
    </cfRule>
  </conditionalFormatting>
  <conditionalFormatting sqref="E105:Q105">
    <cfRule type="cellIs" dxfId="150" priority="208" stopIfTrue="1" operator="notEqual">
      <formula>E$108</formula>
    </cfRule>
  </conditionalFormatting>
  <conditionalFormatting sqref="S13">
    <cfRule type="expression" dxfId="149" priority="205" stopIfTrue="1">
      <formula>(S13+T13)&gt;C13</formula>
    </cfRule>
  </conditionalFormatting>
  <conditionalFormatting sqref="S14">
    <cfRule type="expression" dxfId="148" priority="202" stopIfTrue="1">
      <formula>(S14+T14)&gt;C14</formula>
    </cfRule>
  </conditionalFormatting>
  <conditionalFormatting sqref="S17">
    <cfRule type="expression" dxfId="147" priority="201" stopIfTrue="1">
      <formula>(S17+T17)&gt;C17</formula>
    </cfRule>
  </conditionalFormatting>
  <conditionalFormatting sqref="S18">
    <cfRule type="expression" dxfId="146" priority="193" stopIfTrue="1">
      <formula>(S18+T18)&gt;C18</formula>
    </cfRule>
  </conditionalFormatting>
  <conditionalFormatting sqref="S19">
    <cfRule type="expression" dxfId="145" priority="191" stopIfTrue="1">
      <formula>(S19+T19)&gt;C19</formula>
    </cfRule>
  </conditionalFormatting>
  <conditionalFormatting sqref="S20">
    <cfRule type="expression" dxfId="144" priority="190" stopIfTrue="1">
      <formula>(S20+T20)&gt;C20</formula>
    </cfRule>
  </conditionalFormatting>
  <conditionalFormatting sqref="S21">
    <cfRule type="expression" dxfId="143" priority="189" stopIfTrue="1">
      <formula>(S21+T21)&gt;C21</formula>
    </cfRule>
  </conditionalFormatting>
  <conditionalFormatting sqref="S22">
    <cfRule type="expression" dxfId="142" priority="188" stopIfTrue="1">
      <formula>(S22+T22)&gt;C22</formula>
    </cfRule>
  </conditionalFormatting>
  <conditionalFormatting sqref="S23:S24">
    <cfRule type="expression" dxfId="141" priority="187" stopIfTrue="1">
      <formula>(S23+T23)&gt;C23</formula>
    </cfRule>
  </conditionalFormatting>
  <conditionalFormatting sqref="S25">
    <cfRule type="expression" dxfId="140" priority="186" stopIfTrue="1">
      <formula>(S25+T25)&gt;C25</formula>
    </cfRule>
  </conditionalFormatting>
  <conditionalFormatting sqref="S27">
    <cfRule type="expression" dxfId="139" priority="179" stopIfTrue="1">
      <formula>(S27+T27)&gt;C27</formula>
    </cfRule>
  </conditionalFormatting>
  <conditionalFormatting sqref="S29">
    <cfRule type="expression" dxfId="138" priority="177" stopIfTrue="1">
      <formula>(S29+T29)&gt;C29</formula>
    </cfRule>
  </conditionalFormatting>
  <conditionalFormatting sqref="S30">
    <cfRule type="expression" dxfId="137" priority="175" stopIfTrue="1">
      <formula>(S30+T30)&gt;C30</formula>
    </cfRule>
  </conditionalFormatting>
  <conditionalFormatting sqref="S31">
    <cfRule type="expression" dxfId="136" priority="174" stopIfTrue="1">
      <formula>(S31+T31)&gt;C31</formula>
    </cfRule>
  </conditionalFormatting>
  <conditionalFormatting sqref="S32">
    <cfRule type="expression" dxfId="135" priority="173" stopIfTrue="1">
      <formula>(S32+T32)&gt;C32</formula>
    </cfRule>
  </conditionalFormatting>
  <conditionalFormatting sqref="S33">
    <cfRule type="expression" dxfId="134" priority="172" stopIfTrue="1">
      <formula>(S33+T33)&gt;C33</formula>
    </cfRule>
  </conditionalFormatting>
  <conditionalFormatting sqref="S34">
    <cfRule type="expression" dxfId="133" priority="171" stopIfTrue="1">
      <formula>(S34+T34)&gt;C34</formula>
    </cfRule>
  </conditionalFormatting>
  <conditionalFormatting sqref="S35:S36">
    <cfRule type="expression" dxfId="132" priority="170" stopIfTrue="1">
      <formula>(S35+T35)&gt;C35</formula>
    </cfRule>
  </conditionalFormatting>
  <conditionalFormatting sqref="S37">
    <cfRule type="expression" dxfId="131" priority="169" stopIfTrue="1">
      <formula>(S37+T37)&gt;C37</formula>
    </cfRule>
  </conditionalFormatting>
  <conditionalFormatting sqref="S40">
    <cfRule type="expression" dxfId="130" priority="161" stopIfTrue="1">
      <formula>(S40+T40)&gt;C40</formula>
    </cfRule>
  </conditionalFormatting>
  <conditionalFormatting sqref="S41">
    <cfRule type="expression" dxfId="129" priority="160" stopIfTrue="1">
      <formula>(S41+T41)&gt;C41</formula>
    </cfRule>
  </conditionalFormatting>
  <conditionalFormatting sqref="S43">
    <cfRule type="expression" dxfId="128" priority="157" stopIfTrue="1">
      <formula>(S43+T43)&gt;C43</formula>
    </cfRule>
  </conditionalFormatting>
  <conditionalFormatting sqref="S45">
    <cfRule type="expression" dxfId="127" priority="155" stopIfTrue="1">
      <formula>(S45+T45)&gt;C45</formula>
    </cfRule>
  </conditionalFormatting>
  <conditionalFormatting sqref="S46">
    <cfRule type="expression" dxfId="126" priority="150" stopIfTrue="1">
      <formula>(S46+T46)&gt;C46</formula>
    </cfRule>
  </conditionalFormatting>
  <conditionalFormatting sqref="S47">
    <cfRule type="expression" dxfId="125" priority="149" stopIfTrue="1">
      <formula>(S47+T47)&gt;C47</formula>
    </cfRule>
  </conditionalFormatting>
  <conditionalFormatting sqref="S48">
    <cfRule type="expression" dxfId="124" priority="148" stopIfTrue="1">
      <formula>(S48+T48)&gt;C48</formula>
    </cfRule>
  </conditionalFormatting>
  <conditionalFormatting sqref="S49">
    <cfRule type="expression" dxfId="123" priority="147" stopIfTrue="1">
      <formula>(S49+T49)&gt;C49</formula>
    </cfRule>
  </conditionalFormatting>
  <conditionalFormatting sqref="S50">
    <cfRule type="expression" dxfId="122" priority="146" stopIfTrue="1">
      <formula>(S50+T50)&gt;C50</formula>
    </cfRule>
  </conditionalFormatting>
  <conditionalFormatting sqref="S51">
    <cfRule type="expression" dxfId="121" priority="145" stopIfTrue="1">
      <formula>(S51+T51)&gt;C51</formula>
    </cfRule>
  </conditionalFormatting>
  <conditionalFormatting sqref="S52">
    <cfRule type="expression" dxfId="120" priority="144" stopIfTrue="1">
      <formula>(S52+T52)&gt;C52</formula>
    </cfRule>
  </conditionalFormatting>
  <conditionalFormatting sqref="S53">
    <cfRule type="expression" dxfId="119" priority="142" stopIfTrue="1">
      <formula>(S53+T53)&gt;C53</formula>
    </cfRule>
  </conditionalFormatting>
  <conditionalFormatting sqref="S65:S68">
    <cfRule type="expression" dxfId="118" priority="132" stopIfTrue="1">
      <formula>(S65+T65)&gt;C65</formula>
    </cfRule>
  </conditionalFormatting>
  <conditionalFormatting sqref="S69">
    <cfRule type="expression" dxfId="117" priority="131" stopIfTrue="1">
      <formula>(S69+T69)&gt;C69</formula>
    </cfRule>
  </conditionalFormatting>
  <conditionalFormatting sqref="S79">
    <cfRule type="expression" dxfId="116" priority="128" stopIfTrue="1">
      <formula>(S79+T79)&gt;C79</formula>
    </cfRule>
  </conditionalFormatting>
  <conditionalFormatting sqref="S80">
    <cfRule type="expression" dxfId="115" priority="127" stopIfTrue="1">
      <formula>(S80+T80)&gt;C80</formula>
    </cfRule>
  </conditionalFormatting>
  <conditionalFormatting sqref="S84">
    <cfRule type="expression" dxfId="114" priority="124" stopIfTrue="1">
      <formula>(S84+T84)&gt;C84</formula>
    </cfRule>
  </conditionalFormatting>
  <conditionalFormatting sqref="S85">
    <cfRule type="expression" dxfId="113" priority="123" stopIfTrue="1">
      <formula>(S85+T85)&gt;C85</formula>
    </cfRule>
  </conditionalFormatting>
  <conditionalFormatting sqref="S86">
    <cfRule type="expression" dxfId="112" priority="122" stopIfTrue="1">
      <formula>(S86+T86)&gt;C86</formula>
    </cfRule>
  </conditionalFormatting>
  <conditionalFormatting sqref="S87">
    <cfRule type="expression" dxfId="111" priority="121" stopIfTrue="1">
      <formula>(S87+T87)&gt;C87</formula>
    </cfRule>
  </conditionalFormatting>
  <conditionalFormatting sqref="S89">
    <cfRule type="expression" dxfId="110" priority="116" stopIfTrue="1">
      <formula>(S89+T89)&gt;C89</formula>
    </cfRule>
  </conditionalFormatting>
  <conditionalFormatting sqref="S90">
    <cfRule type="expression" dxfId="109" priority="115" stopIfTrue="1">
      <formula>(S90+T90)&gt;C90</formula>
    </cfRule>
  </conditionalFormatting>
  <conditionalFormatting sqref="S91">
    <cfRule type="expression" dxfId="108" priority="114" stopIfTrue="1">
      <formula>(S91+T91)&gt;C91</formula>
    </cfRule>
  </conditionalFormatting>
  <conditionalFormatting sqref="S92">
    <cfRule type="expression" dxfId="107" priority="113" stopIfTrue="1">
      <formula>(S92+T92)&gt;C92</formula>
    </cfRule>
  </conditionalFormatting>
  <conditionalFormatting sqref="S93">
    <cfRule type="expression" dxfId="106" priority="112" stopIfTrue="1">
      <formula>(S93+T93)&gt;C93</formula>
    </cfRule>
  </conditionalFormatting>
  <conditionalFormatting sqref="S94">
    <cfRule type="expression" dxfId="105" priority="111" stopIfTrue="1">
      <formula>(S94+T94)&gt;C94</formula>
    </cfRule>
  </conditionalFormatting>
  <conditionalFormatting sqref="S95">
    <cfRule type="expression" dxfId="104" priority="110" stopIfTrue="1">
      <formula>(S95+T95)&gt;C95</formula>
    </cfRule>
  </conditionalFormatting>
  <conditionalFormatting sqref="S99">
    <cfRule type="expression" dxfId="103" priority="98" stopIfTrue="1">
      <formula>(S99+T99)&gt;C99</formula>
    </cfRule>
  </conditionalFormatting>
  <conditionalFormatting sqref="S100">
    <cfRule type="expression" dxfId="102" priority="97" stopIfTrue="1">
      <formula>(S100+T100)&gt;C100</formula>
    </cfRule>
  </conditionalFormatting>
  <conditionalFormatting sqref="S101">
    <cfRule type="expression" dxfId="101" priority="95" stopIfTrue="1">
      <formula>(S101+T101)&gt;C101</formula>
    </cfRule>
  </conditionalFormatting>
  <conditionalFormatting sqref="S102">
    <cfRule type="expression" dxfId="100" priority="94" stopIfTrue="1">
      <formula>(S102+T102)&gt;C102</formula>
    </cfRule>
  </conditionalFormatting>
  <conditionalFormatting sqref="S103">
    <cfRule type="expression" dxfId="99" priority="93" stopIfTrue="1">
      <formula>(S103+T103)&gt;C103</formula>
    </cfRule>
  </conditionalFormatting>
  <conditionalFormatting sqref="C10">
    <cfRule type="expression" dxfId="98" priority="85">
      <formula>"(S10+T10)&gt;C10 "</formula>
    </cfRule>
  </conditionalFormatting>
  <conditionalFormatting sqref="T10">
    <cfRule type="expression" dxfId="97" priority="83" stopIfTrue="1">
      <formula>(S10+T10)&gt;C10</formula>
    </cfRule>
  </conditionalFormatting>
  <conditionalFormatting sqref="T13">
    <cfRule type="expression" dxfId="96" priority="81" stopIfTrue="1">
      <formula>(S13+T13)&gt;C13</formula>
    </cfRule>
  </conditionalFormatting>
  <conditionalFormatting sqref="T14">
    <cfRule type="expression" dxfId="95" priority="80" stopIfTrue="1">
      <formula>(S14+T14)&gt;C14</formula>
    </cfRule>
  </conditionalFormatting>
  <conditionalFormatting sqref="T17">
    <cfRule type="expression" dxfId="94" priority="79" stopIfTrue="1">
      <formula>(S17+T17)&gt;C17</formula>
    </cfRule>
  </conditionalFormatting>
  <conditionalFormatting sqref="T18">
    <cfRule type="expression" dxfId="93" priority="62" stopIfTrue="1">
      <formula>(S18+T18)&gt;C18</formula>
    </cfRule>
  </conditionalFormatting>
  <conditionalFormatting sqref="T19">
    <cfRule type="expression" dxfId="92" priority="61" stopIfTrue="1">
      <formula>(S19+T19)&gt;C19</formula>
    </cfRule>
  </conditionalFormatting>
  <conditionalFormatting sqref="T20">
    <cfRule type="expression" dxfId="91" priority="60" stopIfTrue="1">
      <formula>(S20+T20)&gt;C20</formula>
    </cfRule>
  </conditionalFormatting>
  <conditionalFormatting sqref="T21">
    <cfRule type="expression" dxfId="90" priority="59" stopIfTrue="1">
      <formula>(S21+T21)&gt;C21</formula>
    </cfRule>
  </conditionalFormatting>
  <conditionalFormatting sqref="T22">
    <cfRule type="expression" dxfId="89" priority="58" stopIfTrue="1">
      <formula>(S22+T22)&gt;C22</formula>
    </cfRule>
  </conditionalFormatting>
  <conditionalFormatting sqref="T23:T24">
    <cfRule type="expression" dxfId="88" priority="57" stopIfTrue="1">
      <formula>(S23+T23)&gt;C23</formula>
    </cfRule>
  </conditionalFormatting>
  <conditionalFormatting sqref="T25">
    <cfRule type="expression" dxfId="87" priority="56" stopIfTrue="1">
      <formula>(S25+T25)&gt;C25</formula>
    </cfRule>
  </conditionalFormatting>
  <conditionalFormatting sqref="T27">
    <cfRule type="expression" dxfId="86" priority="54" stopIfTrue="1">
      <formula>(S27+T27)&gt;C27</formula>
    </cfRule>
  </conditionalFormatting>
  <conditionalFormatting sqref="T29">
    <cfRule type="expression" dxfId="85" priority="53" stopIfTrue="1">
      <formula>(S29+T29)&gt;C29</formula>
    </cfRule>
  </conditionalFormatting>
  <conditionalFormatting sqref="T30">
    <cfRule type="expression" dxfId="84" priority="51" stopIfTrue="1">
      <formula>(S30+T30)&gt;C30</formula>
    </cfRule>
  </conditionalFormatting>
  <conditionalFormatting sqref="T31">
    <cfRule type="expression" dxfId="83" priority="50" stopIfTrue="1">
      <formula>(S31+T31)&gt;C31</formula>
    </cfRule>
  </conditionalFormatting>
  <conditionalFormatting sqref="T32">
    <cfRule type="expression" dxfId="82" priority="49" stopIfTrue="1">
      <formula>(S32+T32)&gt;C32</formula>
    </cfRule>
  </conditionalFormatting>
  <conditionalFormatting sqref="T33">
    <cfRule type="expression" dxfId="81" priority="48" stopIfTrue="1">
      <formula>(S33+T33)&gt;C33</formula>
    </cfRule>
  </conditionalFormatting>
  <conditionalFormatting sqref="T34">
    <cfRule type="expression" dxfId="80" priority="47" stopIfTrue="1">
      <formula>(S34+T34)&gt;C34</formula>
    </cfRule>
  </conditionalFormatting>
  <conditionalFormatting sqref="T35:T36">
    <cfRule type="expression" dxfId="79" priority="46" stopIfTrue="1">
      <formula>(S35+T35)&gt;C35</formula>
    </cfRule>
  </conditionalFormatting>
  <conditionalFormatting sqref="T37">
    <cfRule type="expression" dxfId="78" priority="45" stopIfTrue="1">
      <formula>(S37+T37)&gt;C37</formula>
    </cfRule>
  </conditionalFormatting>
  <conditionalFormatting sqref="T40">
    <cfRule type="expression" dxfId="77" priority="44" stopIfTrue="1">
      <formula>(S40+T40)&gt;C40</formula>
    </cfRule>
  </conditionalFormatting>
  <conditionalFormatting sqref="T41">
    <cfRule type="expression" dxfId="76" priority="43" stopIfTrue="1">
      <formula>(S41+T41)&gt;C41</formula>
    </cfRule>
  </conditionalFormatting>
  <conditionalFormatting sqref="T43">
    <cfRule type="expression" dxfId="75" priority="42" stopIfTrue="1">
      <formula>(S43+T43)&gt;C43</formula>
    </cfRule>
  </conditionalFormatting>
  <conditionalFormatting sqref="T45">
    <cfRule type="expression" dxfId="74" priority="41" stopIfTrue="1">
      <formula>(S45+T45)&gt;C45</formula>
    </cfRule>
  </conditionalFormatting>
  <conditionalFormatting sqref="T46">
    <cfRule type="expression" dxfId="73" priority="40" stopIfTrue="1">
      <formula>(S46+T46)&gt;C46</formula>
    </cfRule>
  </conditionalFormatting>
  <conditionalFormatting sqref="T47">
    <cfRule type="expression" dxfId="72" priority="39" stopIfTrue="1">
      <formula>(S47+T47)&gt;C47</formula>
    </cfRule>
  </conditionalFormatting>
  <conditionalFormatting sqref="T48">
    <cfRule type="expression" dxfId="71" priority="38" stopIfTrue="1">
      <formula>(S48+T48)&gt;C48</formula>
    </cfRule>
  </conditionalFormatting>
  <conditionalFormatting sqref="T49">
    <cfRule type="expression" dxfId="70" priority="37" stopIfTrue="1">
      <formula>(S49+T49)&gt;C49</formula>
    </cfRule>
  </conditionalFormatting>
  <conditionalFormatting sqref="T50">
    <cfRule type="expression" dxfId="69" priority="36" stopIfTrue="1">
      <formula>(S50+T50)&gt;C50</formula>
    </cfRule>
  </conditionalFormatting>
  <conditionalFormatting sqref="T51">
    <cfRule type="expression" dxfId="68" priority="35" stopIfTrue="1">
      <formula>(S51+T51)&gt;C51</formula>
    </cfRule>
  </conditionalFormatting>
  <conditionalFormatting sqref="T52">
    <cfRule type="expression" dxfId="67" priority="34" stopIfTrue="1">
      <formula>(S52+T52)&gt;C52</formula>
    </cfRule>
  </conditionalFormatting>
  <conditionalFormatting sqref="T53">
    <cfRule type="expression" dxfId="66" priority="32" stopIfTrue="1">
      <formula>(S53+T53)&gt;C53</formula>
    </cfRule>
  </conditionalFormatting>
  <conditionalFormatting sqref="T65:T68">
    <cfRule type="expression" dxfId="65" priority="31" stopIfTrue="1">
      <formula>(S65+T65)&gt;C65</formula>
    </cfRule>
  </conditionalFormatting>
  <conditionalFormatting sqref="T69">
    <cfRule type="expression" dxfId="64" priority="30" stopIfTrue="1">
      <formula>(S69+T69)&gt;C69</formula>
    </cfRule>
  </conditionalFormatting>
  <conditionalFormatting sqref="T79">
    <cfRule type="expression" dxfId="63" priority="29" stopIfTrue="1">
      <formula>(S79+T79)&gt;C79</formula>
    </cfRule>
  </conditionalFormatting>
  <conditionalFormatting sqref="T80">
    <cfRule type="expression" dxfId="62" priority="28" stopIfTrue="1">
      <formula>(S80+T80)&gt;C80</formula>
    </cfRule>
  </conditionalFormatting>
  <conditionalFormatting sqref="T84">
    <cfRule type="expression" dxfId="61" priority="27" stopIfTrue="1">
      <formula>(S84+T84)&gt;C84</formula>
    </cfRule>
  </conditionalFormatting>
  <conditionalFormatting sqref="T85">
    <cfRule type="expression" dxfId="60" priority="26" stopIfTrue="1">
      <formula>(S85+T85)&gt;C85</formula>
    </cfRule>
  </conditionalFormatting>
  <conditionalFormatting sqref="T86">
    <cfRule type="expression" dxfId="59" priority="25" stopIfTrue="1">
      <formula>(S86+T86)&gt;C86</formula>
    </cfRule>
  </conditionalFormatting>
  <conditionalFormatting sqref="T87">
    <cfRule type="expression" dxfId="58" priority="24" stopIfTrue="1">
      <formula>(S87+T87)&gt;C87</formula>
    </cfRule>
  </conditionalFormatting>
  <conditionalFormatting sqref="T89">
    <cfRule type="expression" dxfId="57" priority="23" stopIfTrue="1">
      <formula>(S89+T89)&gt;C89</formula>
    </cfRule>
  </conditionalFormatting>
  <conditionalFormatting sqref="T90">
    <cfRule type="expression" dxfId="56" priority="22" stopIfTrue="1">
      <formula>(S90+T90)&gt;C90</formula>
    </cfRule>
  </conditionalFormatting>
  <conditionalFormatting sqref="T91">
    <cfRule type="expression" dxfId="55" priority="21" stopIfTrue="1">
      <formula>(S91+T91)&gt;C91</formula>
    </cfRule>
  </conditionalFormatting>
  <conditionalFormatting sqref="T92">
    <cfRule type="expression" dxfId="54" priority="20" stopIfTrue="1">
      <formula>(S92+T92)&gt;C92</formula>
    </cfRule>
  </conditionalFormatting>
  <conditionalFormatting sqref="T93">
    <cfRule type="expression" dxfId="53" priority="19" stopIfTrue="1">
      <formula>(S93+T93)&gt;C93</formula>
    </cfRule>
  </conditionalFormatting>
  <conditionalFormatting sqref="T94">
    <cfRule type="expression" dxfId="52" priority="18" stopIfTrue="1">
      <formula>(S94+T94)&gt;C94</formula>
    </cfRule>
  </conditionalFormatting>
  <conditionalFormatting sqref="T95">
    <cfRule type="expression" dxfId="51" priority="17" stopIfTrue="1">
      <formula>(S95+T95)&gt;C95</formula>
    </cfRule>
  </conditionalFormatting>
  <conditionalFormatting sqref="T99">
    <cfRule type="expression" dxfId="50" priority="14" stopIfTrue="1">
      <formula>(S99+T99)&gt;C99</formula>
    </cfRule>
  </conditionalFormatting>
  <conditionalFormatting sqref="T100">
    <cfRule type="expression" dxfId="49" priority="13" stopIfTrue="1">
      <formula>(S100+T100)&gt;C100</formula>
    </cfRule>
  </conditionalFormatting>
  <conditionalFormatting sqref="T101">
    <cfRule type="expression" dxfId="48" priority="11" stopIfTrue="1">
      <formula>(S101+T101)&gt;C101</formula>
    </cfRule>
  </conditionalFormatting>
  <conditionalFormatting sqref="T102">
    <cfRule type="expression" dxfId="47" priority="10" stopIfTrue="1">
      <formula>(S102+T102)&gt;C102</formula>
    </cfRule>
  </conditionalFormatting>
  <conditionalFormatting sqref="T103">
    <cfRule type="expression" dxfId="46" priority="9" stopIfTrue="1">
      <formula>(S103+T103)&gt;C103</formula>
    </cfRule>
  </conditionalFormatting>
  <conditionalFormatting sqref="A25">
    <cfRule type="expression" dxfId="45" priority="8">
      <formula>AND(B25&gt;0,OR(A25="",A25="Other: (Specify)"))</formula>
    </cfRule>
  </conditionalFormatting>
  <conditionalFormatting sqref="A37">
    <cfRule type="expression" dxfId="44" priority="7">
      <formula>AND(B37&gt;0,OR(A37="",A37="Other: (Specify)"))</formula>
    </cfRule>
  </conditionalFormatting>
  <conditionalFormatting sqref="A53">
    <cfRule type="expression" dxfId="43" priority="6">
      <formula>AND(B53&gt;0,OR(A53="",A53="Other: (Specify)"))</formula>
    </cfRule>
  </conditionalFormatting>
  <conditionalFormatting sqref="A61">
    <cfRule type="expression" dxfId="42" priority="5">
      <formula>AND(B61&gt;0,OR(A61="",A61="Other: (Specify)"))</formula>
    </cfRule>
  </conditionalFormatting>
  <conditionalFormatting sqref="A69">
    <cfRule type="expression" dxfId="41" priority="4">
      <formula>AND(B69&gt;0,OR(A69="",A69="Other: (Specify)"))</formula>
    </cfRule>
  </conditionalFormatting>
  <conditionalFormatting sqref="A76">
    <cfRule type="expression" dxfId="40" priority="3">
      <formula>AND(B76&gt;0,OR(A76="",A76="Other: (Specify)"))</formula>
    </cfRule>
  </conditionalFormatting>
  <conditionalFormatting sqref="A93:A95">
    <cfRule type="expression" dxfId="39" priority="2">
      <formula>AND(B93&gt;0,OR(A93="",A93="Other: (Specify)"))</formula>
    </cfRule>
  </conditionalFormatting>
  <conditionalFormatting sqref="A103">
    <cfRule type="expression" dxfId="38"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1.5" zeroHeight="1"/>
  <cols>
    <col min="1" max="1" width="32.6328125" style="420" customWidth="1"/>
    <col min="2" max="3" width="12.08984375" style="416" customWidth="1"/>
    <col min="4" max="6" width="12.6328125" style="416" customWidth="1"/>
    <col min="7" max="9" width="12.08984375" style="416" customWidth="1"/>
    <col min="10" max="10" width="12.08984375" style="417" customWidth="1"/>
    <col min="11" max="11" width="8.6328125" style="418" hidden="1" customWidth="1"/>
    <col min="12" max="21" width="8.6328125" style="416" hidden="1" customWidth="1"/>
    <col min="22" max="23" width="0" style="416" hidden="1"/>
    <col min="24" max="256" width="8.6328125" style="416" hidden="1"/>
    <col min="257" max="257" width="32.6328125" style="416" hidden="1" customWidth="1"/>
    <col min="258" max="259" width="12.08984375" style="416" hidden="1" customWidth="1"/>
    <col min="260" max="260" width="12.6328125" style="416" hidden="1" customWidth="1"/>
    <col min="261" max="266" width="12.08984375" style="416" hidden="1" customWidth="1"/>
    <col min="267" max="277" width="8.6328125" style="416" hidden="1" customWidth="1"/>
    <col min="278" max="512" width="8.6328125" style="416" hidden="1"/>
    <col min="513" max="513" width="32.6328125" style="416" hidden="1" customWidth="1"/>
    <col min="514" max="515" width="12.08984375" style="416" hidden="1" customWidth="1"/>
    <col min="516" max="516" width="12.6328125" style="416" hidden="1" customWidth="1"/>
    <col min="517" max="522" width="12.08984375" style="416" hidden="1" customWidth="1"/>
    <col min="523" max="533" width="8.6328125" style="416" hidden="1" customWidth="1"/>
    <col min="534" max="768" width="8.6328125" style="416" hidden="1"/>
    <col min="769" max="769" width="32.6328125" style="416" hidden="1" customWidth="1"/>
    <col min="770" max="771" width="12.08984375" style="416" hidden="1" customWidth="1"/>
    <col min="772" max="772" width="12.6328125" style="416" hidden="1" customWidth="1"/>
    <col min="773" max="778" width="12.08984375" style="416" hidden="1" customWidth="1"/>
    <col min="779" max="789" width="8.6328125" style="416" hidden="1" customWidth="1"/>
    <col min="790" max="1024" width="8.6328125" style="416" hidden="1"/>
    <col min="1025" max="1025" width="32.6328125" style="416" hidden="1" customWidth="1"/>
    <col min="1026" max="1027" width="12.08984375" style="416" hidden="1" customWidth="1"/>
    <col min="1028" max="1028" width="12.6328125" style="416" hidden="1" customWidth="1"/>
    <col min="1029" max="1034" width="12.08984375" style="416" hidden="1" customWidth="1"/>
    <col min="1035" max="1045" width="8.6328125" style="416" hidden="1" customWidth="1"/>
    <col min="1046" max="1280" width="8.6328125" style="416" hidden="1"/>
    <col min="1281" max="1281" width="32.6328125" style="416" hidden="1" customWidth="1"/>
    <col min="1282" max="1283" width="12.08984375" style="416" hidden="1" customWidth="1"/>
    <col min="1284" max="1284" width="12.6328125" style="416" hidden="1" customWidth="1"/>
    <col min="1285" max="1290" width="12.08984375" style="416" hidden="1" customWidth="1"/>
    <col min="1291" max="1301" width="8.6328125" style="416" hidden="1" customWidth="1"/>
    <col min="1302" max="1536" width="8.6328125" style="416" hidden="1"/>
    <col min="1537" max="1537" width="32.6328125" style="416" hidden="1" customWidth="1"/>
    <col min="1538" max="1539" width="12.08984375" style="416" hidden="1" customWidth="1"/>
    <col min="1540" max="1540" width="12.6328125" style="416" hidden="1" customWidth="1"/>
    <col min="1541" max="1546" width="12.08984375" style="416" hidden="1" customWidth="1"/>
    <col min="1547" max="1557" width="8.6328125" style="416" hidden="1" customWidth="1"/>
    <col min="1558" max="1792" width="8.6328125" style="416" hidden="1"/>
    <col min="1793" max="1793" width="32.6328125" style="416" hidden="1" customWidth="1"/>
    <col min="1794" max="1795" width="12.08984375" style="416" hidden="1" customWidth="1"/>
    <col min="1796" max="1796" width="12.6328125" style="416" hidden="1" customWidth="1"/>
    <col min="1797" max="1802" width="12.08984375" style="416" hidden="1" customWidth="1"/>
    <col min="1803" max="1813" width="8.6328125" style="416" hidden="1" customWidth="1"/>
    <col min="1814" max="2048" width="8.6328125" style="416" hidden="1"/>
    <col min="2049" max="2049" width="32.6328125" style="416" hidden="1" customWidth="1"/>
    <col min="2050" max="2051" width="12.08984375" style="416" hidden="1" customWidth="1"/>
    <col min="2052" max="2052" width="12.6328125" style="416" hidden="1" customWidth="1"/>
    <col min="2053" max="2058" width="12.08984375" style="416" hidden="1" customWidth="1"/>
    <col min="2059" max="2069" width="8.6328125" style="416" hidden="1" customWidth="1"/>
    <col min="2070" max="2304" width="8.6328125" style="416" hidden="1"/>
    <col min="2305" max="2305" width="32.6328125" style="416" hidden="1" customWidth="1"/>
    <col min="2306" max="2307" width="12.08984375" style="416" hidden="1" customWidth="1"/>
    <col min="2308" max="2308" width="12.6328125" style="416" hidden="1" customWidth="1"/>
    <col min="2309" max="2314" width="12.08984375" style="416" hidden="1" customWidth="1"/>
    <col min="2315" max="2325" width="8.6328125" style="416" hidden="1" customWidth="1"/>
    <col min="2326" max="2560" width="8.6328125" style="416" hidden="1"/>
    <col min="2561" max="2561" width="32.6328125" style="416" hidden="1" customWidth="1"/>
    <col min="2562" max="2563" width="12.08984375" style="416" hidden="1" customWidth="1"/>
    <col min="2564" max="2564" width="12.6328125" style="416" hidden="1" customWidth="1"/>
    <col min="2565" max="2570" width="12.08984375" style="416" hidden="1" customWidth="1"/>
    <col min="2571" max="2581" width="8.6328125" style="416" hidden="1" customWidth="1"/>
    <col min="2582" max="2816" width="8.6328125" style="416" hidden="1"/>
    <col min="2817" max="2817" width="32.6328125" style="416" hidden="1" customWidth="1"/>
    <col min="2818" max="2819" width="12.08984375" style="416" hidden="1" customWidth="1"/>
    <col min="2820" max="2820" width="12.6328125" style="416" hidden="1" customWidth="1"/>
    <col min="2821" max="2826" width="12.08984375" style="416" hidden="1" customWidth="1"/>
    <col min="2827" max="2837" width="8.6328125" style="416" hidden="1" customWidth="1"/>
    <col min="2838" max="3072" width="8.6328125" style="416" hidden="1"/>
    <col min="3073" max="3073" width="32.6328125" style="416" hidden="1" customWidth="1"/>
    <col min="3074" max="3075" width="12.08984375" style="416" hidden="1" customWidth="1"/>
    <col min="3076" max="3076" width="12.6328125" style="416" hidden="1" customWidth="1"/>
    <col min="3077" max="3082" width="12.08984375" style="416" hidden="1" customWidth="1"/>
    <col min="3083" max="3093" width="8.6328125" style="416" hidden="1" customWidth="1"/>
    <col min="3094" max="3328" width="8.6328125" style="416" hidden="1"/>
    <col min="3329" max="3329" width="32.6328125" style="416" hidden="1" customWidth="1"/>
    <col min="3330" max="3331" width="12.08984375" style="416" hidden="1" customWidth="1"/>
    <col min="3332" max="3332" width="12.6328125" style="416" hidden="1" customWidth="1"/>
    <col min="3333" max="3338" width="12.08984375" style="416" hidden="1" customWidth="1"/>
    <col min="3339" max="3349" width="8.6328125" style="416" hidden="1" customWidth="1"/>
    <col min="3350" max="3584" width="8.6328125" style="416" hidden="1"/>
    <col min="3585" max="3585" width="32.6328125" style="416" hidden="1" customWidth="1"/>
    <col min="3586" max="3587" width="12.08984375" style="416" hidden="1" customWidth="1"/>
    <col min="3588" max="3588" width="12.6328125" style="416" hidden="1" customWidth="1"/>
    <col min="3589" max="3594" width="12.08984375" style="416" hidden="1" customWidth="1"/>
    <col min="3595" max="3605" width="8.6328125" style="416" hidden="1" customWidth="1"/>
    <col min="3606" max="3840" width="8.6328125" style="416" hidden="1"/>
    <col min="3841" max="3841" width="32.6328125" style="416" hidden="1" customWidth="1"/>
    <col min="3842" max="3843" width="12.08984375" style="416" hidden="1" customWidth="1"/>
    <col min="3844" max="3844" width="12.6328125" style="416" hidden="1" customWidth="1"/>
    <col min="3845" max="3850" width="12.08984375" style="416" hidden="1" customWidth="1"/>
    <col min="3851" max="3861" width="8.6328125" style="416" hidden="1" customWidth="1"/>
    <col min="3862" max="4096" width="8.6328125" style="416" hidden="1"/>
    <col min="4097" max="4097" width="32.6328125" style="416" hidden="1" customWidth="1"/>
    <col min="4098" max="4099" width="12.08984375" style="416" hidden="1" customWidth="1"/>
    <col min="4100" max="4100" width="12.6328125" style="416" hidden="1" customWidth="1"/>
    <col min="4101" max="4106" width="12.08984375" style="416" hidden="1" customWidth="1"/>
    <col min="4107" max="4117" width="8.6328125" style="416" hidden="1" customWidth="1"/>
    <col min="4118" max="4352" width="8.6328125" style="416" hidden="1"/>
    <col min="4353" max="4353" width="32.6328125" style="416" hidden="1" customWidth="1"/>
    <col min="4354" max="4355" width="12.08984375" style="416" hidden="1" customWidth="1"/>
    <col min="4356" max="4356" width="12.6328125" style="416" hidden="1" customWidth="1"/>
    <col min="4357" max="4362" width="12.08984375" style="416" hidden="1" customWidth="1"/>
    <col min="4363" max="4373" width="8.6328125" style="416" hidden="1" customWidth="1"/>
    <col min="4374" max="4608" width="8.6328125" style="416" hidden="1"/>
    <col min="4609" max="4609" width="32.6328125" style="416" hidden="1" customWidth="1"/>
    <col min="4610" max="4611" width="12.08984375" style="416" hidden="1" customWidth="1"/>
    <col min="4612" max="4612" width="12.6328125" style="416" hidden="1" customWidth="1"/>
    <col min="4613" max="4618" width="12.08984375" style="416" hidden="1" customWidth="1"/>
    <col min="4619" max="4629" width="8.6328125" style="416" hidden="1" customWidth="1"/>
    <col min="4630" max="4864" width="8.6328125" style="416" hidden="1"/>
    <col min="4865" max="4865" width="32.6328125" style="416" hidden="1" customWidth="1"/>
    <col min="4866" max="4867" width="12.08984375" style="416" hidden="1" customWidth="1"/>
    <col min="4868" max="4868" width="12.6328125" style="416" hidden="1" customWidth="1"/>
    <col min="4869" max="4874" width="12.08984375" style="416" hidden="1" customWidth="1"/>
    <col min="4875" max="4885" width="8.6328125" style="416" hidden="1" customWidth="1"/>
    <col min="4886" max="5120" width="8.6328125" style="416" hidden="1"/>
    <col min="5121" max="5121" width="32.6328125" style="416" hidden="1" customWidth="1"/>
    <col min="5122" max="5123" width="12.08984375" style="416" hidden="1" customWidth="1"/>
    <col min="5124" max="5124" width="12.6328125" style="416" hidden="1" customWidth="1"/>
    <col min="5125" max="5130" width="12.08984375" style="416" hidden="1" customWidth="1"/>
    <col min="5131" max="5141" width="8.6328125" style="416" hidden="1" customWidth="1"/>
    <col min="5142" max="5376" width="8.6328125" style="416" hidden="1"/>
    <col min="5377" max="5377" width="32.6328125" style="416" hidden="1" customWidth="1"/>
    <col min="5378" max="5379" width="12.08984375" style="416" hidden="1" customWidth="1"/>
    <col min="5380" max="5380" width="12.6328125" style="416" hidden="1" customWidth="1"/>
    <col min="5381" max="5386" width="12.08984375" style="416" hidden="1" customWidth="1"/>
    <col min="5387" max="5397" width="8.6328125" style="416" hidden="1" customWidth="1"/>
    <col min="5398" max="5632" width="8.6328125" style="416" hidden="1"/>
    <col min="5633" max="5633" width="32.6328125" style="416" hidden="1" customWidth="1"/>
    <col min="5634" max="5635" width="12.08984375" style="416" hidden="1" customWidth="1"/>
    <col min="5636" max="5636" width="12.6328125" style="416" hidden="1" customWidth="1"/>
    <col min="5637" max="5642" width="12.08984375" style="416" hidden="1" customWidth="1"/>
    <col min="5643" max="5653" width="8.6328125" style="416" hidden="1" customWidth="1"/>
    <col min="5654" max="5888" width="8.6328125" style="416" hidden="1"/>
    <col min="5889" max="5889" width="32.6328125" style="416" hidden="1" customWidth="1"/>
    <col min="5890" max="5891" width="12.08984375" style="416" hidden="1" customWidth="1"/>
    <col min="5892" max="5892" width="12.6328125" style="416" hidden="1" customWidth="1"/>
    <col min="5893" max="5898" width="12.08984375" style="416" hidden="1" customWidth="1"/>
    <col min="5899" max="5909" width="8.6328125" style="416" hidden="1" customWidth="1"/>
    <col min="5910" max="6144" width="8.6328125" style="416" hidden="1"/>
    <col min="6145" max="6145" width="32.6328125" style="416" hidden="1" customWidth="1"/>
    <col min="6146" max="6147" width="12.08984375" style="416" hidden="1" customWidth="1"/>
    <col min="6148" max="6148" width="12.6328125" style="416" hidden="1" customWidth="1"/>
    <col min="6149" max="6154" width="12.08984375" style="416" hidden="1" customWidth="1"/>
    <col min="6155" max="6165" width="8.6328125" style="416" hidden="1" customWidth="1"/>
    <col min="6166" max="6400" width="8.6328125" style="416" hidden="1"/>
    <col min="6401" max="6401" width="32.6328125" style="416" hidden="1" customWidth="1"/>
    <col min="6402" max="6403" width="12.08984375" style="416" hidden="1" customWidth="1"/>
    <col min="6404" max="6404" width="12.6328125" style="416" hidden="1" customWidth="1"/>
    <col min="6405" max="6410" width="12.08984375" style="416" hidden="1" customWidth="1"/>
    <col min="6411" max="6421" width="8.6328125" style="416" hidden="1" customWidth="1"/>
    <col min="6422" max="6656" width="8.6328125" style="416" hidden="1"/>
    <col min="6657" max="6657" width="32.6328125" style="416" hidden="1" customWidth="1"/>
    <col min="6658" max="6659" width="12.08984375" style="416" hidden="1" customWidth="1"/>
    <col min="6660" max="6660" width="12.6328125" style="416" hidden="1" customWidth="1"/>
    <col min="6661" max="6666" width="12.08984375" style="416" hidden="1" customWidth="1"/>
    <col min="6667" max="6677" width="8.6328125" style="416" hidden="1" customWidth="1"/>
    <col min="6678" max="6912" width="8.6328125" style="416" hidden="1"/>
    <col min="6913" max="6913" width="32.6328125" style="416" hidden="1" customWidth="1"/>
    <col min="6914" max="6915" width="12.08984375" style="416" hidden="1" customWidth="1"/>
    <col min="6916" max="6916" width="12.6328125" style="416" hidden="1" customWidth="1"/>
    <col min="6917" max="6922" width="12.08984375" style="416" hidden="1" customWidth="1"/>
    <col min="6923" max="6933" width="8.6328125" style="416" hidden="1" customWidth="1"/>
    <col min="6934" max="7168" width="8.6328125" style="416" hidden="1"/>
    <col min="7169" max="7169" width="32.6328125" style="416" hidden="1" customWidth="1"/>
    <col min="7170" max="7171" width="12.08984375" style="416" hidden="1" customWidth="1"/>
    <col min="7172" max="7172" width="12.6328125" style="416" hidden="1" customWidth="1"/>
    <col min="7173" max="7178" width="12.08984375" style="416" hidden="1" customWidth="1"/>
    <col min="7179" max="7189" width="8.6328125" style="416" hidden="1" customWidth="1"/>
    <col min="7190" max="7424" width="8.6328125" style="416" hidden="1"/>
    <col min="7425" max="7425" width="32.6328125" style="416" hidden="1" customWidth="1"/>
    <col min="7426" max="7427" width="12.08984375" style="416" hidden="1" customWidth="1"/>
    <col min="7428" max="7428" width="12.6328125" style="416" hidden="1" customWidth="1"/>
    <col min="7429" max="7434" width="12.08984375" style="416" hidden="1" customWidth="1"/>
    <col min="7435" max="7445" width="8.6328125" style="416" hidden="1" customWidth="1"/>
    <col min="7446" max="7680" width="8.6328125" style="416" hidden="1"/>
    <col min="7681" max="7681" width="32.6328125" style="416" hidden="1" customWidth="1"/>
    <col min="7682" max="7683" width="12.08984375" style="416" hidden="1" customWidth="1"/>
    <col min="7684" max="7684" width="12.6328125" style="416" hidden="1" customWidth="1"/>
    <col min="7685" max="7690" width="12.08984375" style="416" hidden="1" customWidth="1"/>
    <col min="7691" max="7701" width="8.6328125" style="416" hidden="1" customWidth="1"/>
    <col min="7702" max="7936" width="8.6328125" style="416" hidden="1"/>
    <col min="7937" max="7937" width="32.6328125" style="416" hidden="1" customWidth="1"/>
    <col min="7938" max="7939" width="12.08984375" style="416" hidden="1" customWidth="1"/>
    <col min="7940" max="7940" width="12.6328125" style="416" hidden="1" customWidth="1"/>
    <col min="7941" max="7946" width="12.08984375" style="416" hidden="1" customWidth="1"/>
    <col min="7947" max="7957" width="8.6328125" style="416" hidden="1" customWidth="1"/>
    <col min="7958" max="8192" width="8.6328125" style="416" hidden="1"/>
    <col min="8193" max="8193" width="32.6328125" style="416" hidden="1" customWidth="1"/>
    <col min="8194" max="8195" width="12.08984375" style="416" hidden="1" customWidth="1"/>
    <col min="8196" max="8196" width="12.6328125" style="416" hidden="1" customWidth="1"/>
    <col min="8197" max="8202" width="12.08984375" style="416" hidden="1" customWidth="1"/>
    <col min="8203" max="8213" width="8.6328125" style="416" hidden="1" customWidth="1"/>
    <col min="8214" max="8448" width="8.6328125" style="416" hidden="1"/>
    <col min="8449" max="8449" width="32.6328125" style="416" hidden="1" customWidth="1"/>
    <col min="8450" max="8451" width="12.08984375" style="416" hidden="1" customWidth="1"/>
    <col min="8452" max="8452" width="12.6328125" style="416" hidden="1" customWidth="1"/>
    <col min="8453" max="8458" width="12.08984375" style="416" hidden="1" customWidth="1"/>
    <col min="8459" max="8469" width="8.6328125" style="416" hidden="1" customWidth="1"/>
    <col min="8470" max="8704" width="8.6328125" style="416" hidden="1"/>
    <col min="8705" max="8705" width="32.6328125" style="416" hidden="1" customWidth="1"/>
    <col min="8706" max="8707" width="12.08984375" style="416" hidden="1" customWidth="1"/>
    <col min="8708" max="8708" width="12.6328125" style="416" hidden="1" customWidth="1"/>
    <col min="8709" max="8714" width="12.08984375" style="416" hidden="1" customWidth="1"/>
    <col min="8715" max="8725" width="8.6328125" style="416" hidden="1" customWidth="1"/>
    <col min="8726" max="8960" width="8.6328125" style="416" hidden="1"/>
    <col min="8961" max="8961" width="32.6328125" style="416" hidden="1" customWidth="1"/>
    <col min="8962" max="8963" width="12.08984375" style="416" hidden="1" customWidth="1"/>
    <col min="8964" max="8964" width="12.6328125" style="416" hidden="1" customWidth="1"/>
    <col min="8965" max="8970" width="12.08984375" style="416" hidden="1" customWidth="1"/>
    <col min="8971" max="8981" width="8.6328125" style="416" hidden="1" customWidth="1"/>
    <col min="8982" max="9216" width="8.6328125" style="416" hidden="1"/>
    <col min="9217" max="9217" width="32.6328125" style="416" hidden="1" customWidth="1"/>
    <col min="9218" max="9219" width="12.08984375" style="416" hidden="1" customWidth="1"/>
    <col min="9220" max="9220" width="12.6328125" style="416" hidden="1" customWidth="1"/>
    <col min="9221" max="9226" width="12.08984375" style="416" hidden="1" customWidth="1"/>
    <col min="9227" max="9237" width="8.6328125" style="416" hidden="1" customWidth="1"/>
    <col min="9238" max="9472" width="8.6328125" style="416" hidden="1"/>
    <col min="9473" max="9473" width="32.6328125" style="416" hidden="1" customWidth="1"/>
    <col min="9474" max="9475" width="12.08984375" style="416" hidden="1" customWidth="1"/>
    <col min="9476" max="9476" width="12.6328125" style="416" hidden="1" customWidth="1"/>
    <col min="9477" max="9482" width="12.08984375" style="416" hidden="1" customWidth="1"/>
    <col min="9483" max="9493" width="8.6328125" style="416" hidden="1" customWidth="1"/>
    <col min="9494" max="9728" width="8.6328125" style="416" hidden="1"/>
    <col min="9729" max="9729" width="32.6328125" style="416" hidden="1" customWidth="1"/>
    <col min="9730" max="9731" width="12.08984375" style="416" hidden="1" customWidth="1"/>
    <col min="9732" max="9732" width="12.6328125" style="416" hidden="1" customWidth="1"/>
    <col min="9733" max="9738" width="12.08984375" style="416" hidden="1" customWidth="1"/>
    <col min="9739" max="9749" width="8.6328125" style="416" hidden="1" customWidth="1"/>
    <col min="9750" max="9984" width="8.6328125" style="416" hidden="1"/>
    <col min="9985" max="9985" width="32.6328125" style="416" hidden="1" customWidth="1"/>
    <col min="9986" max="9987" width="12.08984375" style="416" hidden="1" customWidth="1"/>
    <col min="9988" max="9988" width="12.6328125" style="416" hidden="1" customWidth="1"/>
    <col min="9989" max="9994" width="12.08984375" style="416" hidden="1" customWidth="1"/>
    <col min="9995" max="10005" width="8.6328125" style="416" hidden="1" customWidth="1"/>
    <col min="10006" max="10240" width="8.6328125" style="416" hidden="1"/>
    <col min="10241" max="10241" width="32.6328125" style="416" hidden="1" customWidth="1"/>
    <col min="10242" max="10243" width="12.08984375" style="416" hidden="1" customWidth="1"/>
    <col min="10244" max="10244" width="12.6328125" style="416" hidden="1" customWidth="1"/>
    <col min="10245" max="10250" width="12.08984375" style="416" hidden="1" customWidth="1"/>
    <col min="10251" max="10261" width="8.6328125" style="416" hidden="1" customWidth="1"/>
    <col min="10262" max="10496" width="8.6328125" style="416" hidden="1"/>
    <col min="10497" max="10497" width="32.6328125" style="416" hidden="1" customWidth="1"/>
    <col min="10498" max="10499" width="12.08984375" style="416" hidden="1" customWidth="1"/>
    <col min="10500" max="10500" width="12.6328125" style="416" hidden="1" customWidth="1"/>
    <col min="10501" max="10506" width="12.08984375" style="416" hidden="1" customWidth="1"/>
    <col min="10507" max="10517" width="8.6328125" style="416" hidden="1" customWidth="1"/>
    <col min="10518" max="10752" width="8.6328125" style="416" hidden="1"/>
    <col min="10753" max="10753" width="32.6328125" style="416" hidden="1" customWidth="1"/>
    <col min="10754" max="10755" width="12.08984375" style="416" hidden="1" customWidth="1"/>
    <col min="10756" max="10756" width="12.6328125" style="416" hidden="1" customWidth="1"/>
    <col min="10757" max="10762" width="12.08984375" style="416" hidden="1" customWidth="1"/>
    <col min="10763" max="10773" width="8.6328125" style="416" hidden="1" customWidth="1"/>
    <col min="10774" max="11008" width="8.6328125" style="416" hidden="1"/>
    <col min="11009" max="11009" width="32.6328125" style="416" hidden="1" customWidth="1"/>
    <col min="11010" max="11011" width="12.08984375" style="416" hidden="1" customWidth="1"/>
    <col min="11012" max="11012" width="12.6328125" style="416" hidden="1" customWidth="1"/>
    <col min="11013" max="11018" width="12.08984375" style="416" hidden="1" customWidth="1"/>
    <col min="11019" max="11029" width="8.6328125" style="416" hidden="1" customWidth="1"/>
    <col min="11030" max="11264" width="8.6328125" style="416" hidden="1"/>
    <col min="11265" max="11265" width="32.6328125" style="416" hidden="1" customWidth="1"/>
    <col min="11266" max="11267" width="12.08984375" style="416" hidden="1" customWidth="1"/>
    <col min="11268" max="11268" width="12.6328125" style="416" hidden="1" customWidth="1"/>
    <col min="11269" max="11274" width="12.08984375" style="416" hidden="1" customWidth="1"/>
    <col min="11275" max="11285" width="8.6328125" style="416" hidden="1" customWidth="1"/>
    <col min="11286" max="11520" width="8.6328125" style="416" hidden="1"/>
    <col min="11521" max="11521" width="32.6328125" style="416" hidden="1" customWidth="1"/>
    <col min="11522" max="11523" width="12.08984375" style="416" hidden="1" customWidth="1"/>
    <col min="11524" max="11524" width="12.6328125" style="416" hidden="1" customWidth="1"/>
    <col min="11525" max="11530" width="12.08984375" style="416" hidden="1" customWidth="1"/>
    <col min="11531" max="11541" width="8.6328125" style="416" hidden="1" customWidth="1"/>
    <col min="11542" max="11776" width="8.6328125" style="416" hidden="1"/>
    <col min="11777" max="11777" width="32.6328125" style="416" hidden="1" customWidth="1"/>
    <col min="11778" max="11779" width="12.08984375" style="416" hidden="1" customWidth="1"/>
    <col min="11780" max="11780" width="12.6328125" style="416" hidden="1" customWidth="1"/>
    <col min="11781" max="11786" width="12.08984375" style="416" hidden="1" customWidth="1"/>
    <col min="11787" max="11797" width="8.6328125" style="416" hidden="1" customWidth="1"/>
    <col min="11798" max="12032" width="8.6328125" style="416" hidden="1"/>
    <col min="12033" max="12033" width="32.6328125" style="416" hidden="1" customWidth="1"/>
    <col min="12034" max="12035" width="12.08984375" style="416" hidden="1" customWidth="1"/>
    <col min="12036" max="12036" width="12.6328125" style="416" hidden="1" customWidth="1"/>
    <col min="12037" max="12042" width="12.08984375" style="416" hidden="1" customWidth="1"/>
    <col min="12043" max="12053" width="8.6328125" style="416" hidden="1" customWidth="1"/>
    <col min="12054" max="12288" width="8.6328125" style="416" hidden="1"/>
    <col min="12289" max="12289" width="32.6328125" style="416" hidden="1" customWidth="1"/>
    <col min="12290" max="12291" width="12.08984375" style="416" hidden="1" customWidth="1"/>
    <col min="12292" max="12292" width="12.6328125" style="416" hidden="1" customWidth="1"/>
    <col min="12293" max="12298" width="12.08984375" style="416" hidden="1" customWidth="1"/>
    <col min="12299" max="12309" width="8.6328125" style="416" hidden="1" customWidth="1"/>
    <col min="12310" max="12544" width="8.6328125" style="416" hidden="1"/>
    <col min="12545" max="12545" width="32.6328125" style="416" hidden="1" customWidth="1"/>
    <col min="12546" max="12547" width="12.08984375" style="416" hidden="1" customWidth="1"/>
    <col min="12548" max="12548" width="12.6328125" style="416" hidden="1" customWidth="1"/>
    <col min="12549" max="12554" width="12.08984375" style="416" hidden="1" customWidth="1"/>
    <col min="12555" max="12565" width="8.6328125" style="416" hidden="1" customWidth="1"/>
    <col min="12566" max="12800" width="8.6328125" style="416" hidden="1"/>
    <col min="12801" max="12801" width="32.6328125" style="416" hidden="1" customWidth="1"/>
    <col min="12802" max="12803" width="12.08984375" style="416" hidden="1" customWidth="1"/>
    <col min="12804" max="12804" width="12.6328125" style="416" hidden="1" customWidth="1"/>
    <col min="12805" max="12810" width="12.08984375" style="416" hidden="1" customWidth="1"/>
    <col min="12811" max="12821" width="8.6328125" style="416" hidden="1" customWidth="1"/>
    <col min="12822" max="13056" width="8.6328125" style="416" hidden="1"/>
    <col min="13057" max="13057" width="32.6328125" style="416" hidden="1" customWidth="1"/>
    <col min="13058" max="13059" width="12.08984375" style="416" hidden="1" customWidth="1"/>
    <col min="13060" max="13060" width="12.6328125" style="416" hidden="1" customWidth="1"/>
    <col min="13061" max="13066" width="12.08984375" style="416" hidden="1" customWidth="1"/>
    <col min="13067" max="13077" width="8.6328125" style="416" hidden="1" customWidth="1"/>
    <col min="13078" max="13312" width="8.6328125" style="416" hidden="1"/>
    <col min="13313" max="13313" width="32.6328125" style="416" hidden="1" customWidth="1"/>
    <col min="13314" max="13315" width="12.08984375" style="416" hidden="1" customWidth="1"/>
    <col min="13316" max="13316" width="12.6328125" style="416" hidden="1" customWidth="1"/>
    <col min="13317" max="13322" width="12.08984375" style="416" hidden="1" customWidth="1"/>
    <col min="13323" max="13333" width="8.6328125" style="416" hidden="1" customWidth="1"/>
    <col min="13334" max="13568" width="8.6328125" style="416" hidden="1"/>
    <col min="13569" max="13569" width="32.6328125" style="416" hidden="1" customWidth="1"/>
    <col min="13570" max="13571" width="12.08984375" style="416" hidden="1" customWidth="1"/>
    <col min="13572" max="13572" width="12.6328125" style="416" hidden="1" customWidth="1"/>
    <col min="13573" max="13578" width="12.08984375" style="416" hidden="1" customWidth="1"/>
    <col min="13579" max="13589" width="8.6328125" style="416" hidden="1" customWidth="1"/>
    <col min="13590" max="13824" width="8.6328125" style="416" hidden="1"/>
    <col min="13825" max="13825" width="32.6328125" style="416" hidden="1" customWidth="1"/>
    <col min="13826" max="13827" width="12.08984375" style="416" hidden="1" customWidth="1"/>
    <col min="13828" max="13828" width="12.6328125" style="416" hidden="1" customWidth="1"/>
    <col min="13829" max="13834" width="12.08984375" style="416" hidden="1" customWidth="1"/>
    <col min="13835" max="13845" width="8.6328125" style="416" hidden="1" customWidth="1"/>
    <col min="13846" max="14080" width="8.6328125" style="416" hidden="1"/>
    <col min="14081" max="14081" width="32.6328125" style="416" hidden="1" customWidth="1"/>
    <col min="14082" max="14083" width="12.08984375" style="416" hidden="1" customWidth="1"/>
    <col min="14084" max="14084" width="12.6328125" style="416" hidden="1" customWidth="1"/>
    <col min="14085" max="14090" width="12.08984375" style="416" hidden="1" customWidth="1"/>
    <col min="14091" max="14101" width="8.6328125" style="416" hidden="1" customWidth="1"/>
    <col min="14102" max="14336" width="8.6328125" style="416" hidden="1"/>
    <col min="14337" max="14337" width="32.6328125" style="416" hidden="1" customWidth="1"/>
    <col min="14338" max="14339" width="12.08984375" style="416" hidden="1" customWidth="1"/>
    <col min="14340" max="14340" width="12.6328125" style="416" hidden="1" customWidth="1"/>
    <col min="14341" max="14346" width="12.08984375" style="416" hidden="1" customWidth="1"/>
    <col min="14347" max="14357" width="8.6328125" style="416" hidden="1" customWidth="1"/>
    <col min="14358" max="14592" width="8.6328125" style="416" hidden="1"/>
    <col min="14593" max="14593" width="32.6328125" style="416" hidden="1" customWidth="1"/>
    <col min="14594" max="14595" width="12.08984375" style="416" hidden="1" customWidth="1"/>
    <col min="14596" max="14596" width="12.6328125" style="416" hidden="1" customWidth="1"/>
    <col min="14597" max="14602" width="12.08984375" style="416" hidden="1" customWidth="1"/>
    <col min="14603" max="14613" width="8.6328125" style="416" hidden="1" customWidth="1"/>
    <col min="14614" max="14848" width="8.6328125" style="416" hidden="1"/>
    <col min="14849" max="14849" width="32.6328125" style="416" hidden="1" customWidth="1"/>
    <col min="14850" max="14851" width="12.08984375" style="416" hidden="1" customWidth="1"/>
    <col min="14852" max="14852" width="12.6328125" style="416" hidden="1" customWidth="1"/>
    <col min="14853" max="14858" width="12.08984375" style="416" hidden="1" customWidth="1"/>
    <col min="14859" max="14869" width="8.6328125" style="416" hidden="1" customWidth="1"/>
    <col min="14870" max="15104" width="8.6328125" style="416" hidden="1"/>
    <col min="15105" max="15105" width="32.6328125" style="416" hidden="1" customWidth="1"/>
    <col min="15106" max="15107" width="12.08984375" style="416" hidden="1" customWidth="1"/>
    <col min="15108" max="15108" width="12.6328125" style="416" hidden="1" customWidth="1"/>
    <col min="15109" max="15114" width="12.08984375" style="416" hidden="1" customWidth="1"/>
    <col min="15115" max="15125" width="8.6328125" style="416" hidden="1" customWidth="1"/>
    <col min="15126" max="15360" width="8.6328125" style="416" hidden="1"/>
    <col min="15361" max="15361" width="32.6328125" style="416" hidden="1" customWidth="1"/>
    <col min="15362" max="15363" width="12.08984375" style="416" hidden="1" customWidth="1"/>
    <col min="15364" max="15364" width="12.6328125" style="416" hidden="1" customWidth="1"/>
    <col min="15365" max="15370" width="12.08984375" style="416" hidden="1" customWidth="1"/>
    <col min="15371" max="15381" width="8.6328125" style="416" hidden="1" customWidth="1"/>
    <col min="15382" max="15616" width="8.6328125" style="416" hidden="1"/>
    <col min="15617" max="15617" width="32.6328125" style="416" hidden="1" customWidth="1"/>
    <col min="15618" max="15619" width="12.08984375" style="416" hidden="1" customWidth="1"/>
    <col min="15620" max="15620" width="12.6328125" style="416" hidden="1" customWidth="1"/>
    <col min="15621" max="15626" width="12.08984375" style="416" hidden="1" customWidth="1"/>
    <col min="15627" max="15637" width="8.6328125" style="416" hidden="1" customWidth="1"/>
    <col min="15638" max="15872" width="8.6328125" style="416" hidden="1"/>
    <col min="15873" max="15873" width="32.6328125" style="416" hidden="1" customWidth="1"/>
    <col min="15874" max="15875" width="12.08984375" style="416" hidden="1" customWidth="1"/>
    <col min="15876" max="15876" width="12.6328125" style="416" hidden="1" customWidth="1"/>
    <col min="15877" max="15882" width="12.08984375" style="416" hidden="1" customWidth="1"/>
    <col min="15883" max="15893" width="8.6328125" style="416" hidden="1" customWidth="1"/>
    <col min="15894" max="16128" width="8.6328125" style="416" hidden="1"/>
    <col min="16129" max="16129" width="32.6328125" style="416" hidden="1" customWidth="1"/>
    <col min="16130" max="16131" width="12.08984375" style="416" hidden="1" customWidth="1"/>
    <col min="16132" max="16132" width="12.6328125" style="416" hidden="1" customWidth="1"/>
    <col min="16133" max="16138" width="12.08984375" style="416" hidden="1" customWidth="1"/>
    <col min="16139" max="16149" width="8.6328125" style="416" hidden="1" customWidth="1"/>
    <col min="16150" max="16384" width="8.6328125" style="416" hidden="1"/>
  </cols>
  <sheetData>
    <row r="1" spans="1:11" s="379" customFormat="1" ht="13">
      <c r="A1" s="1873" t="s">
        <v>1374</v>
      </c>
      <c r="B1" s="1874"/>
      <c r="C1" s="1874"/>
      <c r="D1" s="1874"/>
      <c r="E1" s="1874"/>
      <c r="F1" s="1874"/>
      <c r="G1" s="1874"/>
      <c r="H1" s="1874"/>
      <c r="I1" s="1874"/>
      <c r="J1" s="1875"/>
      <c r="K1" s="378"/>
    </row>
    <row r="2" spans="1:11" s="424" customFormat="1" ht="69">
      <c r="A2" s="421"/>
      <c r="B2" s="422" t="s">
        <v>1088</v>
      </c>
      <c r="C2" s="422" t="s">
        <v>1376</v>
      </c>
      <c r="D2" s="422" t="s">
        <v>1377</v>
      </c>
      <c r="E2" s="422" t="s">
        <v>1299</v>
      </c>
      <c r="F2" s="422" t="s">
        <v>1378</v>
      </c>
      <c r="G2" s="422" t="s">
        <v>1379</v>
      </c>
      <c r="H2" s="422" t="s">
        <v>1089</v>
      </c>
      <c r="I2" s="422" t="s">
        <v>1380</v>
      </c>
      <c r="J2" s="422" t="s">
        <v>1381</v>
      </c>
      <c r="K2" s="423"/>
    </row>
    <row r="3" spans="1:11" s="383" customFormat="1" ht="12">
      <c r="A3" s="380" t="s">
        <v>26</v>
      </c>
      <c r="B3" s="381"/>
      <c r="C3" s="381"/>
      <c r="D3" s="381"/>
      <c r="E3" s="381"/>
      <c r="F3" s="381"/>
      <c r="G3" s="381"/>
      <c r="H3" s="381"/>
      <c r="I3" s="381"/>
      <c r="J3" s="381"/>
      <c r="K3" s="382"/>
    </row>
    <row r="4" spans="1:11" s="383" customFormat="1">
      <c r="A4" s="387" t="s">
        <v>27</v>
      </c>
      <c r="B4" s="384">
        <f>'Sources and Uses Budget'!C4</f>
        <v>99</v>
      </c>
      <c r="C4" s="385"/>
      <c r="D4" s="385"/>
      <c r="E4" s="386"/>
      <c r="F4" s="386"/>
      <c r="G4" s="386"/>
      <c r="H4" s="386"/>
      <c r="I4" s="386"/>
      <c r="J4" s="386"/>
      <c r="K4" s="382"/>
    </row>
    <row r="5" spans="1:11" s="383" customFormat="1">
      <c r="A5" s="387" t="s">
        <v>28</v>
      </c>
      <c r="B5" s="384">
        <f>'Sources and Uses Budget'!C5</f>
        <v>0</v>
      </c>
      <c r="C5" s="385"/>
      <c r="D5" s="385"/>
      <c r="E5" s="386"/>
      <c r="F5" s="386"/>
      <c r="G5" s="386"/>
      <c r="H5" s="386"/>
      <c r="I5" s="386"/>
      <c r="J5" s="386"/>
      <c r="K5" s="382"/>
    </row>
    <row r="6" spans="1:11" s="383" customFormat="1">
      <c r="A6" s="387" t="s">
        <v>29</v>
      </c>
      <c r="B6" s="384">
        <f>'Sources and Uses Budget'!C6</f>
        <v>60000</v>
      </c>
      <c r="C6" s="385"/>
      <c r="D6" s="385"/>
      <c r="E6" s="386"/>
      <c r="F6" s="386"/>
      <c r="G6" s="386"/>
      <c r="H6" s="386"/>
      <c r="I6" s="386"/>
      <c r="J6" s="386"/>
      <c r="K6" s="382"/>
    </row>
    <row r="7" spans="1:11" s="383" customFormat="1">
      <c r="A7" s="387" t="s">
        <v>98</v>
      </c>
      <c r="B7" s="384">
        <f>'Sources and Uses Budget'!C7</f>
        <v>0</v>
      </c>
      <c r="C7" s="385"/>
      <c r="D7" s="385"/>
      <c r="E7" s="386"/>
      <c r="F7" s="386"/>
      <c r="G7" s="386"/>
      <c r="H7" s="386"/>
      <c r="I7" s="386"/>
      <c r="J7" s="386"/>
      <c r="K7" s="382"/>
    </row>
    <row r="8" spans="1:11" s="383" customFormat="1">
      <c r="A8" s="388" t="s">
        <v>603</v>
      </c>
      <c r="B8" s="384">
        <f>'Sources and Uses Budget'!C8</f>
        <v>60099</v>
      </c>
      <c r="C8" s="384">
        <f>SUM(C4:C7)</f>
        <v>0</v>
      </c>
      <c r="D8" s="384">
        <f>SUM(D4:D7)</f>
        <v>0</v>
      </c>
      <c r="E8" s="386"/>
      <c r="F8" s="386"/>
      <c r="G8" s="386"/>
      <c r="H8" s="386"/>
      <c r="I8" s="386"/>
      <c r="J8" s="386"/>
      <c r="K8" s="382"/>
    </row>
    <row r="9" spans="1:11" s="383" customFormat="1">
      <c r="A9" s="387" t="s">
        <v>604</v>
      </c>
      <c r="B9" s="384">
        <f>'Sources and Uses Budget'!C9</f>
        <v>0</v>
      </c>
      <c r="C9" s="385"/>
      <c r="D9" s="385"/>
      <c r="E9" s="386"/>
      <c r="F9" s="386"/>
      <c r="G9" s="386"/>
      <c r="H9" s="384">
        <f>'Sources and Uses Budget'!T9</f>
        <v>0</v>
      </c>
      <c r="I9" s="385"/>
      <c r="J9" s="385"/>
      <c r="K9" s="382"/>
    </row>
    <row r="10" spans="1:11" s="383" customFormat="1">
      <c r="A10" s="387" t="s">
        <v>605</v>
      </c>
      <c r="B10" s="384">
        <f>'Sources and Uses Budget'!C10</f>
        <v>2342777</v>
      </c>
      <c r="C10" s="385"/>
      <c r="D10" s="385"/>
      <c r="E10" s="384">
        <f>'Sources and Uses Budget'!S10</f>
        <v>2342777</v>
      </c>
      <c r="F10" s="385"/>
      <c r="G10" s="385"/>
      <c r="H10" s="384">
        <f>'Sources and Uses Budget'!T10</f>
        <v>0</v>
      </c>
      <c r="I10" s="385"/>
      <c r="J10" s="385"/>
      <c r="K10" s="382"/>
    </row>
    <row r="11" spans="1:11" s="383" customFormat="1">
      <c r="A11" s="388" t="s">
        <v>606</v>
      </c>
      <c r="B11" s="384">
        <f>'Sources and Uses Budget'!C11</f>
        <v>2342777</v>
      </c>
      <c r="C11" s="384">
        <f>SUM(C9:C10)</f>
        <v>0</v>
      </c>
      <c r="D11" s="384">
        <f>SUM(D9:D10)</f>
        <v>0</v>
      </c>
      <c r="E11" s="386"/>
      <c r="F11" s="386"/>
      <c r="G11" s="386"/>
      <c r="H11" s="384">
        <f>'Sources and Uses Budget'!T11</f>
        <v>0</v>
      </c>
      <c r="I11" s="384">
        <f>SUM(I9:I10)</f>
        <v>0</v>
      </c>
      <c r="J11" s="384">
        <f>SUM(J9:J10)</f>
        <v>0</v>
      </c>
      <c r="K11" s="382"/>
    </row>
    <row r="12" spans="1:11" s="383" customFormat="1">
      <c r="A12" s="388" t="s">
        <v>85</v>
      </c>
      <c r="B12" s="384">
        <f>'Sources and Uses Budget'!C12</f>
        <v>2402876</v>
      </c>
      <c r="C12" s="384">
        <f>SUM(C8+C11)</f>
        <v>0</v>
      </c>
      <c r="D12" s="384">
        <f>SUM(D8+D11)</f>
        <v>0</v>
      </c>
      <c r="E12" s="386"/>
      <c r="F12" s="386"/>
      <c r="G12" s="386"/>
      <c r="H12" s="386"/>
      <c r="I12" s="386"/>
      <c r="J12" s="386"/>
      <c r="K12" s="382"/>
    </row>
    <row r="13" spans="1:11" s="383" customFormat="1">
      <c r="A13" s="389" t="s">
        <v>936</v>
      </c>
      <c r="B13" s="384">
        <f>'Sources and Uses Budget'!C13</f>
        <v>110000</v>
      </c>
      <c r="C13" s="385"/>
      <c r="D13" s="385"/>
      <c r="E13" s="384">
        <f>'Sources and Uses Budget'!S13</f>
        <v>100000</v>
      </c>
      <c r="F13" s="385"/>
      <c r="G13" s="385"/>
      <c r="H13" s="384">
        <f>'Sources and Uses Budget'!T13</f>
        <v>0</v>
      </c>
      <c r="I13" s="385"/>
      <c r="J13" s="385"/>
      <c r="K13" s="382"/>
    </row>
    <row r="14" spans="1:11" s="383" customFormat="1" ht="23">
      <c r="A14" s="387" t="s">
        <v>937</v>
      </c>
      <c r="B14" s="384">
        <f>'Sources and Uses Budget'!C14</f>
        <v>0</v>
      </c>
      <c r="C14" s="385"/>
      <c r="D14" s="385"/>
      <c r="E14" s="384">
        <f>'Sources and Uses Budget'!S14</f>
        <v>0</v>
      </c>
      <c r="F14" s="385"/>
      <c r="G14" s="385"/>
      <c r="H14" s="384">
        <f>'Sources and Uses Budget'!T14</f>
        <v>0</v>
      </c>
      <c r="I14" s="385"/>
      <c r="J14" s="385"/>
      <c r="K14" s="382"/>
    </row>
    <row r="15" spans="1:11" s="383" customFormat="1">
      <c r="A15" s="387" t="s">
        <v>1303</v>
      </c>
      <c r="B15" s="384">
        <f>'Sources and Uses Budget'!C15</f>
        <v>0</v>
      </c>
      <c r="C15" s="385"/>
      <c r="D15" s="385"/>
      <c r="E15" s="386">
        <f>'Sources and Uses Budget'!S15</f>
        <v>0</v>
      </c>
      <c r="F15" s="386"/>
      <c r="G15" s="386"/>
      <c r="H15" s="386">
        <f>'Sources and Uses Budget'!T15</f>
        <v>0</v>
      </c>
      <c r="I15" s="386"/>
      <c r="J15" s="386"/>
      <c r="K15" s="382"/>
    </row>
    <row r="16" spans="1:11" s="383" customFormat="1" ht="12">
      <c r="A16" s="380" t="s">
        <v>607</v>
      </c>
      <c r="B16" s="381"/>
      <c r="C16" s="381"/>
      <c r="D16" s="381"/>
      <c r="E16" s="381"/>
      <c r="F16" s="381"/>
      <c r="G16" s="381"/>
      <c r="H16" s="381"/>
      <c r="I16" s="381"/>
      <c r="J16" s="381"/>
      <c r="K16" s="382"/>
    </row>
    <row r="17" spans="1:11" s="383" customFormat="1">
      <c r="A17" s="387" t="s">
        <v>608</v>
      </c>
      <c r="B17" s="384">
        <f>'Sources and Uses Budget'!C17</f>
        <v>0</v>
      </c>
      <c r="C17" s="385"/>
      <c r="D17" s="385"/>
      <c r="E17" s="384">
        <f>'Sources and Uses Budget'!S17</f>
        <v>0</v>
      </c>
      <c r="F17" s="385"/>
      <c r="G17" s="385"/>
      <c r="H17" s="384">
        <f>'Sources and Uses Budget'!T17</f>
        <v>0</v>
      </c>
      <c r="I17" s="385"/>
      <c r="J17" s="385"/>
      <c r="K17" s="382"/>
    </row>
    <row r="18" spans="1:11" s="383" customFormat="1">
      <c r="A18" s="387" t="s">
        <v>609</v>
      </c>
      <c r="B18" s="384">
        <f>'Sources and Uses Budget'!C18</f>
        <v>0</v>
      </c>
      <c r="C18" s="385"/>
      <c r="D18" s="385"/>
      <c r="E18" s="384">
        <f>'Sources and Uses Budget'!S18</f>
        <v>0</v>
      </c>
      <c r="F18" s="385"/>
      <c r="G18" s="385"/>
      <c r="H18" s="384">
        <f>'Sources and Uses Budget'!T18</f>
        <v>0</v>
      </c>
      <c r="I18" s="385"/>
      <c r="J18" s="385"/>
      <c r="K18" s="382"/>
    </row>
    <row r="19" spans="1:11" s="383" customFormat="1">
      <c r="A19" s="387" t="s">
        <v>610</v>
      </c>
      <c r="B19" s="384">
        <f>'Sources and Uses Budget'!C19</f>
        <v>0</v>
      </c>
      <c r="C19" s="385"/>
      <c r="D19" s="385"/>
      <c r="E19" s="384">
        <f>'Sources and Uses Budget'!S19</f>
        <v>0</v>
      </c>
      <c r="F19" s="385"/>
      <c r="G19" s="385"/>
      <c r="H19" s="384">
        <f>'Sources and Uses Budget'!T19</f>
        <v>0</v>
      </c>
      <c r="I19" s="385"/>
      <c r="J19" s="385"/>
      <c r="K19" s="382"/>
    </row>
    <row r="20" spans="1:11" s="383" customFormat="1">
      <c r="A20" s="387" t="s">
        <v>138</v>
      </c>
      <c r="B20" s="384">
        <f>'Sources and Uses Budget'!C20</f>
        <v>0</v>
      </c>
      <c r="C20" s="385"/>
      <c r="D20" s="385"/>
      <c r="E20" s="384">
        <f>'Sources and Uses Budget'!S20</f>
        <v>0</v>
      </c>
      <c r="F20" s="385"/>
      <c r="G20" s="385"/>
      <c r="H20" s="384">
        <f>'Sources and Uses Budget'!T20</f>
        <v>0</v>
      </c>
      <c r="I20" s="385"/>
      <c r="J20" s="385"/>
      <c r="K20" s="382"/>
    </row>
    <row r="21" spans="1:11" s="383" customFormat="1">
      <c r="A21" s="387" t="s">
        <v>139</v>
      </c>
      <c r="B21" s="384">
        <f>'Sources and Uses Budget'!C21</f>
        <v>0</v>
      </c>
      <c r="C21" s="385"/>
      <c r="D21" s="385"/>
      <c r="E21" s="384">
        <f>'Sources and Uses Budget'!S21</f>
        <v>0</v>
      </c>
      <c r="F21" s="385"/>
      <c r="G21" s="385"/>
      <c r="H21" s="384">
        <f>'Sources and Uses Budget'!T21</f>
        <v>0</v>
      </c>
      <c r="I21" s="385"/>
      <c r="J21" s="385"/>
      <c r="K21" s="382"/>
    </row>
    <row r="22" spans="1:11" s="383" customFormat="1">
      <c r="A22" s="387" t="s">
        <v>140</v>
      </c>
      <c r="B22" s="384">
        <f>'Sources and Uses Budget'!C22</f>
        <v>0</v>
      </c>
      <c r="C22" s="385"/>
      <c r="D22" s="385"/>
      <c r="E22" s="384">
        <f>'Sources and Uses Budget'!S22</f>
        <v>0</v>
      </c>
      <c r="F22" s="385"/>
      <c r="G22" s="385"/>
      <c r="H22" s="384">
        <f>'Sources and Uses Budget'!T22</f>
        <v>0</v>
      </c>
      <c r="I22" s="385"/>
      <c r="J22" s="385"/>
      <c r="K22" s="382"/>
    </row>
    <row r="23" spans="1:11" s="383" customFormat="1">
      <c r="A23" s="387" t="s">
        <v>141</v>
      </c>
      <c r="B23" s="384">
        <f>'Sources and Uses Budget'!C23</f>
        <v>0</v>
      </c>
      <c r="C23" s="385"/>
      <c r="D23" s="385"/>
      <c r="E23" s="384">
        <f>'Sources and Uses Budget'!S23</f>
        <v>0</v>
      </c>
      <c r="F23" s="385"/>
      <c r="G23" s="385"/>
      <c r="H23" s="384">
        <f>'Sources and Uses Budget'!T23</f>
        <v>0</v>
      </c>
      <c r="I23" s="385"/>
      <c r="J23" s="385"/>
      <c r="K23" s="382"/>
    </row>
    <row r="24" spans="1:11" s="383" customFormat="1">
      <c r="A24" s="534" t="s">
        <v>1821</v>
      </c>
      <c r="B24" s="384">
        <f>'Sources and Uses Budget'!C24</f>
        <v>0</v>
      </c>
      <c r="C24" s="385"/>
      <c r="D24" s="385"/>
      <c r="E24" s="384">
        <f>'Sources and Uses Budget'!S24</f>
        <v>0</v>
      </c>
      <c r="F24" s="385"/>
      <c r="G24" s="385"/>
      <c r="H24" s="384">
        <f>'Sources and Uses Budget'!T24</f>
        <v>0</v>
      </c>
      <c r="I24" s="385"/>
      <c r="J24" s="385"/>
      <c r="K24" s="382"/>
    </row>
    <row r="25" spans="1:11" s="383" customFormat="1">
      <c r="A25" s="387" t="str">
        <f>'Sources and Uses Budget'!$A25</f>
        <v>Other: (Specify)</v>
      </c>
      <c r="B25" s="384">
        <f>'Sources and Uses Budget'!C25</f>
        <v>0</v>
      </c>
      <c r="C25" s="385"/>
      <c r="D25" s="385"/>
      <c r="E25" s="384">
        <f>'Sources and Uses Budget'!S25</f>
        <v>0</v>
      </c>
      <c r="F25" s="385"/>
      <c r="G25" s="385"/>
      <c r="H25" s="384">
        <f>'Sources and Uses Budget'!T25</f>
        <v>0</v>
      </c>
      <c r="I25" s="385"/>
      <c r="J25" s="385"/>
      <c r="K25" s="382"/>
    </row>
    <row r="26" spans="1:11" s="383" customFormat="1">
      <c r="A26" s="388" t="s">
        <v>134</v>
      </c>
      <c r="B26" s="384">
        <f>'Sources and Uses Budget'!C26</f>
        <v>0</v>
      </c>
      <c r="C26" s="384">
        <f>SUM(C17:C25)</f>
        <v>0</v>
      </c>
      <c r="D26" s="384">
        <f>SUM(D17:D25)</f>
        <v>0</v>
      </c>
      <c r="E26" s="384">
        <f>'Sources and Uses Budget'!S26</f>
        <v>0</v>
      </c>
      <c r="F26" s="390">
        <f>SUM(F17:F25)</f>
        <v>0</v>
      </c>
      <c r="G26" s="390">
        <f>SUM(G17:G25)</f>
        <v>0</v>
      </c>
      <c r="H26" s="384">
        <f>'Sources and Uses Budget'!T26</f>
        <v>0</v>
      </c>
      <c r="I26" s="390">
        <f>SUM(I17:I25)</f>
        <v>0</v>
      </c>
      <c r="J26" s="390">
        <f>SUM(J17:J25)</f>
        <v>0</v>
      </c>
      <c r="K26" s="382"/>
    </row>
    <row r="27" spans="1:11" s="383" customFormat="1">
      <c r="A27" s="388" t="s">
        <v>142</v>
      </c>
      <c r="B27" s="384">
        <f>'Sources and Uses Budget'!C27</f>
        <v>0</v>
      </c>
      <c r="C27" s="385"/>
      <c r="D27" s="385"/>
      <c r="E27" s="384">
        <f>'Sources and Uses Budget'!S27</f>
        <v>0</v>
      </c>
      <c r="F27" s="385"/>
      <c r="G27" s="385"/>
      <c r="H27" s="384">
        <f>'Sources and Uses Budget'!T27</f>
        <v>0</v>
      </c>
      <c r="I27" s="385"/>
      <c r="J27" s="385"/>
      <c r="K27" s="382"/>
    </row>
    <row r="28" spans="1:11" s="383" customFormat="1" ht="12">
      <c r="A28" s="380" t="s">
        <v>143</v>
      </c>
      <c r="B28" s="381"/>
      <c r="C28" s="381"/>
      <c r="D28" s="381"/>
      <c r="E28" s="381"/>
      <c r="F28" s="381"/>
      <c r="G28" s="381"/>
      <c r="H28" s="381"/>
      <c r="I28" s="381"/>
      <c r="J28" s="381"/>
      <c r="K28" s="382"/>
    </row>
    <row r="29" spans="1:11" s="383" customFormat="1">
      <c r="A29" s="145" t="s">
        <v>608</v>
      </c>
      <c r="B29" s="384">
        <f>'Sources and Uses Budget'!C29</f>
        <v>3951762</v>
      </c>
      <c r="C29" s="385"/>
      <c r="D29" s="385"/>
      <c r="E29" s="384">
        <f>'Sources and Uses Budget'!S29</f>
        <v>3951762</v>
      </c>
      <c r="F29" s="385"/>
      <c r="G29" s="385"/>
      <c r="H29" s="384">
        <f>'Sources and Uses Budget'!T29</f>
        <v>0</v>
      </c>
      <c r="I29" s="385"/>
      <c r="J29" s="385"/>
      <c r="K29" s="382"/>
    </row>
    <row r="30" spans="1:11" s="383" customFormat="1">
      <c r="A30" s="145" t="s">
        <v>609</v>
      </c>
      <c r="B30" s="384">
        <f>'Sources and Uses Budget'!C30</f>
        <v>82846243</v>
      </c>
      <c r="C30" s="385"/>
      <c r="D30" s="385"/>
      <c r="E30" s="384">
        <f>'Sources and Uses Budget'!S30</f>
        <v>82846243</v>
      </c>
      <c r="F30" s="385"/>
      <c r="G30" s="385"/>
      <c r="H30" s="384">
        <f>'Sources and Uses Budget'!T30</f>
        <v>0</v>
      </c>
      <c r="I30" s="385"/>
      <c r="J30" s="385"/>
      <c r="K30" s="382"/>
    </row>
    <row r="31" spans="1:11" s="383" customFormat="1">
      <c r="A31" s="145" t="s">
        <v>610</v>
      </c>
      <c r="B31" s="384">
        <f>'Sources and Uses Budget'!C31</f>
        <v>4105528</v>
      </c>
      <c r="C31" s="385"/>
      <c r="D31" s="385"/>
      <c r="E31" s="384">
        <f>'Sources and Uses Budget'!S31</f>
        <v>4105528</v>
      </c>
      <c r="F31" s="385"/>
      <c r="G31" s="385"/>
      <c r="H31" s="384">
        <f>'Sources and Uses Budget'!T31</f>
        <v>0</v>
      </c>
      <c r="I31" s="385"/>
      <c r="J31" s="385"/>
      <c r="K31" s="382"/>
    </row>
    <row r="32" spans="1:11" s="383" customFormat="1">
      <c r="A32" s="145" t="s">
        <v>138</v>
      </c>
      <c r="B32" s="384">
        <f>'Sources and Uses Budget'!C32</f>
        <v>3514646</v>
      </c>
      <c r="C32" s="385"/>
      <c r="D32" s="385"/>
      <c r="E32" s="384">
        <f>'Sources and Uses Budget'!S32</f>
        <v>3514646</v>
      </c>
      <c r="F32" s="385"/>
      <c r="G32" s="385"/>
      <c r="H32" s="384">
        <f>'Sources and Uses Budget'!T32</f>
        <v>0</v>
      </c>
      <c r="I32" s="385"/>
      <c r="J32" s="385"/>
      <c r="K32" s="382"/>
    </row>
    <row r="33" spans="1:11" s="383" customFormat="1">
      <c r="A33" s="145" t="s">
        <v>139</v>
      </c>
      <c r="B33" s="384">
        <f>'Sources and Uses Budget'!C33</f>
        <v>0</v>
      </c>
      <c r="C33" s="385"/>
      <c r="D33" s="385"/>
      <c r="E33" s="384">
        <f>'Sources and Uses Budget'!S33</f>
        <v>0</v>
      </c>
      <c r="F33" s="385"/>
      <c r="G33" s="385"/>
      <c r="H33" s="384">
        <f>'Sources and Uses Budget'!T33</f>
        <v>0</v>
      </c>
      <c r="I33" s="385"/>
      <c r="J33" s="385"/>
      <c r="K33" s="382"/>
    </row>
    <row r="34" spans="1:11" s="383" customFormat="1">
      <c r="A34" s="145" t="s">
        <v>140</v>
      </c>
      <c r="B34" s="384">
        <f>'Sources and Uses Budget'!C34</f>
        <v>0</v>
      </c>
      <c r="C34" s="385"/>
      <c r="D34" s="385"/>
      <c r="E34" s="384">
        <f>'Sources and Uses Budget'!S34</f>
        <v>0</v>
      </c>
      <c r="F34" s="385"/>
      <c r="G34" s="385"/>
      <c r="H34" s="384">
        <f>'Sources and Uses Budget'!T34</f>
        <v>0</v>
      </c>
      <c r="I34" s="385"/>
      <c r="J34" s="385"/>
      <c r="K34" s="382"/>
    </row>
    <row r="35" spans="1:11" s="383" customFormat="1">
      <c r="A35" s="145" t="s">
        <v>141</v>
      </c>
      <c r="B35" s="384">
        <f>'Sources and Uses Budget'!C35</f>
        <v>2291037</v>
      </c>
      <c r="C35" s="385"/>
      <c r="D35" s="385"/>
      <c r="E35" s="384">
        <f>'Sources and Uses Budget'!S35</f>
        <v>2291037</v>
      </c>
      <c r="F35" s="385"/>
      <c r="G35" s="385"/>
      <c r="H35" s="384">
        <f>'Sources and Uses Budget'!T35</f>
        <v>0</v>
      </c>
      <c r="I35" s="385"/>
      <c r="J35" s="385"/>
      <c r="K35" s="382"/>
    </row>
    <row r="36" spans="1:11" s="383" customFormat="1">
      <c r="A36" s="534" t="s">
        <v>1821</v>
      </c>
      <c r="B36" s="384">
        <f>'Sources and Uses Budget'!C36</f>
        <v>0</v>
      </c>
      <c r="C36" s="385"/>
      <c r="D36" s="385"/>
      <c r="E36" s="384">
        <f>'Sources and Uses Budget'!S36</f>
        <v>0</v>
      </c>
      <c r="F36" s="385"/>
      <c r="G36" s="385"/>
      <c r="H36" s="384">
        <f>'Sources and Uses Budget'!T36</f>
        <v>0</v>
      </c>
      <c r="I36" s="385"/>
      <c r="J36" s="385"/>
      <c r="K36" s="382"/>
    </row>
    <row r="37" spans="1:11" s="383" customFormat="1">
      <c r="A37" s="387" t="str">
        <f>'Sources and Uses Budget'!$A37</f>
        <v>Other: (Specify)</v>
      </c>
      <c r="B37" s="384">
        <f>'Sources and Uses Budget'!C37</f>
        <v>0</v>
      </c>
      <c r="C37" s="385"/>
      <c r="D37" s="385"/>
      <c r="E37" s="384">
        <f>'Sources and Uses Budget'!S37</f>
        <v>0</v>
      </c>
      <c r="F37" s="385"/>
      <c r="G37" s="385"/>
      <c r="H37" s="384">
        <f>'Sources and Uses Budget'!T37</f>
        <v>0</v>
      </c>
      <c r="I37" s="385"/>
      <c r="J37" s="385"/>
      <c r="K37" s="382"/>
    </row>
    <row r="38" spans="1:11" s="383" customFormat="1">
      <c r="A38" s="388" t="s">
        <v>144</v>
      </c>
      <c r="B38" s="384">
        <f>'Sources and Uses Budget'!C38</f>
        <v>96709216</v>
      </c>
      <c r="C38" s="384">
        <f>SUM(C29:C37)</f>
        <v>0</v>
      </c>
      <c r="D38" s="384">
        <f>SUM(D29:D37)</f>
        <v>0</v>
      </c>
      <c r="E38" s="384">
        <f>'Sources and Uses Budget'!S38</f>
        <v>96709216</v>
      </c>
      <c r="F38" s="390">
        <f>SUM(F29:F37)</f>
        <v>0</v>
      </c>
      <c r="G38" s="390">
        <f>SUM(G29:G37)</f>
        <v>0</v>
      </c>
      <c r="H38" s="384">
        <f>'Sources and Uses Budget'!T38</f>
        <v>0</v>
      </c>
      <c r="I38" s="390">
        <f>SUM(I29:I37)</f>
        <v>0</v>
      </c>
      <c r="J38" s="390">
        <f>SUM(J29:J37)</f>
        <v>0</v>
      </c>
      <c r="K38" s="382"/>
    </row>
    <row r="39" spans="1:11" s="383" customFormat="1" ht="12">
      <c r="A39" s="380" t="s">
        <v>145</v>
      </c>
      <c r="B39" s="381"/>
      <c r="C39" s="381"/>
      <c r="D39" s="381"/>
      <c r="E39" s="381"/>
      <c r="F39" s="381"/>
      <c r="G39" s="381"/>
      <c r="H39" s="381"/>
      <c r="I39" s="381"/>
      <c r="J39" s="381"/>
      <c r="K39" s="382"/>
    </row>
    <row r="40" spans="1:11" s="383" customFormat="1">
      <c r="A40" s="387" t="s">
        <v>146</v>
      </c>
      <c r="B40" s="384">
        <f>'Sources and Uses Budget'!C40</f>
        <v>2112089</v>
      </c>
      <c r="C40" s="385"/>
      <c r="D40" s="385"/>
      <c r="E40" s="384">
        <f>'Sources and Uses Budget'!S40</f>
        <v>2112089</v>
      </c>
      <c r="F40" s="385"/>
      <c r="G40" s="385"/>
      <c r="H40" s="384">
        <f>'Sources and Uses Budget'!T40</f>
        <v>0</v>
      </c>
      <c r="I40" s="385"/>
      <c r="J40" s="385"/>
      <c r="K40" s="382"/>
    </row>
    <row r="41" spans="1:11" s="383" customFormat="1">
      <c r="A41" s="387" t="s">
        <v>147</v>
      </c>
      <c r="B41" s="384">
        <f>'Sources and Uses Budget'!C41</f>
        <v>690000</v>
      </c>
      <c r="C41" s="385"/>
      <c r="D41" s="385"/>
      <c r="E41" s="384">
        <f>'Sources and Uses Budget'!S41</f>
        <v>690000</v>
      </c>
      <c r="F41" s="385"/>
      <c r="G41" s="385"/>
      <c r="H41" s="384">
        <f>'Sources and Uses Budget'!T41</f>
        <v>0</v>
      </c>
      <c r="I41" s="385"/>
      <c r="J41" s="385"/>
      <c r="K41" s="382"/>
    </row>
    <row r="42" spans="1:11" s="383" customFormat="1">
      <c r="A42" s="388" t="s">
        <v>148</v>
      </c>
      <c r="B42" s="384">
        <f>'Sources and Uses Budget'!C42</f>
        <v>2802089</v>
      </c>
      <c r="C42" s="384">
        <f>SUM(C39:C41)</f>
        <v>0</v>
      </c>
      <c r="D42" s="384">
        <f>SUM(D39:D41)</f>
        <v>0</v>
      </c>
      <c r="E42" s="384">
        <f>'Sources and Uses Budget'!S42</f>
        <v>2802089</v>
      </c>
      <c r="F42" s="390">
        <f>SUM(F40:F41)</f>
        <v>0</v>
      </c>
      <c r="G42" s="390">
        <f>SUM(G40:G41)</f>
        <v>0</v>
      </c>
      <c r="H42" s="384">
        <f>'Sources and Uses Budget'!T42</f>
        <v>0</v>
      </c>
      <c r="I42" s="390">
        <f>SUM(I40:I41)</f>
        <v>0</v>
      </c>
      <c r="J42" s="390">
        <f>SUM(J40:J41)</f>
        <v>0</v>
      </c>
      <c r="K42" s="382"/>
    </row>
    <row r="43" spans="1:11" s="383" customFormat="1">
      <c r="A43" s="388" t="s">
        <v>149</v>
      </c>
      <c r="B43" s="384">
        <f>'Sources and Uses Budget'!C43</f>
        <v>609370</v>
      </c>
      <c r="C43" s="385"/>
      <c r="D43" s="385"/>
      <c r="E43" s="384">
        <f>'Sources and Uses Budget'!S43</f>
        <v>609370</v>
      </c>
      <c r="F43" s="385"/>
      <c r="G43" s="385"/>
      <c r="H43" s="384">
        <f>'Sources and Uses Budget'!T43</f>
        <v>0</v>
      </c>
      <c r="I43" s="385"/>
      <c r="J43" s="385"/>
      <c r="K43" s="382"/>
    </row>
    <row r="44" spans="1:11" s="383" customFormat="1" ht="12">
      <c r="A44" s="380" t="s">
        <v>150</v>
      </c>
      <c r="B44" s="381"/>
      <c r="C44" s="381"/>
      <c r="D44" s="381"/>
      <c r="E44" s="381"/>
      <c r="F44" s="381"/>
      <c r="G44" s="381"/>
      <c r="H44" s="381"/>
      <c r="I44" s="381"/>
      <c r="J44" s="381"/>
      <c r="K44" s="382"/>
    </row>
    <row r="45" spans="1:11" s="383" customFormat="1">
      <c r="A45" s="387" t="s">
        <v>151</v>
      </c>
      <c r="B45" s="384">
        <f>'Sources and Uses Budget'!C45</f>
        <v>8954443</v>
      </c>
      <c r="C45" s="385"/>
      <c r="D45" s="385"/>
      <c r="E45" s="384">
        <f>'Sources and Uses Budget'!S45</f>
        <v>3417859</v>
      </c>
      <c r="F45" s="385"/>
      <c r="G45" s="385"/>
      <c r="H45" s="384">
        <f>'Sources and Uses Budget'!T45</f>
        <v>0</v>
      </c>
      <c r="I45" s="385"/>
      <c r="J45" s="385"/>
      <c r="K45" s="382"/>
    </row>
    <row r="46" spans="1:11" s="383" customFormat="1">
      <c r="A46" s="387" t="s">
        <v>152</v>
      </c>
      <c r="B46" s="384">
        <f>'Sources and Uses Budget'!C46</f>
        <v>1116354</v>
      </c>
      <c r="C46" s="385"/>
      <c r="D46" s="385"/>
      <c r="E46" s="384">
        <f>'Sources and Uses Budget'!S46</f>
        <v>331194</v>
      </c>
      <c r="F46" s="385"/>
      <c r="G46" s="385"/>
      <c r="H46" s="384">
        <f>'Sources and Uses Budget'!T46</f>
        <v>0</v>
      </c>
      <c r="I46" s="385"/>
      <c r="J46" s="385"/>
      <c r="K46" s="382"/>
    </row>
    <row r="47" spans="1:11" s="383" customFormat="1" ht="12" customHeight="1">
      <c r="A47" s="387" t="s">
        <v>153</v>
      </c>
      <c r="B47" s="384">
        <f>'Sources and Uses Budget'!C47</f>
        <v>0</v>
      </c>
      <c r="C47" s="385"/>
      <c r="D47" s="385"/>
      <c r="E47" s="384">
        <f>'Sources and Uses Budget'!S47</f>
        <v>0</v>
      </c>
      <c r="F47" s="385"/>
      <c r="G47" s="385"/>
      <c r="H47" s="384">
        <f>'Sources and Uses Budget'!T47</f>
        <v>0</v>
      </c>
      <c r="I47" s="385"/>
      <c r="J47" s="385"/>
      <c r="K47" s="382"/>
    </row>
    <row r="48" spans="1:11" s="383" customFormat="1">
      <c r="A48" s="387" t="s">
        <v>154</v>
      </c>
      <c r="B48" s="384">
        <f>'Sources and Uses Budget'!C48</f>
        <v>0</v>
      </c>
      <c r="C48" s="385"/>
      <c r="D48" s="385"/>
      <c r="E48" s="384">
        <f>'Sources and Uses Budget'!S48</f>
        <v>0</v>
      </c>
      <c r="F48" s="385"/>
      <c r="G48" s="385"/>
      <c r="H48" s="384">
        <f>'Sources and Uses Budget'!T48</f>
        <v>0</v>
      </c>
      <c r="I48" s="385"/>
      <c r="J48" s="385"/>
      <c r="K48" s="382"/>
    </row>
    <row r="49" spans="1:11" s="383" customFormat="1">
      <c r="A49" s="295" t="s">
        <v>57</v>
      </c>
      <c r="B49" s="384">
        <f>'Sources and Uses Budget'!C49</f>
        <v>310615</v>
      </c>
      <c r="C49" s="385"/>
      <c r="D49" s="385"/>
      <c r="E49" s="384">
        <f>'Sources and Uses Budget'!S49</f>
        <v>0</v>
      </c>
      <c r="F49" s="385"/>
      <c r="G49" s="385"/>
      <c r="H49" s="384">
        <f>'Sources and Uses Budget'!T49</f>
        <v>0</v>
      </c>
      <c r="I49" s="385"/>
      <c r="J49" s="385"/>
      <c r="K49" s="382"/>
    </row>
    <row r="50" spans="1:11" s="383" customFormat="1">
      <c r="A50" s="387" t="s">
        <v>157</v>
      </c>
      <c r="B50" s="384">
        <f>'Sources and Uses Budget'!C50</f>
        <v>100000</v>
      </c>
      <c r="C50" s="385"/>
      <c r="D50" s="385"/>
      <c r="E50" s="384">
        <f>'Sources and Uses Budget'!S50</f>
        <v>100000</v>
      </c>
      <c r="F50" s="385"/>
      <c r="G50" s="385"/>
      <c r="H50" s="384">
        <f>'Sources and Uses Budget'!T50</f>
        <v>0</v>
      </c>
      <c r="I50" s="385"/>
      <c r="J50" s="385"/>
      <c r="K50" s="382"/>
    </row>
    <row r="51" spans="1:11" s="383" customFormat="1">
      <c r="A51" s="387" t="s">
        <v>155</v>
      </c>
      <c r="B51" s="384">
        <f>'Sources and Uses Budget'!C51</f>
        <v>0</v>
      </c>
      <c r="C51" s="385"/>
      <c r="D51" s="385"/>
      <c r="E51" s="384">
        <f>'Sources and Uses Budget'!S51</f>
        <v>0</v>
      </c>
      <c r="F51" s="385"/>
      <c r="G51" s="385"/>
      <c r="H51" s="384">
        <f>'Sources and Uses Budget'!T51</f>
        <v>0</v>
      </c>
      <c r="I51" s="385"/>
      <c r="J51" s="385"/>
      <c r="K51" s="382"/>
    </row>
    <row r="52" spans="1:11" s="383" customFormat="1">
      <c r="A52" s="387" t="s">
        <v>156</v>
      </c>
      <c r="B52" s="384">
        <f>'Sources and Uses Budget'!C52</f>
        <v>1468687</v>
      </c>
      <c r="C52" s="385"/>
      <c r="D52" s="385"/>
      <c r="E52" s="384">
        <f>'Sources and Uses Budget'!S52</f>
        <v>1468687</v>
      </c>
      <c r="F52" s="385"/>
      <c r="G52" s="385"/>
      <c r="H52" s="384">
        <f>'Sources and Uses Budget'!T52</f>
        <v>0</v>
      </c>
      <c r="I52" s="385"/>
      <c r="J52" s="385"/>
      <c r="K52" s="382"/>
    </row>
    <row r="53" spans="1:11" s="383" customFormat="1">
      <c r="A53" s="387" t="str">
        <f>'Sources and Uses Budget'!$A53</f>
        <v>Accrued/Deferred Interest</v>
      </c>
      <c r="B53" s="384">
        <f>'Sources and Uses Budget'!C53</f>
        <v>1154519</v>
      </c>
      <c r="C53" s="385"/>
      <c r="D53" s="385"/>
      <c r="E53" s="384">
        <f>'Sources and Uses Budget'!S53</f>
        <v>618794</v>
      </c>
      <c r="F53" s="385"/>
      <c r="G53" s="385"/>
      <c r="H53" s="384">
        <f>'Sources and Uses Budget'!T53</f>
        <v>0</v>
      </c>
      <c r="I53" s="385"/>
      <c r="J53" s="385"/>
      <c r="K53" s="382"/>
    </row>
    <row r="54" spans="1:11" s="392" customFormat="1">
      <c r="A54" s="388" t="s">
        <v>158</v>
      </c>
      <c r="B54" s="384">
        <f>'Sources and Uses Budget'!C54</f>
        <v>13104618</v>
      </c>
      <c r="C54" s="390">
        <f>SUM(C45:C53)</f>
        <v>0</v>
      </c>
      <c r="D54" s="390">
        <f>SUM(D45:D53)</f>
        <v>0</v>
      </c>
      <c r="E54" s="384">
        <f>'Sources and Uses Budget'!S54</f>
        <v>5936534</v>
      </c>
      <c r="F54" s="390">
        <f>SUM(F45:F53)</f>
        <v>0</v>
      </c>
      <c r="G54" s="390">
        <f>SUM(G45:G53)</f>
        <v>0</v>
      </c>
      <c r="H54" s="384">
        <f>'Sources and Uses Budget'!T54</f>
        <v>0</v>
      </c>
      <c r="I54" s="390">
        <f>SUM(I45:I53)</f>
        <v>0</v>
      </c>
      <c r="J54" s="390">
        <f>SUM(J45:J53)</f>
        <v>0</v>
      </c>
      <c r="K54" s="391"/>
    </row>
    <row r="55" spans="1:11" s="383" customFormat="1" ht="12">
      <c r="A55" s="380" t="s">
        <v>420</v>
      </c>
      <c r="B55" s="381"/>
      <c r="C55" s="381"/>
      <c r="D55" s="381"/>
      <c r="E55" s="381"/>
      <c r="F55" s="381"/>
      <c r="G55" s="381"/>
      <c r="H55" s="381"/>
      <c r="I55" s="381"/>
      <c r="J55" s="381"/>
      <c r="K55" s="382"/>
    </row>
    <row r="56" spans="1:11" s="383" customFormat="1">
      <c r="A56" s="387" t="s">
        <v>159</v>
      </c>
      <c r="B56" s="384">
        <f>'Sources and Uses Budget'!C56</f>
        <v>188210</v>
      </c>
      <c r="C56" s="385"/>
      <c r="D56" s="385"/>
      <c r="E56" s="386"/>
      <c r="F56" s="386"/>
      <c r="G56" s="386"/>
      <c r="H56" s="386"/>
      <c r="I56" s="386"/>
      <c r="J56" s="386"/>
      <c r="K56" s="382"/>
    </row>
    <row r="57" spans="1:11" s="383" customFormat="1" ht="12" customHeight="1">
      <c r="A57" s="387" t="s">
        <v>153</v>
      </c>
      <c r="B57" s="384">
        <f>'Sources and Uses Budget'!C57</f>
        <v>0</v>
      </c>
      <c r="C57" s="385"/>
      <c r="D57" s="385"/>
      <c r="E57" s="386"/>
      <c r="F57" s="386"/>
      <c r="G57" s="386"/>
      <c r="H57" s="386"/>
      <c r="I57" s="386"/>
      <c r="J57" s="386"/>
      <c r="K57" s="382"/>
    </row>
    <row r="58" spans="1:11" s="383" customFormat="1">
      <c r="A58" s="387" t="s">
        <v>157</v>
      </c>
      <c r="B58" s="384">
        <f>'Sources and Uses Budget'!C58</f>
        <v>25000</v>
      </c>
      <c r="C58" s="385"/>
      <c r="D58" s="385"/>
      <c r="E58" s="386"/>
      <c r="F58" s="386"/>
      <c r="G58" s="386"/>
      <c r="H58" s="386"/>
      <c r="I58" s="386"/>
      <c r="J58" s="386"/>
      <c r="K58" s="382"/>
    </row>
    <row r="59" spans="1:11" s="383" customFormat="1">
      <c r="A59" s="387" t="s">
        <v>155</v>
      </c>
      <c r="B59" s="384">
        <f>'Sources and Uses Budget'!C59</f>
        <v>0</v>
      </c>
      <c r="C59" s="385"/>
      <c r="D59" s="385"/>
      <c r="E59" s="386"/>
      <c r="F59" s="386"/>
      <c r="G59" s="386"/>
      <c r="H59" s="386"/>
      <c r="I59" s="386"/>
      <c r="J59" s="386"/>
      <c r="K59" s="382"/>
    </row>
    <row r="60" spans="1:11" s="383" customFormat="1">
      <c r="A60" s="387" t="s">
        <v>156</v>
      </c>
      <c r="B60" s="384">
        <f>'Sources and Uses Budget'!C60</f>
        <v>0</v>
      </c>
      <c r="C60" s="385"/>
      <c r="D60" s="385"/>
      <c r="E60" s="386"/>
      <c r="F60" s="386"/>
      <c r="G60" s="386"/>
      <c r="H60" s="386"/>
      <c r="I60" s="386"/>
      <c r="J60" s="386"/>
      <c r="K60" s="382"/>
    </row>
    <row r="61" spans="1:11" s="383" customFormat="1">
      <c r="A61" s="387" t="str">
        <f>'Sources and Uses Budget'!$A61</f>
        <v>Perm Loan Legal (Borrower/Lender)</v>
      </c>
      <c r="B61" s="384">
        <f>'Sources and Uses Budget'!C61</f>
        <v>50000</v>
      </c>
      <c r="C61" s="385"/>
      <c r="D61" s="385"/>
      <c r="E61" s="386"/>
      <c r="F61" s="386"/>
      <c r="G61" s="386"/>
      <c r="H61" s="386"/>
      <c r="I61" s="386"/>
      <c r="J61" s="386"/>
      <c r="K61" s="382"/>
    </row>
    <row r="62" spans="1:11" s="383" customFormat="1" ht="14" customHeight="1">
      <c r="A62" s="388" t="s">
        <v>303</v>
      </c>
      <c r="B62" s="384">
        <f>'Sources and Uses Budget'!C62</f>
        <v>263210</v>
      </c>
      <c r="C62" s="384">
        <f>SUM(C56:C61)</f>
        <v>0</v>
      </c>
      <c r="D62" s="384">
        <f>SUM(D56:D61)</f>
        <v>0</v>
      </c>
      <c r="E62" s="386"/>
      <c r="F62" s="386"/>
      <c r="G62" s="386"/>
      <c r="H62" s="386"/>
      <c r="I62" s="386"/>
      <c r="J62" s="386"/>
      <c r="K62" s="382"/>
    </row>
    <row r="63" spans="1:11" s="383" customFormat="1">
      <c r="A63" s="393" t="s">
        <v>304</v>
      </c>
      <c r="B63" s="384">
        <f>'Sources and Uses Budget'!C63</f>
        <v>116001379</v>
      </c>
      <c r="C63" s="384">
        <f>SUM(C8+C11+C13+C14+C15+C26+C27+C38+C42+C43+C54+C62)</f>
        <v>0</v>
      </c>
      <c r="D63" s="384">
        <f>SUM(D8+D11+D13+D14+D15+D26+D27+D38+D42+D43+D54+D62)</f>
        <v>0</v>
      </c>
      <c r="E63" s="384">
        <f>'Sources and Uses Budget'!S63</f>
        <v>108499986</v>
      </c>
      <c r="F63" s="384">
        <f>SUM(F10+F13+F14+F15+F26+F27+F38+F42+F43+F54)</f>
        <v>0</v>
      </c>
      <c r="G63" s="384">
        <f>SUM(G10+G13+G14+G15+G26+G27+G38+G42+G43+G54)</f>
        <v>0</v>
      </c>
      <c r="H63" s="384">
        <f>'Sources and Uses Budget'!T63</f>
        <v>0</v>
      </c>
      <c r="I63" s="384">
        <f>SUM(I11+I13+I14+I15+I26+I27+I38+I42+I43+I54)</f>
        <v>0</v>
      </c>
      <c r="J63" s="384">
        <f>SUM(J11+J13+J14+J15+J26+J27+J38+J42+J43+J54)</f>
        <v>0</v>
      </c>
      <c r="K63" s="382"/>
    </row>
    <row r="64" spans="1:11" s="383" customFormat="1" ht="24">
      <c r="A64" s="141" t="s">
        <v>1825</v>
      </c>
      <c r="B64" s="381"/>
      <c r="C64" s="381"/>
      <c r="D64" s="381"/>
      <c r="E64" s="381"/>
      <c r="F64" s="381"/>
      <c r="G64" s="381"/>
      <c r="H64" s="381"/>
      <c r="I64" s="381"/>
      <c r="J64" s="381"/>
      <c r="K64" s="382"/>
    </row>
    <row r="65" spans="1:11" s="383" customFormat="1">
      <c r="A65" s="145" t="s">
        <v>172</v>
      </c>
      <c r="B65" s="384">
        <f>'Sources and Uses Budget'!C65</f>
        <v>85000</v>
      </c>
      <c r="C65" s="385"/>
      <c r="D65" s="385"/>
      <c r="E65" s="384">
        <f>'Sources and Uses Budget'!S65</f>
        <v>31322</v>
      </c>
      <c r="F65" s="385"/>
      <c r="G65" s="385"/>
      <c r="H65" s="384">
        <f>'Sources and Uses Budget'!T65</f>
        <v>0</v>
      </c>
      <c r="I65" s="385"/>
      <c r="J65" s="385"/>
      <c r="K65" s="382"/>
    </row>
    <row r="66" spans="1:11" s="383" customFormat="1" ht="23">
      <c r="A66" s="295" t="s">
        <v>1822</v>
      </c>
      <c r="B66" s="384">
        <f>'Sources and Uses Budget'!C66</f>
        <v>0</v>
      </c>
      <c r="C66" s="385"/>
      <c r="D66" s="385"/>
      <c r="E66" s="384">
        <f>'Sources and Uses Budget'!S66</f>
        <v>0</v>
      </c>
      <c r="F66" s="385"/>
      <c r="G66" s="385"/>
      <c r="H66" s="384">
        <f>'Sources and Uses Budget'!T66</f>
        <v>0</v>
      </c>
      <c r="I66" s="385"/>
      <c r="J66" s="385"/>
      <c r="K66" s="382"/>
    </row>
    <row r="67" spans="1:11" s="383" customFormat="1" ht="23">
      <c r="A67" s="295" t="s">
        <v>1823</v>
      </c>
      <c r="B67" s="384">
        <f>'Sources and Uses Budget'!C67</f>
        <v>0</v>
      </c>
      <c r="C67" s="385"/>
      <c r="D67" s="385"/>
      <c r="E67" s="384">
        <f>'Sources and Uses Budget'!S67</f>
        <v>0</v>
      </c>
      <c r="F67" s="385"/>
      <c r="G67" s="385"/>
      <c r="H67" s="384">
        <f>'Sources and Uses Budget'!T67</f>
        <v>0</v>
      </c>
      <c r="I67" s="385"/>
      <c r="J67" s="385"/>
      <c r="K67" s="382"/>
    </row>
    <row r="68" spans="1:11" s="383" customFormat="1">
      <c r="A68" s="295" t="s">
        <v>1829</v>
      </c>
      <c r="B68" s="384">
        <f>'Sources and Uses Budget'!C68</f>
        <v>0</v>
      </c>
      <c r="C68" s="385"/>
      <c r="D68" s="385"/>
      <c r="E68" s="384">
        <f>'Sources and Uses Budget'!S68</f>
        <v>0</v>
      </c>
      <c r="F68" s="385"/>
      <c r="G68" s="385"/>
      <c r="H68" s="384">
        <f>'Sources and Uses Budget'!T68</f>
        <v>0</v>
      </c>
      <c r="I68" s="385"/>
      <c r="J68" s="385"/>
      <c r="K68" s="382"/>
    </row>
    <row r="69" spans="1:11" s="383" customFormat="1">
      <c r="A69" s="387" t="str">
        <f>'Sources and Uses Budget'!$A69</f>
        <v>Borrower Construction Legal</v>
      </c>
      <c r="B69" s="384">
        <f>'Sources and Uses Budget'!C69</f>
        <v>50000</v>
      </c>
      <c r="C69" s="385"/>
      <c r="D69" s="385"/>
      <c r="E69" s="384">
        <f>'Sources and Uses Budget'!S69</f>
        <v>50000</v>
      </c>
      <c r="F69" s="385"/>
      <c r="G69" s="385"/>
      <c r="H69" s="384">
        <f>'Sources and Uses Budget'!T69</f>
        <v>0</v>
      </c>
      <c r="I69" s="385"/>
      <c r="J69" s="385"/>
      <c r="K69" s="382"/>
    </row>
    <row r="70" spans="1:11" s="383" customFormat="1">
      <c r="A70" s="388" t="s">
        <v>611</v>
      </c>
      <c r="B70" s="384">
        <f>'Sources and Uses Budget'!C70</f>
        <v>135000</v>
      </c>
      <c r="C70" s="384">
        <f>SUM(C64:C69)</f>
        <v>0</v>
      </c>
      <c r="D70" s="384">
        <f>SUM(D64:D69)</f>
        <v>0</v>
      </c>
      <c r="E70" s="384">
        <f>'Sources and Uses Budget'!S70</f>
        <v>81322</v>
      </c>
      <c r="F70" s="390">
        <f>SUM(F65:F69)</f>
        <v>0</v>
      </c>
      <c r="G70" s="390">
        <f>SUM(G65:G69)</f>
        <v>0</v>
      </c>
      <c r="H70" s="384">
        <f>'Sources and Uses Budget'!T70</f>
        <v>0</v>
      </c>
      <c r="I70" s="390">
        <f>SUM(I65:I69)</f>
        <v>0</v>
      </c>
      <c r="J70" s="390">
        <f>SUM(J65:J69)</f>
        <v>0</v>
      </c>
      <c r="K70" s="382"/>
    </row>
    <row r="71" spans="1:11" s="383" customFormat="1" ht="12">
      <c r="A71" s="380" t="s">
        <v>612</v>
      </c>
      <c r="B71" s="381"/>
      <c r="C71" s="381"/>
      <c r="D71" s="381"/>
      <c r="E71" s="381"/>
      <c r="F71" s="381"/>
      <c r="G71" s="381"/>
      <c r="H71" s="381"/>
      <c r="I71" s="381"/>
      <c r="J71" s="381"/>
      <c r="K71" s="382"/>
    </row>
    <row r="72" spans="1:11" s="383" customFormat="1">
      <c r="A72" s="387" t="s">
        <v>613</v>
      </c>
      <c r="B72" s="384">
        <f>'Sources and Uses Budget'!C72</f>
        <v>0</v>
      </c>
      <c r="C72" s="385"/>
      <c r="D72" s="385"/>
      <c r="E72" s="386"/>
      <c r="F72" s="386"/>
      <c r="G72" s="386"/>
      <c r="H72" s="386"/>
      <c r="I72" s="386"/>
      <c r="J72" s="386"/>
      <c r="K72" s="382"/>
    </row>
    <row r="73" spans="1:11" s="383" customFormat="1">
      <c r="A73" s="387" t="s">
        <v>614</v>
      </c>
      <c r="B73" s="384">
        <f>'Sources and Uses Budget'!C73</f>
        <v>350000</v>
      </c>
      <c r="C73" s="385"/>
      <c r="D73" s="385"/>
      <c r="E73" s="386"/>
      <c r="F73" s="386"/>
      <c r="G73" s="386"/>
      <c r="H73" s="386"/>
      <c r="I73" s="386"/>
      <c r="J73" s="386"/>
      <c r="K73" s="382"/>
    </row>
    <row r="74" spans="1:11" s="383" customFormat="1">
      <c r="A74" s="389" t="s">
        <v>1040</v>
      </c>
      <c r="B74" s="384">
        <f>'Sources and Uses Budget'!C74</f>
        <v>0</v>
      </c>
      <c r="C74" s="385"/>
      <c r="D74" s="385"/>
      <c r="E74" s="386"/>
      <c r="F74" s="386"/>
      <c r="G74" s="386"/>
      <c r="H74" s="386"/>
      <c r="I74" s="386"/>
      <c r="J74" s="386"/>
      <c r="K74" s="382"/>
    </row>
    <row r="75" spans="1:11" s="383" customFormat="1">
      <c r="A75" s="387" t="s">
        <v>615</v>
      </c>
      <c r="B75" s="384">
        <f>'Sources and Uses Budget'!C75</f>
        <v>687805</v>
      </c>
      <c r="C75" s="385"/>
      <c r="D75" s="385"/>
      <c r="E75" s="386"/>
      <c r="F75" s="386"/>
      <c r="G75" s="386"/>
      <c r="H75" s="386"/>
      <c r="I75" s="386"/>
      <c r="J75" s="386"/>
      <c r="K75" s="382"/>
    </row>
    <row r="76" spans="1:11" s="383" customFormat="1">
      <c r="A76" s="387" t="str">
        <f>'Sources and Uses Budget'!$A76</f>
        <v>Other: (Specify)</v>
      </c>
      <c r="B76" s="384">
        <f>'Sources and Uses Budget'!C76</f>
        <v>0</v>
      </c>
      <c r="C76" s="385"/>
      <c r="D76" s="385"/>
      <c r="E76" s="386"/>
      <c r="F76" s="386"/>
      <c r="G76" s="386"/>
      <c r="H76" s="386"/>
      <c r="I76" s="386"/>
      <c r="J76" s="386"/>
      <c r="K76" s="382"/>
    </row>
    <row r="77" spans="1:11" s="383" customFormat="1">
      <c r="A77" s="388" t="s">
        <v>616</v>
      </c>
      <c r="B77" s="384">
        <f>'Sources and Uses Budget'!C77</f>
        <v>1037805</v>
      </c>
      <c r="C77" s="384">
        <f>SUM(C72:C76)</f>
        <v>0</v>
      </c>
      <c r="D77" s="384">
        <f>SUM(D72:D76)</f>
        <v>0</v>
      </c>
      <c r="E77" s="386"/>
      <c r="F77" s="386"/>
      <c r="G77" s="386"/>
      <c r="H77" s="386"/>
      <c r="I77" s="386"/>
      <c r="J77" s="386"/>
      <c r="K77" s="382"/>
    </row>
    <row r="78" spans="1:11" s="383" customFormat="1" ht="12">
      <c r="A78" s="380" t="s">
        <v>1353</v>
      </c>
      <c r="B78" s="381"/>
      <c r="C78" s="381"/>
      <c r="D78" s="381"/>
      <c r="E78" s="381"/>
      <c r="F78" s="381"/>
      <c r="G78" s="381"/>
      <c r="H78" s="381"/>
      <c r="I78" s="381"/>
      <c r="J78" s="381"/>
      <c r="K78" s="382"/>
    </row>
    <row r="79" spans="1:11" s="383" customFormat="1">
      <c r="A79" s="387" t="s">
        <v>1355</v>
      </c>
      <c r="B79" s="384">
        <f>'Sources and Uses Budget'!C79</f>
        <v>4952600</v>
      </c>
      <c r="C79" s="385"/>
      <c r="D79" s="385"/>
      <c r="E79" s="384">
        <f>'Sources and Uses Budget'!S79</f>
        <v>4952600</v>
      </c>
      <c r="F79" s="385"/>
      <c r="G79" s="385"/>
      <c r="H79" s="384">
        <f>'Sources and Uses Budget'!T79</f>
        <v>0</v>
      </c>
      <c r="I79" s="385"/>
      <c r="J79" s="385"/>
      <c r="K79" s="382"/>
    </row>
    <row r="80" spans="1:11" s="383" customFormat="1">
      <c r="A80" s="387" t="s">
        <v>58</v>
      </c>
      <c r="B80" s="384">
        <f>'Sources and Uses Budget'!C80</f>
        <v>765000</v>
      </c>
      <c r="C80" s="385"/>
      <c r="D80" s="385"/>
      <c r="E80" s="384">
        <f>'Sources and Uses Budget'!S80</f>
        <v>765000</v>
      </c>
      <c r="F80" s="385"/>
      <c r="G80" s="385"/>
      <c r="H80" s="384">
        <f>'Sources and Uses Budget'!T80</f>
        <v>0</v>
      </c>
      <c r="I80" s="385"/>
      <c r="J80" s="385"/>
      <c r="K80" s="382"/>
    </row>
    <row r="81" spans="1:11" s="383" customFormat="1">
      <c r="A81" s="388" t="s">
        <v>1352</v>
      </c>
      <c r="B81" s="384">
        <f>'Sources and Uses Budget'!C81</f>
        <v>5717600</v>
      </c>
      <c r="C81" s="384">
        <f>SUM(C79:C80)</f>
        <v>0</v>
      </c>
      <c r="D81" s="384">
        <f>SUM(D79:D80)</f>
        <v>0</v>
      </c>
      <c r="E81" s="384">
        <f>'Sources and Uses Budget'!S81</f>
        <v>5717600</v>
      </c>
      <c r="F81" s="384">
        <f>SUM(F79:F80)</f>
        <v>0</v>
      </c>
      <c r="G81" s="384">
        <f>SUM(G79:G80)</f>
        <v>0</v>
      </c>
      <c r="H81" s="384">
        <f>'Sources and Uses Budget'!T81</f>
        <v>0</v>
      </c>
      <c r="I81" s="384">
        <f>SUM(I79:I80)</f>
        <v>0</v>
      </c>
      <c r="J81" s="384">
        <f>SUM(J79:J80)</f>
        <v>0</v>
      </c>
      <c r="K81" s="382"/>
    </row>
    <row r="82" spans="1:11" s="383" customFormat="1" ht="12">
      <c r="A82" s="380" t="s">
        <v>790</v>
      </c>
      <c r="B82" s="381"/>
      <c r="C82" s="381"/>
      <c r="D82" s="381"/>
      <c r="E82" s="381"/>
      <c r="F82" s="381"/>
      <c r="G82" s="381"/>
      <c r="H82" s="381"/>
      <c r="I82" s="381"/>
      <c r="J82" s="381"/>
      <c r="K82" s="382"/>
    </row>
    <row r="83" spans="1:11" s="383" customFormat="1" ht="14" customHeight="1">
      <c r="A83" s="145" t="s">
        <v>2519</v>
      </c>
      <c r="B83" s="384">
        <f>'Sources and Uses Budget'!C83</f>
        <v>123365</v>
      </c>
      <c r="C83" s="385"/>
      <c r="D83" s="385"/>
      <c r="E83" s="386"/>
      <c r="F83" s="386"/>
      <c r="G83" s="386"/>
      <c r="H83" s="386"/>
      <c r="I83" s="386"/>
      <c r="J83" s="386"/>
      <c r="K83" s="382"/>
    </row>
    <row r="84" spans="1:11" s="383" customFormat="1">
      <c r="A84" s="145" t="s">
        <v>792</v>
      </c>
      <c r="B84" s="384">
        <f>'Sources and Uses Budget'!C84</f>
        <v>181565</v>
      </c>
      <c r="C84" s="385"/>
      <c r="D84" s="385"/>
      <c r="E84" s="384">
        <f>'Sources and Uses Budget'!S84</f>
        <v>181565</v>
      </c>
      <c r="F84" s="385"/>
      <c r="G84" s="385"/>
      <c r="H84" s="384">
        <f>'Sources and Uses Budget'!T84</f>
        <v>0</v>
      </c>
      <c r="I84" s="385"/>
      <c r="J84" s="385"/>
      <c r="K84" s="382"/>
    </row>
    <row r="85" spans="1:11" s="383" customFormat="1">
      <c r="A85" s="145" t="s">
        <v>793</v>
      </c>
      <c r="B85" s="384">
        <f>'Sources and Uses Budget'!C85</f>
        <v>5086799</v>
      </c>
      <c r="C85" s="385"/>
      <c r="D85" s="385"/>
      <c r="E85" s="384">
        <f>'Sources and Uses Budget'!S85</f>
        <v>5086799</v>
      </c>
      <c r="F85" s="385"/>
      <c r="G85" s="385"/>
      <c r="H85" s="384">
        <f>'Sources and Uses Budget'!T85</f>
        <v>0</v>
      </c>
      <c r="I85" s="385"/>
      <c r="J85" s="385"/>
      <c r="K85" s="382"/>
    </row>
    <row r="86" spans="1:11" s="383" customFormat="1">
      <c r="A86" s="145" t="s">
        <v>794</v>
      </c>
      <c r="B86" s="384">
        <f>'Sources and Uses Budget'!C86</f>
        <v>1015899</v>
      </c>
      <c r="C86" s="385"/>
      <c r="D86" s="385"/>
      <c r="E86" s="384">
        <f>'Sources and Uses Budget'!S86</f>
        <v>1015899</v>
      </c>
      <c r="F86" s="385"/>
      <c r="G86" s="385"/>
      <c r="H86" s="384">
        <f>'Sources and Uses Budget'!T86</f>
        <v>0</v>
      </c>
      <c r="I86" s="385"/>
      <c r="J86" s="385"/>
      <c r="K86" s="382"/>
    </row>
    <row r="87" spans="1:11" s="383" customFormat="1">
      <c r="A87" s="145" t="s">
        <v>795</v>
      </c>
      <c r="B87" s="384">
        <f>'Sources and Uses Budget'!C87</f>
        <v>0</v>
      </c>
      <c r="C87" s="385"/>
      <c r="D87" s="385"/>
      <c r="E87" s="384">
        <f>'Sources and Uses Budget'!S87</f>
        <v>0</v>
      </c>
      <c r="F87" s="385"/>
      <c r="G87" s="385"/>
      <c r="H87" s="384">
        <f>'Sources and Uses Budget'!T87</f>
        <v>0</v>
      </c>
      <c r="I87" s="385"/>
      <c r="J87" s="385"/>
      <c r="K87" s="382"/>
    </row>
    <row r="88" spans="1:11" s="383" customFormat="1">
      <c r="A88" s="145" t="s">
        <v>796</v>
      </c>
      <c r="B88" s="384">
        <f>'Sources and Uses Budget'!C88</f>
        <v>400000</v>
      </c>
      <c r="C88" s="385"/>
      <c r="D88" s="385"/>
      <c r="E88" s="386"/>
      <c r="F88" s="386"/>
      <c r="G88" s="386"/>
      <c r="H88" s="386"/>
      <c r="I88" s="386"/>
      <c r="J88" s="386"/>
      <c r="K88" s="382"/>
    </row>
    <row r="89" spans="1:11" s="383" customFormat="1">
      <c r="A89" s="145" t="s">
        <v>797</v>
      </c>
      <c r="B89" s="384">
        <f>'Sources and Uses Budget'!C89</f>
        <v>272000</v>
      </c>
      <c r="C89" s="385"/>
      <c r="D89" s="385"/>
      <c r="E89" s="384">
        <f>'Sources and Uses Budget'!S89</f>
        <v>272000</v>
      </c>
      <c r="F89" s="385"/>
      <c r="G89" s="385"/>
      <c r="H89" s="384">
        <f>'Sources and Uses Budget'!T89</f>
        <v>0</v>
      </c>
      <c r="I89" s="385"/>
      <c r="J89" s="385"/>
      <c r="K89" s="382"/>
    </row>
    <row r="90" spans="1:11" s="383" customFormat="1">
      <c r="A90" s="145" t="s">
        <v>798</v>
      </c>
      <c r="B90" s="384">
        <f>'Sources and Uses Budget'!C90</f>
        <v>15000</v>
      </c>
      <c r="C90" s="385"/>
      <c r="D90" s="385"/>
      <c r="E90" s="384">
        <f>'Sources and Uses Budget'!S90</f>
        <v>0</v>
      </c>
      <c r="F90" s="385"/>
      <c r="G90" s="385"/>
      <c r="H90" s="384">
        <f>'Sources and Uses Budget'!T90</f>
        <v>0</v>
      </c>
      <c r="I90" s="385"/>
      <c r="J90" s="385"/>
      <c r="K90" s="382"/>
    </row>
    <row r="91" spans="1:11" s="383" customFormat="1">
      <c r="A91" s="155" t="s">
        <v>374</v>
      </c>
      <c r="B91" s="384">
        <f>'Sources and Uses Budget'!C91</f>
        <v>0</v>
      </c>
      <c r="C91" s="385"/>
      <c r="D91" s="385"/>
      <c r="E91" s="384">
        <f>'Sources and Uses Budget'!S91</f>
        <v>0</v>
      </c>
      <c r="F91" s="385"/>
      <c r="G91" s="385"/>
      <c r="H91" s="384">
        <f>'Sources and Uses Budget'!T91</f>
        <v>0</v>
      </c>
      <c r="I91" s="385"/>
      <c r="J91" s="385"/>
      <c r="K91" s="382"/>
    </row>
    <row r="92" spans="1:11" s="383" customFormat="1">
      <c r="A92" s="534" t="s">
        <v>1354</v>
      </c>
      <c r="B92" s="384">
        <f>'Sources and Uses Budget'!C92</f>
        <v>15000</v>
      </c>
      <c r="C92" s="385"/>
      <c r="D92" s="385"/>
      <c r="E92" s="384">
        <f>'Sources and Uses Budget'!S92</f>
        <v>15000</v>
      </c>
      <c r="F92" s="385"/>
      <c r="G92" s="385"/>
      <c r="H92" s="384">
        <f>'Sources and Uses Budget'!T92</f>
        <v>0</v>
      </c>
      <c r="I92" s="385"/>
      <c r="J92" s="385"/>
      <c r="K92" s="382"/>
    </row>
    <row r="93" spans="1:11" s="383" customFormat="1">
      <c r="A93" s="387" t="str">
        <f>'Sources and Uses Budget'!$A93</f>
        <v>3rd Party Construction Mgt/Testing</v>
      </c>
      <c r="B93" s="384">
        <f>'Sources and Uses Budget'!C93</f>
        <v>216675</v>
      </c>
      <c r="C93" s="385"/>
      <c r="D93" s="385"/>
      <c r="E93" s="384">
        <f>'Sources and Uses Budget'!S93</f>
        <v>216675</v>
      </c>
      <c r="F93" s="385"/>
      <c r="G93" s="385"/>
      <c r="H93" s="384">
        <f>'Sources and Uses Budget'!T93</f>
        <v>0</v>
      </c>
      <c r="I93" s="385"/>
      <c r="J93" s="385"/>
      <c r="K93" s="382"/>
    </row>
    <row r="94" spans="1:11" s="383" customFormat="1">
      <c r="A94" s="387" t="str">
        <f>'Sources and Uses Budget'!$A94</f>
        <v>Prevailing Wage Monitor</v>
      </c>
      <c r="B94" s="384">
        <f>'Sources and Uses Budget'!C94</f>
        <v>50000</v>
      </c>
      <c r="C94" s="385"/>
      <c r="D94" s="385"/>
      <c r="E94" s="384">
        <f>'Sources and Uses Budget'!S94</f>
        <v>50000</v>
      </c>
      <c r="F94" s="385"/>
      <c r="G94" s="385"/>
      <c r="H94" s="384">
        <f>'Sources and Uses Budget'!T94</f>
        <v>0</v>
      </c>
      <c r="I94" s="385"/>
      <c r="J94" s="385"/>
      <c r="K94" s="382"/>
    </row>
    <row r="95" spans="1:11" s="383" customFormat="1">
      <c r="A95" s="387" t="str">
        <f>'Sources and Uses Budget'!$A95</f>
        <v>Waived Impact Fees</v>
      </c>
      <c r="B95" s="384">
        <f>'Sources and Uses Budget'!C95</f>
        <v>3330452</v>
      </c>
      <c r="C95" s="385"/>
      <c r="D95" s="385"/>
      <c r="E95" s="384">
        <f>'Sources and Uses Budget'!S95</f>
        <v>0</v>
      </c>
      <c r="F95" s="385"/>
      <c r="G95" s="385"/>
      <c r="H95" s="384">
        <f>'Sources and Uses Budget'!T95</f>
        <v>0</v>
      </c>
      <c r="I95" s="385"/>
      <c r="J95" s="385"/>
      <c r="K95" s="382"/>
    </row>
    <row r="96" spans="1:11" s="383" customFormat="1">
      <c r="A96" s="388" t="s">
        <v>799</v>
      </c>
      <c r="B96" s="384">
        <f>'Sources and Uses Budget'!C96</f>
        <v>10706755</v>
      </c>
      <c r="C96" s="384">
        <f>SUM(C83:C95)</f>
        <v>0</v>
      </c>
      <c r="D96" s="384">
        <f>SUM(D83:D95)</f>
        <v>0</v>
      </c>
      <c r="E96" s="384">
        <f>'Sources and Uses Budget'!S96</f>
        <v>6837938</v>
      </c>
      <c r="F96" s="390">
        <f>SUM(F84:F87,F89:F95)</f>
        <v>0</v>
      </c>
      <c r="G96" s="390">
        <f>SUM(G84:G87,G89:G95)</f>
        <v>0</v>
      </c>
      <c r="H96" s="384">
        <f>'Sources and Uses Budget'!T96</f>
        <v>0</v>
      </c>
      <c r="I96" s="384">
        <f>SUM(I84:I87,I89:I95)</f>
        <v>0</v>
      </c>
      <c r="J96" s="384">
        <f>SUM(J84:J87,J89:J95)</f>
        <v>0</v>
      </c>
      <c r="K96" s="382"/>
    </row>
    <row r="97" spans="1:11" s="383" customFormat="1">
      <c r="A97" s="388" t="s">
        <v>1090</v>
      </c>
      <c r="B97" s="384">
        <f>'Sources and Uses Budget'!C97</f>
        <v>133598539</v>
      </c>
      <c r="C97" s="384">
        <f>SUM(C63+C70+C77+C81+C96)</f>
        <v>0</v>
      </c>
      <c r="D97" s="384">
        <f>SUM(D63+D70+D77+D81+D96)</f>
        <v>0</v>
      </c>
      <c r="E97" s="384">
        <f>'Sources and Uses Budget'!S97</f>
        <v>121136846</v>
      </c>
      <c r="F97" s="390">
        <f>SUM(+F63+F70+F81+F96)</f>
        <v>0</v>
      </c>
      <c r="G97" s="390">
        <f>SUM(+G63+G70+G81+G96)</f>
        <v>0</v>
      </c>
      <c r="H97" s="384">
        <f>'Sources and Uses Budget'!T97</f>
        <v>0</v>
      </c>
      <c r="I97" s="390">
        <f>SUM(I63+I70+I81+I96)</f>
        <v>0</v>
      </c>
      <c r="J97" s="390">
        <f>SUM(J63+J70+J81+J96)</f>
        <v>0</v>
      </c>
      <c r="K97" s="382"/>
    </row>
    <row r="98" spans="1:11" s="383" customFormat="1" ht="12">
      <c r="A98" s="380" t="s">
        <v>801</v>
      </c>
      <c r="B98" s="381"/>
      <c r="C98" s="381"/>
      <c r="D98" s="381"/>
      <c r="E98" s="381"/>
      <c r="F98" s="381"/>
      <c r="G98" s="381"/>
      <c r="H98" s="381"/>
      <c r="I98" s="381"/>
      <c r="J98" s="381"/>
      <c r="K98" s="382"/>
    </row>
    <row r="99" spans="1:11" s="383" customFormat="1">
      <c r="A99" s="145" t="s">
        <v>802</v>
      </c>
      <c r="B99" s="384">
        <f>'Sources and Uses Budget'!C99</f>
        <v>6950527</v>
      </c>
      <c r="C99" s="385"/>
      <c r="D99" s="385"/>
      <c r="E99" s="384">
        <f>'Sources and Uses Budget'!S99</f>
        <v>6950527</v>
      </c>
      <c r="F99" s="385"/>
      <c r="G99" s="385"/>
      <c r="H99" s="384">
        <f>'Sources and Uses Budget'!T99</f>
        <v>0</v>
      </c>
      <c r="I99" s="385"/>
      <c r="J99" s="385"/>
      <c r="K99" s="382"/>
    </row>
    <row r="100" spans="1:11" s="383" customFormat="1">
      <c r="A100" s="295" t="s">
        <v>1827</v>
      </c>
      <c r="B100" s="384">
        <f>'Sources and Uses Budget'!C100</f>
        <v>0</v>
      </c>
      <c r="C100" s="385"/>
      <c r="D100" s="385"/>
      <c r="E100" s="384">
        <f>'Sources and Uses Budget'!S100</f>
        <v>0</v>
      </c>
      <c r="F100" s="385"/>
      <c r="G100" s="385"/>
      <c r="H100" s="384">
        <f>'Sources and Uses Budget'!T100</f>
        <v>0</v>
      </c>
      <c r="I100" s="385"/>
      <c r="J100" s="385"/>
      <c r="K100" s="382"/>
    </row>
    <row r="101" spans="1:11" s="383" customFormat="1">
      <c r="A101" s="145" t="s">
        <v>803</v>
      </c>
      <c r="B101" s="384">
        <f>'Sources and Uses Budget'!C101</f>
        <v>0</v>
      </c>
      <c r="C101" s="385"/>
      <c r="D101" s="385"/>
      <c r="E101" s="384">
        <f>'Sources and Uses Budget'!S101</f>
        <v>0</v>
      </c>
      <c r="F101" s="385"/>
      <c r="G101" s="385"/>
      <c r="H101" s="384">
        <f>'Sources and Uses Budget'!T101</f>
        <v>0</v>
      </c>
      <c r="I101" s="385"/>
      <c r="J101" s="385"/>
      <c r="K101" s="382"/>
    </row>
    <row r="102" spans="1:11" s="383" customFormat="1" ht="12" customHeight="1">
      <c r="A102" s="295" t="s">
        <v>1828</v>
      </c>
      <c r="B102" s="384">
        <f>'Sources and Uses Budget'!C102</f>
        <v>0</v>
      </c>
      <c r="C102" s="385"/>
      <c r="D102" s="385"/>
      <c r="E102" s="384">
        <f>'Sources and Uses Budget'!S102</f>
        <v>0</v>
      </c>
      <c r="F102" s="385"/>
      <c r="G102" s="385"/>
      <c r="H102" s="384">
        <f>'Sources and Uses Budget'!T102</f>
        <v>0</v>
      </c>
      <c r="I102" s="385"/>
      <c r="J102" s="385"/>
      <c r="K102" s="382"/>
    </row>
    <row r="103" spans="1:11" s="383" customFormat="1">
      <c r="A103" s="387" t="str">
        <f>'Sources and Uses Budget'!$A103</f>
        <v>Other: (Specify)</v>
      </c>
      <c r="B103" s="384">
        <f>'Sources and Uses Budget'!C103</f>
        <v>0</v>
      </c>
      <c r="C103" s="385"/>
      <c r="D103" s="385"/>
      <c r="E103" s="384">
        <f>'Sources and Uses Budget'!S103</f>
        <v>0</v>
      </c>
      <c r="F103" s="385"/>
      <c r="G103" s="385"/>
      <c r="H103" s="384">
        <f>'Sources and Uses Budget'!T103</f>
        <v>0</v>
      </c>
      <c r="I103" s="385"/>
      <c r="J103" s="385"/>
      <c r="K103" s="382"/>
    </row>
    <row r="104" spans="1:11" s="383" customFormat="1">
      <c r="A104" s="388" t="s">
        <v>804</v>
      </c>
      <c r="B104" s="384">
        <f>'Sources and Uses Budget'!C104</f>
        <v>6950527</v>
      </c>
      <c r="C104" s="384">
        <f>SUM(C99:C103)</f>
        <v>0</v>
      </c>
      <c r="D104" s="384">
        <f>SUM(D99:D103)</f>
        <v>0</v>
      </c>
      <c r="E104" s="384">
        <f>'Sources and Uses Budget'!S104</f>
        <v>6950527</v>
      </c>
      <c r="F104" s="390">
        <f>SUM(F99:F103)</f>
        <v>0</v>
      </c>
      <c r="G104" s="390">
        <f>SUM(G99:G103)</f>
        <v>0</v>
      </c>
      <c r="H104" s="384">
        <f>'Sources and Uses Budget'!T104</f>
        <v>0</v>
      </c>
      <c r="I104" s="390">
        <f>SUM(I99:I103)</f>
        <v>0</v>
      </c>
      <c r="J104" s="390">
        <f>SUM(J99:J103)</f>
        <v>0</v>
      </c>
      <c r="K104" s="382"/>
    </row>
    <row r="105" spans="1:11" s="383" customFormat="1">
      <c r="A105" s="388" t="s">
        <v>1091</v>
      </c>
      <c r="B105" s="384">
        <f>'Sources and Uses Budget'!C105</f>
        <v>140549066</v>
      </c>
      <c r="C105" s="390">
        <f>SUM(C97+C104)</f>
        <v>0</v>
      </c>
      <c r="D105" s="390">
        <f>SUM(D97+D104)</f>
        <v>0</v>
      </c>
      <c r="E105" s="384">
        <f>'Sources and Uses Budget'!S105</f>
        <v>128087373</v>
      </c>
      <c r="F105" s="390">
        <f>F97+F104</f>
        <v>0</v>
      </c>
      <c r="G105" s="390">
        <f>G97+G104</f>
        <v>0</v>
      </c>
      <c r="H105" s="384">
        <f>'Sources and Uses Budget'!T105</f>
        <v>0</v>
      </c>
      <c r="I105" s="390">
        <f>I97+I104</f>
        <v>0</v>
      </c>
      <c r="J105" s="390">
        <f>J97+J104</f>
        <v>0</v>
      </c>
      <c r="K105" s="382"/>
    </row>
    <row r="106" spans="1:11" s="383" customFormat="1">
      <c r="A106" s="394"/>
      <c r="B106" s="395"/>
      <c r="C106" s="395"/>
      <c r="D106" s="395"/>
      <c r="E106" s="384">
        <f>'Sources and Uses Budget'!S106</f>
        <v>0</v>
      </c>
      <c r="F106" s="385"/>
      <c r="G106" s="385"/>
      <c r="H106" s="384">
        <f>'Sources and Uses Budget'!T106</f>
        <v>0</v>
      </c>
      <c r="I106" s="385"/>
      <c r="J106" s="385"/>
      <c r="K106" s="382"/>
    </row>
    <row r="107" spans="1:11" s="383" customFormat="1">
      <c r="A107" s="396"/>
      <c r="B107" s="397"/>
      <c r="C107" s="395"/>
      <c r="D107" s="480" t="s">
        <v>377</v>
      </c>
      <c r="E107" s="384">
        <f>'Sources and Uses Budget'!S107</f>
        <v>128087373</v>
      </c>
      <c r="F107" s="390">
        <f>F105+F106</f>
        <v>0</v>
      </c>
      <c r="G107" s="390">
        <f>G105+G106</f>
        <v>0</v>
      </c>
      <c r="H107" s="384">
        <f>'Sources and Uses Budget'!T107</f>
        <v>0</v>
      </c>
      <c r="I107" s="390">
        <f>I105+I106</f>
        <v>0</v>
      </c>
      <c r="J107" s="390">
        <f>J105+J106</f>
        <v>0</v>
      </c>
      <c r="K107" s="382"/>
    </row>
    <row r="108" spans="1:11" s="383" customFormat="1">
      <c r="A108" s="396"/>
      <c r="B108" s="398"/>
      <c r="C108" s="398"/>
      <c r="D108" s="398"/>
      <c r="J108" s="399"/>
      <c r="K108" s="382"/>
    </row>
    <row r="109" spans="1:11" s="383" customFormat="1">
      <c r="A109" s="396"/>
      <c r="B109" s="398"/>
      <c r="C109" s="398"/>
      <c r="D109" s="398"/>
      <c r="J109" s="399"/>
      <c r="K109" s="382"/>
    </row>
    <row r="110" spans="1:11" s="383" customFormat="1">
      <c r="A110" s="396"/>
      <c r="B110" s="398"/>
      <c r="C110" s="398"/>
      <c r="D110" s="398"/>
      <c r="J110" s="399"/>
      <c r="K110" s="382"/>
    </row>
    <row r="111" spans="1:11" s="383" customFormat="1" ht="13">
      <c r="A111" s="400"/>
      <c r="B111" s="398"/>
      <c r="C111" s="398"/>
      <c r="D111" s="398"/>
      <c r="J111" s="399"/>
      <c r="K111" s="382"/>
    </row>
    <row r="112" spans="1:11" s="383" customFormat="1" ht="13">
      <c r="A112" s="400"/>
      <c r="B112" s="398"/>
      <c r="C112" s="398"/>
      <c r="D112" s="398"/>
      <c r="J112" s="399"/>
      <c r="K112" s="382"/>
    </row>
    <row r="113" spans="1:11" s="383" customFormat="1" ht="15">
      <c r="A113" s="401"/>
      <c r="B113" s="398"/>
      <c r="C113" s="398"/>
      <c r="D113" s="398"/>
      <c r="J113" s="399"/>
      <c r="K113" s="382"/>
    </row>
    <row r="114" spans="1:11" s="383" customFormat="1" ht="13">
      <c r="A114" s="400"/>
      <c r="J114" s="399"/>
      <c r="K114" s="382"/>
    </row>
    <row r="115" spans="1:11" s="383" customFormat="1" ht="15">
      <c r="A115" s="401"/>
      <c r="J115" s="399"/>
      <c r="K115" s="382"/>
    </row>
    <row r="116" spans="1:11" s="383" customFormat="1" ht="15">
      <c r="A116" s="401"/>
      <c r="J116" s="399"/>
      <c r="K116" s="382"/>
    </row>
    <row r="117" spans="1:11" s="383" customFormat="1">
      <c r="B117" s="398"/>
      <c r="C117" s="398"/>
      <c r="D117" s="398"/>
      <c r="J117" s="399"/>
      <c r="K117" s="382"/>
    </row>
    <row r="118" spans="1:11" s="383" customFormat="1">
      <c r="J118" s="399"/>
      <c r="K118" s="382"/>
    </row>
    <row r="119" spans="1:11" s="383" customFormat="1">
      <c r="J119" s="399"/>
      <c r="K119" s="382"/>
    </row>
    <row r="120" spans="1:11" s="383" customFormat="1">
      <c r="J120" s="399"/>
      <c r="K120" s="382"/>
    </row>
    <row r="121" spans="1:11" s="383" customFormat="1" ht="15">
      <c r="A121" s="401"/>
      <c r="J121" s="399"/>
      <c r="K121" s="382"/>
    </row>
    <row r="122" spans="1:11" s="403" customFormat="1" ht="15.5">
      <c r="A122" s="402"/>
      <c r="J122" s="404"/>
      <c r="K122" s="405"/>
    </row>
    <row r="123" spans="1:11" s="383" customFormat="1">
      <c r="A123" s="406"/>
      <c r="J123" s="399"/>
      <c r="K123" s="382"/>
    </row>
    <row r="124" spans="1:11" s="383" customFormat="1">
      <c r="B124" s="407"/>
      <c r="D124" s="1871"/>
      <c r="E124" s="1328"/>
      <c r="F124" s="1328"/>
      <c r="G124" s="1328"/>
      <c r="H124" s="1328"/>
      <c r="I124" s="1328"/>
      <c r="J124" s="399"/>
      <c r="K124" s="382"/>
    </row>
    <row r="125" spans="1:11" s="383" customFormat="1" ht="12.5">
      <c r="A125" s="408"/>
      <c r="B125" s="407"/>
      <c r="C125" s="408"/>
      <c r="D125" s="1328"/>
      <c r="E125" s="1328"/>
      <c r="F125" s="1328"/>
      <c r="G125" s="1328"/>
      <c r="H125" s="1328"/>
      <c r="I125" s="1328"/>
      <c r="J125" s="399"/>
      <c r="K125" s="382"/>
    </row>
    <row r="126" spans="1:11" s="383" customFormat="1" ht="12.5">
      <c r="A126" s="408"/>
      <c r="B126" s="407"/>
      <c r="C126" s="408"/>
      <c r="D126" s="1328"/>
      <c r="E126" s="1328"/>
      <c r="F126" s="1328"/>
      <c r="G126" s="1328"/>
      <c r="H126" s="1328"/>
      <c r="I126" s="1328"/>
      <c r="J126" s="399"/>
      <c r="K126" s="382"/>
    </row>
    <row r="127" spans="1:11" s="383" customFormat="1" ht="12.5">
      <c r="A127" s="408"/>
      <c r="B127" s="407"/>
      <c r="C127" s="408"/>
      <c r="D127" s="409"/>
      <c r="E127" s="408"/>
      <c r="F127" s="408"/>
      <c r="G127" s="408"/>
      <c r="J127" s="399"/>
      <c r="K127" s="382"/>
    </row>
    <row r="128" spans="1:11" s="383" customFormat="1" ht="12.5">
      <c r="A128" s="408"/>
      <c r="B128" s="407"/>
      <c r="C128" s="408"/>
      <c r="D128" s="409"/>
      <c r="E128" s="408"/>
      <c r="F128" s="408"/>
      <c r="G128" s="408"/>
      <c r="J128" s="399"/>
      <c r="K128" s="382"/>
    </row>
    <row r="129" spans="1:11" s="383" customFormat="1" ht="12.5">
      <c r="A129" s="408"/>
      <c r="B129" s="407"/>
      <c r="C129" s="408"/>
      <c r="D129" s="408"/>
      <c r="E129" s="408"/>
      <c r="F129" s="408"/>
      <c r="G129" s="408"/>
      <c r="J129" s="399"/>
      <c r="K129" s="382"/>
    </row>
    <row r="130" spans="1:11" s="383" customFormat="1" ht="12.5">
      <c r="A130" s="408"/>
      <c r="B130" s="407"/>
      <c r="C130" s="408"/>
      <c r="D130" s="408"/>
      <c r="E130" s="408"/>
      <c r="F130" s="408"/>
      <c r="G130" s="408"/>
      <c r="J130" s="399"/>
      <c r="K130" s="382"/>
    </row>
    <row r="131" spans="1:11" s="383" customFormat="1" ht="12.5">
      <c r="A131" s="408"/>
      <c r="B131" s="410"/>
      <c r="C131" s="408"/>
      <c r="D131" s="408"/>
      <c r="E131" s="408"/>
      <c r="F131" s="408"/>
      <c r="G131" s="408"/>
      <c r="J131" s="399"/>
      <c r="K131" s="382"/>
    </row>
    <row r="132" spans="1:11" s="383" customFormat="1" ht="13">
      <c r="A132" s="411"/>
      <c r="B132" s="412"/>
      <c r="C132" s="408"/>
      <c r="D132" s="413"/>
      <c r="E132" s="408"/>
      <c r="F132" s="408"/>
      <c r="G132" s="408"/>
      <c r="J132" s="399"/>
      <c r="K132" s="382"/>
    </row>
    <row r="133" spans="1:11" s="383" customFormat="1" ht="12.5">
      <c r="A133" s="414"/>
      <c r="B133" s="408"/>
      <c r="C133" s="408"/>
      <c r="D133" s="408"/>
      <c r="E133" s="408"/>
      <c r="F133" s="408"/>
      <c r="G133" s="408"/>
      <c r="J133" s="399"/>
      <c r="K133" s="382"/>
    </row>
    <row r="134" spans="1:11" s="383" customFormat="1" ht="12.5">
      <c r="A134" s="414"/>
      <c r="B134" s="408"/>
      <c r="C134" s="408"/>
      <c r="D134" s="408"/>
      <c r="E134" s="408"/>
      <c r="F134" s="408"/>
      <c r="G134" s="408"/>
      <c r="J134" s="399"/>
      <c r="K134" s="382"/>
    </row>
    <row r="135" spans="1:11" s="383" customFormat="1" ht="12.5">
      <c r="A135" s="415"/>
      <c r="B135" s="408"/>
      <c r="C135" s="408"/>
      <c r="D135" s="408"/>
      <c r="E135" s="408"/>
      <c r="F135" s="408"/>
      <c r="G135" s="408"/>
      <c r="J135" s="399"/>
      <c r="K135" s="382"/>
    </row>
    <row r="136" spans="1:11" s="383" customFormat="1" ht="13">
      <c r="A136" s="400"/>
      <c r="B136" s="408"/>
      <c r="C136" s="408"/>
      <c r="D136" s="408"/>
      <c r="E136" s="408"/>
      <c r="F136" s="408"/>
      <c r="G136" s="408"/>
      <c r="J136" s="399"/>
      <c r="K136" s="382"/>
    </row>
    <row r="137" spans="1:11" ht="12.5">
      <c r="A137" s="414"/>
      <c r="B137" s="408"/>
      <c r="C137" s="408"/>
      <c r="D137" s="408"/>
      <c r="E137" s="408"/>
      <c r="F137" s="408"/>
      <c r="G137" s="408"/>
    </row>
    <row r="138" spans="1:11" ht="12" customHeight="1">
      <c r="A138" s="414"/>
      <c r="B138" s="408"/>
      <c r="C138" s="408"/>
      <c r="D138" s="408"/>
      <c r="E138" s="408"/>
      <c r="F138" s="408"/>
      <c r="G138" s="408"/>
    </row>
    <row r="139" spans="1:11" ht="12" customHeight="1">
      <c r="A139" s="1872"/>
      <c r="B139" s="1328"/>
      <c r="C139" s="1328"/>
      <c r="D139" s="379"/>
      <c r="E139" s="408"/>
      <c r="F139" s="408"/>
      <c r="G139" s="408"/>
    </row>
    <row r="140" spans="1:11" ht="12" customHeight="1">
      <c r="A140" s="1286"/>
      <c r="B140" s="1286"/>
      <c r="C140" s="1286"/>
      <c r="D140" s="379"/>
      <c r="E140" s="408"/>
      <c r="F140" s="408"/>
      <c r="G140" s="408"/>
    </row>
    <row r="141" spans="1:11" ht="12" customHeight="1">
      <c r="A141" s="414"/>
      <c r="B141" s="408"/>
      <c r="C141" s="408"/>
      <c r="D141" s="379"/>
      <c r="E141" s="408"/>
      <c r="F141" s="408"/>
      <c r="G141" s="408"/>
      <c r="H141" s="417"/>
      <c r="I141" s="417"/>
    </row>
    <row r="142" spans="1:11" ht="12" customHeight="1">
      <c r="A142" s="419"/>
      <c r="B142" s="379"/>
      <c r="C142" s="379"/>
      <c r="D142" s="379"/>
      <c r="E142" s="408"/>
      <c r="F142" s="408"/>
      <c r="G142" s="408"/>
      <c r="H142" s="417"/>
      <c r="I142" s="417"/>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7" priority="5" stopIfTrue="1" operator="notEqual">
      <formula>$C3+$D3</formula>
    </cfRule>
  </conditionalFormatting>
  <conditionalFormatting sqref="E3:E14 E16:E107">
    <cfRule type="cellIs" dxfId="36" priority="4" stopIfTrue="1" operator="notEqual">
      <formula>$F3+$G3</formula>
    </cfRule>
  </conditionalFormatting>
  <conditionalFormatting sqref="H3:H14 H16:H107">
    <cfRule type="cellIs" dxfId="35" priority="3" stopIfTrue="1" operator="notEqual">
      <formula>$I3+$J3</formula>
    </cfRule>
  </conditionalFormatting>
  <conditionalFormatting sqref="E15">
    <cfRule type="cellIs" dxfId="34" priority="2" stopIfTrue="1" operator="notEqual">
      <formula>$F15+$G15</formula>
    </cfRule>
  </conditionalFormatting>
  <conditionalFormatting sqref="H15">
    <cfRule type="cellIs" dxfId="33"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15"/>
  <sheetViews>
    <sheetView showGridLines="0" zoomScaleNormal="100" workbookViewId="0">
      <selection activeCell="G74" sqref="G74"/>
    </sheetView>
  </sheetViews>
  <sheetFormatPr defaultColWidth="9.08984375" defaultRowHeight="14"/>
  <cols>
    <col min="1" max="1" width="2.453125" style="1070" customWidth="1"/>
    <col min="2" max="9" width="14.6328125" style="1070" customWidth="1"/>
    <col min="10" max="10" width="3.36328125" style="1070" customWidth="1"/>
    <col min="11" max="11" width="11.6328125" style="1071" customWidth="1"/>
    <col min="12" max="12" width="10.6328125" style="1070" customWidth="1"/>
    <col min="13" max="14" width="10.453125" style="1070" customWidth="1"/>
    <col min="15" max="15" width="10.6328125" style="1070" customWidth="1"/>
    <col min="16" max="16384" width="9.08984375" style="1070"/>
  </cols>
  <sheetData>
    <row r="1" spans="1:14" ht="30" customHeight="1">
      <c r="A1" s="1890" t="s">
        <v>1763</v>
      </c>
      <c r="B1" s="1890"/>
      <c r="C1" s="1890"/>
      <c r="D1" s="1890"/>
      <c r="E1" s="1890"/>
      <c r="F1" s="1890"/>
      <c r="G1" s="1890"/>
      <c r="H1" s="1890"/>
      <c r="I1" s="1890"/>
      <c r="J1" s="1890"/>
    </row>
    <row r="2" spans="1:14" ht="15" customHeight="1" thickBot="1">
      <c r="A2" s="1072"/>
      <c r="B2" s="1072"/>
      <c r="I2" s="1073"/>
      <c r="K2" s="1074"/>
    </row>
    <row r="3" spans="1:14" s="1077" customFormat="1" ht="20" customHeight="1">
      <c r="A3" s="1131"/>
      <c r="B3" s="1132"/>
      <c r="C3" s="1133"/>
      <c r="D3" s="1138"/>
      <c r="E3" s="1133"/>
      <c r="F3" s="1134" t="s">
        <v>2384</v>
      </c>
      <c r="G3" s="1133"/>
      <c r="H3" s="1135">
        <f>E16</f>
        <v>59475589.999999993</v>
      </c>
      <c r="I3" s="1136"/>
    </row>
    <row r="4" spans="1:14" s="1077" customFormat="1" ht="20" customHeight="1">
      <c r="B4" s="1125"/>
      <c r="D4" s="1139"/>
      <c r="F4" s="1123" t="s">
        <v>2386</v>
      </c>
      <c r="G4" s="1122" t="s">
        <v>2385</v>
      </c>
      <c r="H4" s="1124">
        <f>I16</f>
        <v>48958961.029411763</v>
      </c>
      <c r="I4" s="1126"/>
      <c r="K4" s="1081"/>
    </row>
    <row r="5" spans="1:14" s="1077" customFormat="1" ht="20" customHeight="1" thickBot="1">
      <c r="B5" s="1127"/>
      <c r="C5" s="1128"/>
      <c r="D5" s="1140"/>
      <c r="E5" s="1129"/>
      <c r="F5" s="1140" t="s">
        <v>2326</v>
      </c>
      <c r="G5" s="1141"/>
      <c r="H5" s="1137">
        <f>H3/H4</f>
        <v>1.2148049866554651</v>
      </c>
      <c r="I5" s="1130"/>
      <c r="K5" s="1081"/>
    </row>
    <row r="6" spans="1:14" s="1077" customFormat="1" ht="15" customHeight="1">
      <c r="B6" s="1078"/>
      <c r="C6" s="1079"/>
      <c r="F6" s="1080"/>
      <c r="K6" s="1081"/>
    </row>
    <row r="7" spans="1:14" s="1077" customFormat="1" ht="15" customHeight="1">
      <c r="E7" s="1082"/>
      <c r="F7" s="1080"/>
      <c r="K7" s="1083"/>
    </row>
    <row r="8" spans="1:14" s="1077" customFormat="1" ht="15" customHeight="1">
      <c r="A8" s="1084"/>
      <c r="B8" s="1892" t="s">
        <v>2324</v>
      </c>
      <c r="C8" s="1893"/>
      <c r="D8" s="1893"/>
      <c r="E8" s="1894"/>
      <c r="G8" s="1895" t="s">
        <v>2325</v>
      </c>
      <c r="H8" s="1896"/>
      <c r="I8" s="1897"/>
      <c r="K8" s="1083"/>
    </row>
    <row r="9" spans="1:14" ht="15" customHeight="1">
      <c r="A9" s="1072"/>
      <c r="B9" s="1891" t="s">
        <v>2363</v>
      </c>
      <c r="C9" s="1891"/>
      <c r="D9" s="1891"/>
      <c r="E9" s="1085">
        <f>G31</f>
        <v>8572500</v>
      </c>
      <c r="G9" s="1900" t="s">
        <v>2361</v>
      </c>
      <c r="H9" s="1900"/>
      <c r="I9" s="1086">
        <f>Application!AM550</f>
        <v>67797000</v>
      </c>
      <c r="K9" s="1087"/>
      <c r="M9" s="1088"/>
      <c r="N9" s="1088"/>
    </row>
    <row r="10" spans="1:14" ht="15" customHeight="1" thickBot="1">
      <c r="A10" s="1072"/>
      <c r="B10" s="1891" t="s">
        <v>2364</v>
      </c>
      <c r="C10" s="1891"/>
      <c r="D10" s="1891"/>
      <c r="E10" s="1086">
        <f>G40</f>
        <v>33978239.999999993</v>
      </c>
      <c r="G10" s="1900" t="s">
        <v>2327</v>
      </c>
      <c r="H10" s="1900"/>
      <c r="I10" s="1173">
        <f>'Basis &amp; Credits'!AB77</f>
        <v>0</v>
      </c>
      <c r="M10" s="1088"/>
      <c r="N10" s="1088"/>
    </row>
    <row r="11" spans="1:14" ht="15" customHeight="1">
      <c r="A11" s="1089"/>
      <c r="B11" s="1891" t="s">
        <v>2365</v>
      </c>
      <c r="C11" s="1891"/>
      <c r="D11" s="1891"/>
      <c r="E11" s="1086">
        <f>G49</f>
        <v>80000</v>
      </c>
      <c r="G11" s="1900" t="s">
        <v>2376</v>
      </c>
      <c r="H11" s="1900"/>
      <c r="I11" s="1172">
        <f>I9+I10</f>
        <v>67797000</v>
      </c>
      <c r="M11" s="1088"/>
      <c r="N11" s="1088"/>
    </row>
    <row r="12" spans="1:14" ht="15" customHeight="1">
      <c r="A12" s="1075"/>
      <c r="B12" s="1891" t="s">
        <v>2366</v>
      </c>
      <c r="C12" s="1891"/>
      <c r="D12" s="1891"/>
      <c r="E12" s="1086">
        <f>G58</f>
        <v>900000</v>
      </c>
      <c r="G12" s="1174" t="s">
        <v>2401</v>
      </c>
      <c r="H12" s="1175"/>
      <c r="M12" s="1088"/>
      <c r="N12" s="1088"/>
    </row>
    <row r="13" spans="1:14" ht="15" customHeight="1">
      <c r="A13" s="1072"/>
      <c r="B13" s="1891" t="s">
        <v>2367</v>
      </c>
      <c r="C13" s="1891"/>
      <c r="D13" s="1891"/>
      <c r="E13" s="1091">
        <f>G83</f>
        <v>12515850</v>
      </c>
      <c r="G13" s="1901" t="s">
        <v>140</v>
      </c>
      <c r="H13" s="1901"/>
      <c r="I13" s="1090">
        <f>15%*(Application!AJ963&gt;0)</f>
        <v>0.15</v>
      </c>
      <c r="M13" s="1088"/>
      <c r="N13" s="1088"/>
    </row>
    <row r="14" spans="1:14" ht="15" customHeight="1">
      <c r="A14" s="1072"/>
      <c r="B14" s="1891" t="s">
        <v>2368</v>
      </c>
      <c r="C14" s="1891"/>
      <c r="D14" s="1891"/>
      <c r="E14" s="1086">
        <f>IF(G96&gt;G106,G96,0)</f>
        <v>0</v>
      </c>
      <c r="G14" s="1170" t="s">
        <v>2377</v>
      </c>
      <c r="H14" s="1170"/>
      <c r="I14" s="1090">
        <f>IF(Application!AJ997&gt;0,10%,IF(Application!AJ1001&gt;0,5%,0))</f>
        <v>0</v>
      </c>
      <c r="M14" s="1088"/>
      <c r="N14" s="1088"/>
    </row>
    <row r="15" spans="1:14" ht="15" customHeight="1" thickBot="1">
      <c r="A15" s="1072"/>
      <c r="B15" s="1898" t="s">
        <v>2387</v>
      </c>
      <c r="C15" s="1898"/>
      <c r="D15" s="1898"/>
      <c r="E15" s="1142">
        <f>IF(E14&gt;0,0,G106)</f>
        <v>3429000</v>
      </c>
      <c r="G15" s="1904" t="s">
        <v>2378</v>
      </c>
      <c r="H15" s="1905"/>
      <c r="I15" s="1144">
        <f>G114</f>
        <v>0.127859477124183</v>
      </c>
      <c r="M15" s="1088"/>
      <c r="N15" s="1088"/>
    </row>
    <row r="16" spans="1:14" ht="15" customHeight="1">
      <c r="A16" s="1072"/>
      <c r="B16" s="1899" t="s">
        <v>2323</v>
      </c>
      <c r="C16" s="1899"/>
      <c r="D16" s="1899"/>
      <c r="E16" s="1143">
        <f>SUM(E9:E15)</f>
        <v>59475589.999999993</v>
      </c>
      <c r="G16" s="1171" t="s">
        <v>2362</v>
      </c>
      <c r="H16" s="1171"/>
      <c r="I16" s="1145">
        <f>I11-((I11*I13)+(I11*I14)+(I11*I15))</f>
        <v>48958961.029411763</v>
      </c>
    </row>
    <row r="17" spans="1:21" ht="15" customHeight="1">
      <c r="A17" s="1072"/>
      <c r="B17" s="1072"/>
      <c r="E17" s="1092"/>
      <c r="H17" s="1093"/>
      <c r="I17" s="1094"/>
    </row>
    <row r="18" spans="1:21" ht="15" customHeight="1">
      <c r="B18" s="1095" t="str">
        <f>B9</f>
        <v>A. Unit Production Benefit</v>
      </c>
      <c r="C18" s="1096"/>
      <c r="D18" s="1096"/>
      <c r="E18" s="1096"/>
      <c r="F18" s="1096"/>
      <c r="G18" s="1096"/>
      <c r="H18" s="1096"/>
      <c r="I18" s="1097"/>
      <c r="M18" s="1092">
        <f>SUM(Cdlac[Quantity])</f>
        <v>135</v>
      </c>
      <c r="N18" s="1092"/>
      <c r="P18" s="1115" t="s">
        <v>592</v>
      </c>
      <c r="Q18" s="1070">
        <f>MATCH(Application!T189,Application!BP656:BP713,0)</f>
        <v>41</v>
      </c>
      <c r="T18" s="1092">
        <f>SUM(Cdlac[Population])</f>
        <v>8</v>
      </c>
    </row>
    <row r="19" spans="1:21" ht="15" customHeight="1">
      <c r="A19" s="1072"/>
      <c r="B19" s="1072"/>
      <c r="I19" s="1098"/>
      <c r="L19" s="1070" t="s">
        <v>2319</v>
      </c>
      <c r="M19" s="1070" t="s">
        <v>2318</v>
      </c>
      <c r="N19" s="1070" t="s">
        <v>2624</v>
      </c>
      <c r="O19" s="1070" t="s">
        <v>2332</v>
      </c>
      <c r="P19" s="1070" t="s">
        <v>2333</v>
      </c>
      <c r="Q19" s="1070" t="s">
        <v>2320</v>
      </c>
      <c r="R19" s="1070" t="s">
        <v>2321</v>
      </c>
      <c r="S19" s="1070" t="s">
        <v>2334</v>
      </c>
      <c r="T19" s="1070" t="s">
        <v>2340</v>
      </c>
      <c r="U19" s="1070" t="s">
        <v>387</v>
      </c>
    </row>
    <row r="20" spans="1:21" ht="15" customHeight="1">
      <c r="A20" s="1075"/>
      <c r="C20" s="1902" t="s">
        <v>2380</v>
      </c>
      <c r="D20" s="1902" t="s">
        <v>2381</v>
      </c>
      <c r="E20" s="1902" t="s">
        <v>2382</v>
      </c>
      <c r="F20" s="1902" t="s">
        <v>2383</v>
      </c>
      <c r="G20" s="1902" t="s">
        <v>2379</v>
      </c>
      <c r="H20" s="1099"/>
      <c r="I20" s="1098"/>
      <c r="L20" s="1070">
        <f>IFERROR(MIN(4,MATCH(Application!B714,UnitSizes,0)-1),"")</f>
        <v>0</v>
      </c>
      <c r="M20" s="1092">
        <f>Application!G714</f>
        <v>4</v>
      </c>
      <c r="N20" s="1092">
        <f>'Subsidy Contract Calculation'!B4</f>
        <v>2</v>
      </c>
      <c r="O20" s="1100">
        <f>Application!AC714</f>
        <v>0.3</v>
      </c>
      <c r="P20" s="1100">
        <f>IF(Cdlac[[#This Row],[Quantity]]&gt;0,IF(Cdlac[[#This Row],[Federal]],30%,IF($G$36,40%,Cdlac[[#This Row],[iAMI]])),"")</f>
        <v>0.3</v>
      </c>
      <c r="Q20" s="1092" cm="1">
        <f t="array" ref="Q20">IF(Cdlac[[#This Row],[Quantity]]&gt;0,INDEX(TcacRents,$Q$18,Cdlac[[#This Row],[Bedrooms]]+1)*Cdlac[[#This Row],[AMI]],"")</f>
        <v>978.59999999999991</v>
      </c>
      <c r="R20" s="1092" cm="1">
        <f t="array" ref="R20">IF(Cdlac[[#This Row],[Quantity]]&gt;0,INDEX(HudFmrs,$Q$18,Cdlac[[#This Row],[Bedrooms]]+1),"")</f>
        <v>2115</v>
      </c>
      <c r="S20" s="1092">
        <f>IF(Cdlac[[#This Row],[Quantity]]&gt;0,MAX(0,Cdlac[[#This Row],[Fair Market Rent]]-Cdlac[[#This Row],[Restricted Rent]]),"")</f>
        <v>1136.4000000000001</v>
      </c>
      <c r="T20" s="1070">
        <f>IF(Cdlac[[#This Row],[Quantity]]&gt;0,AND(Application!AK714&lt;&gt;"N/A",Application!AK714&lt;&gt;"")*Cdlac[[#This Row],[Quantity]],"")</f>
        <v>4</v>
      </c>
      <c r="U20" s="1070" t="b">
        <f>AND('Subsidy Contract Calculation'!F4&gt;0,'Subsidy Contract Calculation'!C4="Federal",Cdlac[[#This Row],[Quantity]]&gt;0)</f>
        <v>1</v>
      </c>
    </row>
    <row r="21" spans="1:21" ht="15" customHeight="1">
      <c r="A21" s="1075"/>
      <c r="C21" s="1903"/>
      <c r="D21" s="1903"/>
      <c r="E21" s="1903"/>
      <c r="F21" s="1903"/>
      <c r="G21" s="1903"/>
      <c r="H21" s="1099"/>
      <c r="I21" s="1098"/>
      <c r="L21" s="1070">
        <f>IFERROR(MIN(4,MATCH(Application!B715,UnitSizes,0)-1),"")</f>
        <v>1</v>
      </c>
      <c r="M21" s="1092">
        <f>Application!G715</f>
        <v>4</v>
      </c>
      <c r="N21" s="1092">
        <f>'Subsidy Contract Calculation'!B5</f>
        <v>2</v>
      </c>
      <c r="O21" s="1100">
        <f>Application!AC715</f>
        <v>0.3</v>
      </c>
      <c r="P21" s="1100">
        <f>IF(Cdlac[[#This Row],[Quantity]]&gt;0,IF(Cdlac[[#This Row],[Federal]],30%,IF($G$36,40%,Cdlac[[#This Row],[iAMI]])),"")</f>
        <v>0.3</v>
      </c>
      <c r="Q21" s="1092" cm="1">
        <f t="array" ref="Q21">IF(Cdlac[[#This Row],[Quantity]]&gt;0,INDEX(TcacRents,$Q$18,Cdlac[[#This Row],[Bedrooms]]+1)*Cdlac[[#This Row],[AMI]],"")</f>
        <v>1048.8</v>
      </c>
      <c r="R21" s="1092" cm="1">
        <f t="array" ref="R21">IF(Cdlac[[#This Row],[Quantity]]&gt;0,INDEX(HudFmrs,$Q$18,Cdlac[[#This Row],[Bedrooms]]+1),"")</f>
        <v>2631</v>
      </c>
      <c r="S21" s="1092">
        <f>IF(Cdlac[[#This Row],[Quantity]]&gt;0,MAX(0,Cdlac[[#This Row],[Fair Market Rent]]-Cdlac[[#This Row],[Restricted Rent]]),"")</f>
        <v>1582.2</v>
      </c>
      <c r="T21" s="1070">
        <f>IF(Cdlac[[#This Row],[Quantity]]&gt;0,AND(Application!AK715&lt;&gt;"N/A",Application!AK715&lt;&gt;"")*Cdlac[[#This Row],[Quantity]],"")</f>
        <v>4</v>
      </c>
      <c r="U21" s="1070" t="b">
        <f>AND('Subsidy Contract Calculation'!F5&gt;0,'Subsidy Contract Calculation'!C5="Federal",Cdlac[[#This Row],[Quantity]]&gt;0)</f>
        <v>1</v>
      </c>
    </row>
    <row r="22" spans="1:21" ht="15" customHeight="1">
      <c r="C22" s="1101">
        <v>0</v>
      </c>
      <c r="D22" s="1102">
        <v>0.9</v>
      </c>
      <c r="E22" s="1101">
        <f>SUMIFS(Cdlac[Quantity],Cdlac[Bedrooms],C22)</f>
        <v>8</v>
      </c>
      <c r="F22" s="1101">
        <f>E22</f>
        <v>8</v>
      </c>
      <c r="G22" s="1101">
        <f>D22*F22</f>
        <v>7.2</v>
      </c>
      <c r="L22" s="1070">
        <f>IFERROR(MIN(4,MATCH(Application!B716,UnitSizes,0)-1),"")</f>
        <v>1</v>
      </c>
      <c r="M22" s="1092">
        <f>Application!G716</f>
        <v>2</v>
      </c>
      <c r="N22" s="1092">
        <f>'Subsidy Contract Calculation'!B6</f>
        <v>2</v>
      </c>
      <c r="O22" s="1100">
        <f>Application!AC716</f>
        <v>0.3</v>
      </c>
      <c r="P22" s="1100">
        <f>IF(Cdlac[[#This Row],[Quantity]]&gt;0,IF(Cdlac[[#This Row],[Federal]],30%,IF($G$36,40%,Cdlac[[#This Row],[iAMI]])),"")</f>
        <v>0.3</v>
      </c>
      <c r="Q22" s="1092" cm="1">
        <f t="array" ref="Q22">IF(Cdlac[[#This Row],[Quantity]]&gt;0,INDEX(TcacRents,$Q$18,Cdlac[[#This Row],[Bedrooms]]+1)*Cdlac[[#This Row],[AMI]],"")</f>
        <v>1048.8</v>
      </c>
      <c r="R22" s="1092" cm="1">
        <f t="array" ref="R22">IF(Cdlac[[#This Row],[Quantity]]&gt;0,INDEX(HudFmrs,$Q$18,Cdlac[[#This Row],[Bedrooms]]+1),"")</f>
        <v>2631</v>
      </c>
      <c r="S22" s="1092">
        <f>IF(Cdlac[[#This Row],[Quantity]]&gt;0,MAX(0,Cdlac[[#This Row],[Fair Market Rent]]-Cdlac[[#This Row],[Restricted Rent]]),"")</f>
        <v>1582.2</v>
      </c>
      <c r="T22" s="1070">
        <f>IF(Cdlac[[#This Row],[Quantity]]&gt;0,AND(Application!AK716&lt;&gt;"N/A",Application!AK716&lt;&gt;"")*Cdlac[[#This Row],[Quantity]],"")</f>
        <v>0</v>
      </c>
      <c r="U22" s="1070" t="b">
        <f>AND('Subsidy Contract Calculation'!F6&gt;0,'Subsidy Contract Calculation'!C6="Federal",Cdlac[[#This Row],[Quantity]]&gt;0)</f>
        <v>0</v>
      </c>
    </row>
    <row r="23" spans="1:21" ht="15" customHeight="1">
      <c r="C23" s="1101">
        <v>1</v>
      </c>
      <c r="D23" s="1102">
        <v>1</v>
      </c>
      <c r="E23" s="1101">
        <f>SUMIFS(Cdlac[Quantity],Cdlac[Bedrooms],C23)</f>
        <v>19</v>
      </c>
      <c r="F23" s="1101">
        <f>E23</f>
        <v>19</v>
      </c>
      <c r="G23" s="1101">
        <f>D23*F23</f>
        <v>19</v>
      </c>
      <c r="L23" s="1070">
        <f>IFERROR(MIN(4,MATCH(Application!B717,UnitSizes,0)-1),"")</f>
        <v>2</v>
      </c>
      <c r="M23" s="1092">
        <f>Application!G717</f>
        <v>19</v>
      </c>
      <c r="N23" s="1092">
        <f>'Subsidy Contract Calculation'!B7</f>
        <v>19</v>
      </c>
      <c r="O23" s="1100">
        <f>Application!AC717</f>
        <v>0.3</v>
      </c>
      <c r="P23" s="1100">
        <f>IF(Cdlac[[#This Row],[Quantity]]&gt;0,IF(Cdlac[[#This Row],[Federal]],30%,IF($G$36,40%,Cdlac[[#This Row],[iAMI]])),"")</f>
        <v>0.3</v>
      </c>
      <c r="Q23" s="1092" cm="1">
        <f t="array" ref="Q23">IF(Cdlac[[#This Row],[Quantity]]&gt;0,INDEX(TcacRents,$Q$18,Cdlac[[#This Row],[Bedrooms]]+1)*Cdlac[[#This Row],[AMI]],"")</f>
        <v>1258.2</v>
      </c>
      <c r="R23" s="1092" cm="1">
        <f t="array" ref="R23">IF(Cdlac[[#This Row],[Quantity]]&gt;0,INDEX(HudFmrs,$Q$18,Cdlac[[#This Row],[Bedrooms]]+1),"")</f>
        <v>3198</v>
      </c>
      <c r="S23" s="1092">
        <f>IF(Cdlac[[#This Row],[Quantity]]&gt;0,MAX(0,Cdlac[[#This Row],[Fair Market Rent]]-Cdlac[[#This Row],[Restricted Rent]]),"")</f>
        <v>1939.8</v>
      </c>
      <c r="T23" s="1070">
        <f>IF(Cdlac[[#This Row],[Quantity]]&gt;0,AND(Application!AK717&lt;&gt;"N/A",Application!AK717&lt;&gt;"")*Cdlac[[#This Row],[Quantity]],"")</f>
        <v>0</v>
      </c>
      <c r="U23" s="1070" t="b">
        <f>AND('Subsidy Contract Calculation'!F7&gt;0,'Subsidy Contract Calculation'!C7="Federal",Cdlac[[#This Row],[Quantity]]&gt;0)</f>
        <v>0</v>
      </c>
    </row>
    <row r="24" spans="1:21" ht="15" customHeight="1">
      <c r="A24" s="1103"/>
      <c r="C24" s="1104">
        <v>2</v>
      </c>
      <c r="D24" s="1102">
        <v>1.25</v>
      </c>
      <c r="E24" s="1101">
        <f>SUMIFS(Cdlac[Quantity],Cdlac[Bedrooms],C24)</f>
        <v>74</v>
      </c>
      <c r="F24" s="1104">
        <f>SUM(E24:E26)-SUM(F25:F26)</f>
        <v>74</v>
      </c>
      <c r="G24" s="1101">
        <f>D24*F24</f>
        <v>92.5</v>
      </c>
      <c r="H24" s="1103"/>
      <c r="I24" s="1103"/>
      <c r="L24" s="1070">
        <f>IFERROR(MIN(4,MATCH(Application!B718,UnitSizes,0)-1),"")</f>
        <v>2</v>
      </c>
      <c r="M24" s="1092">
        <f>Application!G718</f>
        <v>4</v>
      </c>
      <c r="N24" s="1092">
        <f>'Subsidy Contract Calculation'!B8</f>
        <v>4</v>
      </c>
      <c r="O24" s="1100">
        <f>Application!AC718</f>
        <v>0.3</v>
      </c>
      <c r="P24" s="1100">
        <f>IF(Cdlac[[#This Row],[Quantity]]&gt;0,IF(Cdlac[[#This Row],[Federal]],30%,IF($G$36,40%,Cdlac[[#This Row],[iAMI]])),"")</f>
        <v>0.3</v>
      </c>
      <c r="Q24" s="1092" cm="1">
        <f t="array" ref="Q24">IF(Cdlac[[#This Row],[Quantity]]&gt;0,INDEX(TcacRents,$Q$18,Cdlac[[#This Row],[Bedrooms]]+1)*Cdlac[[#This Row],[AMI]],"")</f>
        <v>1258.2</v>
      </c>
      <c r="R24" s="1092" cm="1">
        <f t="array" ref="R24">IF(Cdlac[[#This Row],[Quantity]]&gt;0,INDEX(HudFmrs,$Q$18,Cdlac[[#This Row],[Bedrooms]]+1),"")</f>
        <v>3198</v>
      </c>
      <c r="S24" s="1092">
        <f>IF(Cdlac[[#This Row],[Quantity]]&gt;0,MAX(0,Cdlac[[#This Row],[Fair Market Rent]]-Cdlac[[#This Row],[Restricted Rent]]),"")</f>
        <v>1939.8</v>
      </c>
      <c r="T24" s="1070">
        <f>IF(Cdlac[[#This Row],[Quantity]]&gt;0,AND(Application!AK718&lt;&gt;"N/A",Application!AK718&lt;&gt;"")*Cdlac[[#This Row],[Quantity]],"")</f>
        <v>0</v>
      </c>
      <c r="U24" s="1070" t="b">
        <f>AND('Subsidy Contract Calculation'!F8&gt;0,'Subsidy Contract Calculation'!C8="Federal",Cdlac[[#This Row],[Quantity]]&gt;0)</f>
        <v>1</v>
      </c>
    </row>
    <row r="25" spans="1:21" ht="15" customHeight="1">
      <c r="A25" s="1103"/>
      <c r="C25" s="1104">
        <v>3</v>
      </c>
      <c r="D25" s="1102">
        <f>1.5+0.25*0</f>
        <v>1.5</v>
      </c>
      <c r="E25" s="1101">
        <f>SUMIFS(Cdlac[Quantity],Cdlac[Bedrooms],C25)</f>
        <v>27</v>
      </c>
      <c r="F25" s="1104">
        <f>MIN(E25,ROUNDDOWN(E27*30%,0))</f>
        <v>27</v>
      </c>
      <c r="G25" s="1101">
        <f>D25*F25</f>
        <v>40.5</v>
      </c>
      <c r="H25" s="1103"/>
      <c r="I25" s="1103"/>
      <c r="L25" s="1070">
        <f>IFERROR(MIN(4,MATCH(Application!B719,UnitSizes,0)-1),"")</f>
        <v>3</v>
      </c>
      <c r="M25" s="1092">
        <f>Application!G719</f>
        <v>7</v>
      </c>
      <c r="N25" s="1092">
        <f>'Subsidy Contract Calculation'!B9</f>
        <v>7</v>
      </c>
      <c r="O25" s="1100">
        <f>Application!AC719</f>
        <v>0.3</v>
      </c>
      <c r="P25" s="1100">
        <f>IF(Cdlac[[#This Row],[Quantity]]&gt;0,IF(Cdlac[[#This Row],[Federal]],30%,IF($G$36,40%,Cdlac[[#This Row],[iAMI]])),"")</f>
        <v>0.3</v>
      </c>
      <c r="Q25" s="1092" cm="1">
        <f t="array" ref="Q25">IF(Cdlac[[#This Row],[Quantity]]&gt;0,INDEX(TcacRents,$Q$18,Cdlac[[#This Row],[Bedrooms]]+1)*Cdlac[[#This Row],[AMI]],"")</f>
        <v>1453.8</v>
      </c>
      <c r="R25" s="1092" cm="1">
        <f t="array" ref="R25">IF(Cdlac[[#This Row],[Quantity]]&gt;0,INDEX(HudFmrs,$Q$18,Cdlac[[#This Row],[Bedrooms]]+1),"")</f>
        <v>4111</v>
      </c>
      <c r="S25" s="1092">
        <f>IF(Cdlac[[#This Row],[Quantity]]&gt;0,MAX(0,Cdlac[[#This Row],[Fair Market Rent]]-Cdlac[[#This Row],[Restricted Rent]]),"")</f>
        <v>2657.2</v>
      </c>
      <c r="T25" s="1070">
        <f>IF(Cdlac[[#This Row],[Quantity]]&gt;0,AND(Application!AK719&lt;&gt;"N/A",Application!AK719&lt;&gt;"")*Cdlac[[#This Row],[Quantity]],"")</f>
        <v>0</v>
      </c>
      <c r="U25" s="1070" t="b">
        <f>AND('Subsidy Contract Calculation'!F9&gt;0,'Subsidy Contract Calculation'!C9="Federal",Cdlac[[#This Row],[Quantity]]&gt;0)</f>
        <v>0</v>
      </c>
    </row>
    <row r="26" spans="1:21" ht="15" customHeight="1" thickBot="1">
      <c r="A26" s="1103"/>
      <c r="C26" s="1117">
        <v>4</v>
      </c>
      <c r="D26" s="1118">
        <f>1.75+0.25*0</f>
        <v>1.75</v>
      </c>
      <c r="E26" s="1119">
        <f>SUMIFS(Cdlac[Quantity],Cdlac[Bedrooms],C26)</f>
        <v>7</v>
      </c>
      <c r="F26" s="1117">
        <f>MIN(E26,ROUNDDOWN(E27*10%,0))</f>
        <v>7</v>
      </c>
      <c r="G26" s="1119">
        <f>D26*F26</f>
        <v>12.25</v>
      </c>
      <c r="H26" s="1103"/>
      <c r="I26" s="1103"/>
      <c r="L26" s="1070">
        <f>IFERROR(MIN(4,MATCH(Application!B720,UnitSizes,0)-1),"")</f>
        <v>3</v>
      </c>
      <c r="M26" s="1092">
        <f>Application!G720</f>
        <v>2</v>
      </c>
      <c r="N26" s="1092">
        <f>'Subsidy Contract Calculation'!B10</f>
        <v>2</v>
      </c>
      <c r="O26" s="1100">
        <f>Application!AC720</f>
        <v>0.3</v>
      </c>
      <c r="P26" s="1100">
        <f>IF(Cdlac[[#This Row],[Quantity]]&gt;0,IF(Cdlac[[#This Row],[Federal]],30%,IF($G$36,40%,Cdlac[[#This Row],[iAMI]])),"")</f>
        <v>0.3</v>
      </c>
      <c r="Q26" s="1092" cm="1">
        <f t="array" ref="Q26">IF(Cdlac[[#This Row],[Quantity]]&gt;0,INDEX(TcacRents,$Q$18,Cdlac[[#This Row],[Bedrooms]]+1)*Cdlac[[#This Row],[AMI]],"")</f>
        <v>1453.8</v>
      </c>
      <c r="R26" s="1092" cm="1">
        <f t="array" ref="R26">IF(Cdlac[[#This Row],[Quantity]]&gt;0,INDEX(HudFmrs,$Q$18,Cdlac[[#This Row],[Bedrooms]]+1),"")</f>
        <v>4111</v>
      </c>
      <c r="S26" s="1092">
        <f>IF(Cdlac[[#This Row],[Quantity]]&gt;0,MAX(0,Cdlac[[#This Row],[Fair Market Rent]]-Cdlac[[#This Row],[Restricted Rent]]),"")</f>
        <v>2657.2</v>
      </c>
      <c r="T26" s="1070">
        <f>IF(Cdlac[[#This Row],[Quantity]]&gt;0,AND(Application!AK720&lt;&gt;"N/A",Application!AK720&lt;&gt;"")*Cdlac[[#This Row],[Quantity]],"")</f>
        <v>0</v>
      </c>
      <c r="U26" s="1070" t="b">
        <f>AND('Subsidy Contract Calculation'!F10&gt;0,'Subsidy Contract Calculation'!C10="Federal",Cdlac[[#This Row],[Quantity]]&gt;0)</f>
        <v>1</v>
      </c>
    </row>
    <row r="27" spans="1:21" ht="15" customHeight="1">
      <c r="A27" s="1103"/>
      <c r="C27" s="1886" t="s">
        <v>1764</v>
      </c>
      <c r="D27" s="1887"/>
      <c r="E27" s="1120">
        <f>SUM(E22:E26)</f>
        <v>135</v>
      </c>
      <c r="F27" s="1120">
        <f>SUM(F22:F26)</f>
        <v>135</v>
      </c>
      <c r="G27" s="1121">
        <f>SUMPRODUCT(D22:D26,F22:F26)</f>
        <v>171.45</v>
      </c>
      <c r="H27" s="1103"/>
      <c r="I27" s="1103"/>
      <c r="L27" s="1070">
        <f>IFERROR(MIN(4,MATCH(Application!B721,UnitSizes,0)-1),"")</f>
        <v>4</v>
      </c>
      <c r="M27" s="1092">
        <f>Application!G721</f>
        <v>1</v>
      </c>
      <c r="N27" s="1092">
        <f>'Subsidy Contract Calculation'!B11</f>
        <v>1</v>
      </c>
      <c r="O27" s="1100">
        <f>Application!AC721</f>
        <v>0.3</v>
      </c>
      <c r="P27" s="1100">
        <f>IF(Cdlac[[#This Row],[Quantity]]&gt;0,IF(Cdlac[[#This Row],[Federal]],30%,IF($G$36,40%,Cdlac[[#This Row],[iAMI]])),"")</f>
        <v>0.3</v>
      </c>
      <c r="Q27" s="1092" cm="1">
        <f t="array" ref="Q27">IF(Cdlac[[#This Row],[Quantity]]&gt;0,INDEX(TcacRents,$Q$18,Cdlac[[#This Row],[Bedrooms]]+1)*Cdlac[[#This Row],[AMI]],"")</f>
        <v>1621.8</v>
      </c>
      <c r="R27" s="1092" cm="1">
        <f t="array" ref="R27">IF(Cdlac[[#This Row],[Quantity]]&gt;0,INDEX(HudFmrs,$Q$18,Cdlac[[#This Row],[Bedrooms]]+1),"")</f>
        <v>4473</v>
      </c>
      <c r="S27" s="1092">
        <f>IF(Cdlac[[#This Row],[Quantity]]&gt;0,MAX(0,Cdlac[[#This Row],[Fair Market Rent]]-Cdlac[[#This Row],[Restricted Rent]]),"")</f>
        <v>2851.2</v>
      </c>
      <c r="T27" s="1070">
        <f>IF(Cdlac[[#This Row],[Quantity]]&gt;0,AND(Application!AK721&lt;&gt;"N/A",Application!AK721&lt;&gt;"")*Cdlac[[#This Row],[Quantity]],"")</f>
        <v>0</v>
      </c>
      <c r="U27" s="1070" t="b">
        <f>AND('Subsidy Contract Calculation'!F11&gt;0,'Subsidy Contract Calculation'!C11="Federal",Cdlac[[#This Row],[Quantity]]&gt;0)</f>
        <v>0</v>
      </c>
    </row>
    <row r="28" spans="1:21" ht="15" customHeight="1">
      <c r="A28" s="1103"/>
      <c r="C28" s="1103"/>
      <c r="D28" s="1103"/>
      <c r="E28" s="1103"/>
      <c r="F28" s="1103"/>
      <c r="G28" s="1103"/>
      <c r="H28" s="1103"/>
      <c r="I28" s="1103"/>
      <c r="L28" s="1070">
        <f>IFERROR(MIN(4,MATCH(Application!B722,UnitSizes,0)-1),"")</f>
        <v>4</v>
      </c>
      <c r="M28" s="1092">
        <f>Application!G722</f>
        <v>2</v>
      </c>
      <c r="N28" s="1092">
        <f>'Subsidy Contract Calculation'!B12</f>
        <v>2</v>
      </c>
      <c r="O28" s="1100">
        <f>Application!AC722</f>
        <v>0.3</v>
      </c>
      <c r="P28" s="1100">
        <f>IF(Cdlac[[#This Row],[Quantity]]&gt;0,IF(Cdlac[[#This Row],[Federal]],30%,IF($G$36,40%,Cdlac[[#This Row],[iAMI]])),"")</f>
        <v>0.3</v>
      </c>
      <c r="Q28" s="1092" cm="1">
        <f t="array" ref="Q28">IF(Cdlac[[#This Row],[Quantity]]&gt;0,INDEX(TcacRents,$Q$18,Cdlac[[#This Row],[Bedrooms]]+1)*Cdlac[[#This Row],[AMI]],"")</f>
        <v>1621.8</v>
      </c>
      <c r="R28" s="1092" cm="1">
        <f t="array" ref="R28">IF(Cdlac[[#This Row],[Quantity]]&gt;0,INDEX(HudFmrs,$Q$18,Cdlac[[#This Row],[Bedrooms]]+1),"")</f>
        <v>4473</v>
      </c>
      <c r="S28" s="1092">
        <f>IF(Cdlac[[#This Row],[Quantity]]&gt;0,MAX(0,Cdlac[[#This Row],[Fair Market Rent]]-Cdlac[[#This Row],[Restricted Rent]]),"")</f>
        <v>2851.2</v>
      </c>
      <c r="T28" s="1070">
        <f>IF(Cdlac[[#This Row],[Quantity]]&gt;0,AND(Application!AK722&lt;&gt;"N/A",Application!AK722&lt;&gt;"")*Cdlac[[#This Row],[Quantity]],"")</f>
        <v>0</v>
      </c>
      <c r="U28" s="1070" t="b">
        <f>AND('Subsidy Contract Calculation'!F12&gt;0,'Subsidy Contract Calculation'!C12="Federal",Cdlac[[#This Row],[Quantity]]&gt;0)</f>
        <v>1</v>
      </c>
    </row>
    <row r="29" spans="1:21" ht="15" customHeight="1">
      <c r="A29" s="1103"/>
      <c r="E29" s="1150" t="s">
        <v>2379</v>
      </c>
      <c r="G29" s="1147">
        <f>G27</f>
        <v>171.45</v>
      </c>
      <c r="H29" s="1103"/>
      <c r="I29" s="1103"/>
      <c r="L29" s="1070">
        <f>IFERROR(MIN(4,MATCH(Application!B723,UnitSizes,0)-1),"")</f>
        <v>0</v>
      </c>
      <c r="M29" s="1092">
        <f>Application!G723</f>
        <v>4</v>
      </c>
      <c r="N29" s="1092">
        <f>'Subsidy Contract Calculation'!B13</f>
        <v>4</v>
      </c>
      <c r="O29" s="1100">
        <f>Application!AC723</f>
        <v>0.4</v>
      </c>
      <c r="P29" s="1100">
        <f>IF(Cdlac[[#This Row],[Quantity]]&gt;0,IF(Cdlac[[#This Row],[Federal]],30%,IF($G$36,40%,Cdlac[[#This Row],[iAMI]])),"")</f>
        <v>0.4</v>
      </c>
      <c r="Q29" s="1092" cm="1">
        <f t="array" ref="Q29">IF(Cdlac[[#This Row],[Quantity]]&gt;0,INDEX(TcacRents,$Q$18,Cdlac[[#This Row],[Bedrooms]]+1)*Cdlac[[#This Row],[AMI]],"")</f>
        <v>1304.8000000000002</v>
      </c>
      <c r="R29" s="1092" cm="1">
        <f t="array" ref="R29">IF(Cdlac[[#This Row],[Quantity]]&gt;0,INDEX(HudFmrs,$Q$18,Cdlac[[#This Row],[Bedrooms]]+1),"")</f>
        <v>2115</v>
      </c>
      <c r="S29" s="1092">
        <f>IF(Cdlac[[#This Row],[Quantity]]&gt;0,MAX(0,Cdlac[[#This Row],[Fair Market Rent]]-Cdlac[[#This Row],[Restricted Rent]]),"")</f>
        <v>810.19999999999982</v>
      </c>
      <c r="T29" s="1070">
        <f>IF(Cdlac[[#This Row],[Quantity]]&gt;0,AND(Application!AK723&lt;&gt;"N/A",Application!AK723&lt;&gt;"")*Cdlac[[#This Row],[Quantity]],"")</f>
        <v>0</v>
      </c>
      <c r="U29" s="1070" t="b">
        <f>AND('Subsidy Contract Calculation'!F13&gt;0,'Subsidy Contract Calculation'!C13="Federal",Cdlac[[#This Row],[Quantity]]&gt;0)</f>
        <v>0</v>
      </c>
    </row>
    <row r="30" spans="1:21" ht="15" customHeight="1">
      <c r="A30" s="1103"/>
      <c r="E30" s="1150" t="s">
        <v>2331</v>
      </c>
      <c r="F30" s="1146" t="s">
        <v>2388</v>
      </c>
      <c r="G30" s="1148">
        <v>50000</v>
      </c>
      <c r="H30" s="1103"/>
      <c r="I30" s="1103"/>
      <c r="L30" s="1070">
        <f>IFERROR(MIN(4,MATCH(Application!B724,UnitSizes,0)-1),"")</f>
        <v>1</v>
      </c>
      <c r="M30" s="1092">
        <f>Application!G724</f>
        <v>6</v>
      </c>
      <c r="N30" s="1092">
        <f>'Subsidy Contract Calculation'!B14</f>
        <v>6</v>
      </c>
      <c r="O30" s="1100">
        <f>Application!AC724</f>
        <v>0.4</v>
      </c>
      <c r="P30" s="1100">
        <f>IF(Cdlac[[#This Row],[Quantity]]&gt;0,IF(Cdlac[[#This Row],[Federal]],30%,IF($G$36,40%,Cdlac[[#This Row],[iAMI]])),"")</f>
        <v>0.4</v>
      </c>
      <c r="Q30" s="1092" cm="1">
        <f t="array" ref="Q30">IF(Cdlac[[#This Row],[Quantity]]&gt;0,INDEX(TcacRents,$Q$18,Cdlac[[#This Row],[Bedrooms]]+1)*Cdlac[[#This Row],[AMI]],"")</f>
        <v>1398.4</v>
      </c>
      <c r="R30" s="1092" cm="1">
        <f t="array" ref="R30">IF(Cdlac[[#This Row],[Quantity]]&gt;0,INDEX(HudFmrs,$Q$18,Cdlac[[#This Row],[Bedrooms]]+1),"")</f>
        <v>2631</v>
      </c>
      <c r="S30" s="1092">
        <f>IF(Cdlac[[#This Row],[Quantity]]&gt;0,MAX(0,Cdlac[[#This Row],[Fair Market Rent]]-Cdlac[[#This Row],[Restricted Rent]]),"")</f>
        <v>1232.5999999999999</v>
      </c>
      <c r="T30" s="1070">
        <f>IF(Cdlac[[#This Row],[Quantity]]&gt;0,AND(Application!AK724&lt;&gt;"N/A",Application!AK724&lt;&gt;"")*Cdlac[[#This Row],[Quantity]],"")</f>
        <v>0</v>
      </c>
      <c r="U30" s="1070" t="b">
        <f>AND('Subsidy Contract Calculation'!F14&gt;0,'Subsidy Contract Calculation'!C14="Federal",Cdlac[[#This Row],[Quantity]]&gt;0)</f>
        <v>0</v>
      </c>
    </row>
    <row r="31" spans="1:21" ht="15" customHeight="1">
      <c r="A31" s="1103"/>
      <c r="E31" s="1151" t="s">
        <v>2372</v>
      </c>
      <c r="F31" s="1072"/>
      <c r="G31" s="1152">
        <f>G30*G29</f>
        <v>8572500</v>
      </c>
      <c r="H31" s="1103"/>
      <c r="I31" s="1103"/>
      <c r="L31" s="1070">
        <f>IFERROR(MIN(4,MATCH(Application!B725,UnitSizes,0)-1),"")</f>
        <v>2</v>
      </c>
      <c r="M31" s="1092">
        <f>Application!G725</f>
        <v>5</v>
      </c>
      <c r="N31" s="1092">
        <f>'Subsidy Contract Calculation'!B15</f>
        <v>5</v>
      </c>
      <c r="O31" s="1100">
        <f>Application!AC725</f>
        <v>0.4</v>
      </c>
      <c r="P31" s="1100">
        <f>IF(Cdlac[[#This Row],[Quantity]]&gt;0,IF(Cdlac[[#This Row],[Federal]],30%,IF($G$36,40%,Cdlac[[#This Row],[iAMI]])),"")</f>
        <v>0.4</v>
      </c>
      <c r="Q31" s="1092" cm="1">
        <f t="array" ref="Q31">IF(Cdlac[[#This Row],[Quantity]]&gt;0,INDEX(TcacRents,$Q$18,Cdlac[[#This Row],[Bedrooms]]+1)*Cdlac[[#This Row],[AMI]],"")</f>
        <v>1677.6000000000001</v>
      </c>
      <c r="R31" s="1092" cm="1">
        <f t="array" ref="R31">IF(Cdlac[[#This Row],[Quantity]]&gt;0,INDEX(HudFmrs,$Q$18,Cdlac[[#This Row],[Bedrooms]]+1),"")</f>
        <v>3198</v>
      </c>
      <c r="S31" s="1092">
        <f>IF(Cdlac[[#This Row],[Quantity]]&gt;0,MAX(0,Cdlac[[#This Row],[Fair Market Rent]]-Cdlac[[#This Row],[Restricted Rent]]),"")</f>
        <v>1520.3999999999999</v>
      </c>
      <c r="T31" s="1070">
        <f>IF(Cdlac[[#This Row],[Quantity]]&gt;0,AND(Application!AK725&lt;&gt;"N/A",Application!AK725&lt;&gt;"")*Cdlac[[#This Row],[Quantity]],"")</f>
        <v>0</v>
      </c>
      <c r="U31" s="1070" t="b">
        <f>AND('Subsidy Contract Calculation'!F15&gt;0,'Subsidy Contract Calculation'!C15="Federal",Cdlac[[#This Row],[Quantity]]&gt;0)</f>
        <v>0</v>
      </c>
    </row>
    <row r="32" spans="1:21" ht="15" customHeight="1">
      <c r="A32" s="1103"/>
      <c r="B32" s="1103"/>
      <c r="C32" s="1103"/>
      <c r="D32" s="1103"/>
      <c r="E32" s="1103"/>
      <c r="F32" s="1103"/>
      <c r="G32" s="1103"/>
      <c r="H32" s="1103"/>
      <c r="I32" s="1103"/>
      <c r="L32" s="1070">
        <f>IFERROR(MIN(4,MATCH(Application!B726,UnitSizes,0)-1),"")</f>
        <v>3</v>
      </c>
      <c r="M32" s="1092">
        <f>Application!G726</f>
        <v>2</v>
      </c>
      <c r="N32" s="1092">
        <f>'Subsidy Contract Calculation'!B16</f>
        <v>2</v>
      </c>
      <c r="O32" s="1100">
        <f>Application!AC726</f>
        <v>0.4</v>
      </c>
      <c r="P32" s="1100">
        <f>IF(Cdlac[[#This Row],[Quantity]]&gt;0,IF(Cdlac[[#This Row],[Federal]],30%,IF($G$36,40%,Cdlac[[#This Row],[iAMI]])),"")</f>
        <v>0.4</v>
      </c>
      <c r="Q32" s="1092" cm="1">
        <f t="array" ref="Q32">IF(Cdlac[[#This Row],[Quantity]]&gt;0,INDEX(TcacRents,$Q$18,Cdlac[[#This Row],[Bedrooms]]+1)*Cdlac[[#This Row],[AMI]],"")</f>
        <v>1938.4</v>
      </c>
      <c r="R32" s="1092" cm="1">
        <f t="array" ref="R32">IF(Cdlac[[#This Row],[Quantity]]&gt;0,INDEX(HudFmrs,$Q$18,Cdlac[[#This Row],[Bedrooms]]+1),"")</f>
        <v>4111</v>
      </c>
      <c r="S32" s="1092">
        <f>IF(Cdlac[[#This Row],[Quantity]]&gt;0,MAX(0,Cdlac[[#This Row],[Fair Market Rent]]-Cdlac[[#This Row],[Restricted Rent]]),"")</f>
        <v>2172.6</v>
      </c>
      <c r="T32" s="1070">
        <f>IF(Cdlac[[#This Row],[Quantity]]&gt;0,AND(Application!AK726&lt;&gt;"N/A",Application!AK726&lt;&gt;"")*Cdlac[[#This Row],[Quantity]],"")</f>
        <v>0</v>
      </c>
      <c r="U32" s="1070" t="b">
        <f>AND('Subsidy Contract Calculation'!F16&gt;0,'Subsidy Contract Calculation'!C16="Federal",Cdlac[[#This Row],[Quantity]]&gt;0)</f>
        <v>0</v>
      </c>
    </row>
    <row r="33" spans="2:21" ht="15" customHeight="1">
      <c r="B33" s="1095" t="str">
        <f>B10</f>
        <v>B. Rent Savings Benefit</v>
      </c>
      <c r="C33" s="1096"/>
      <c r="D33" s="1096"/>
      <c r="E33" s="1096"/>
      <c r="F33" s="1096"/>
      <c r="G33" s="1096"/>
      <c r="H33" s="1096"/>
      <c r="I33" s="1097"/>
      <c r="L33" s="1070">
        <f>IFERROR(MIN(4,MATCH(Application!B727,UnitSizes,0)-1),"")</f>
        <v>1</v>
      </c>
      <c r="M33" s="1092">
        <f>Application!G727</f>
        <v>2</v>
      </c>
      <c r="N33" s="1092">
        <f>'Subsidy Contract Calculation'!B17</f>
        <v>2</v>
      </c>
      <c r="O33" s="1100">
        <f>Application!AC727</f>
        <v>0.5</v>
      </c>
      <c r="P33" s="1100">
        <f>IF(Cdlac[[#This Row],[Quantity]]&gt;0,IF(Cdlac[[#This Row],[Federal]],30%,IF($G$36,40%,Cdlac[[#This Row],[iAMI]])),"")</f>
        <v>0.5</v>
      </c>
      <c r="Q33" s="1092" cm="1">
        <f t="array" ref="Q33">IF(Cdlac[[#This Row],[Quantity]]&gt;0,INDEX(TcacRents,$Q$18,Cdlac[[#This Row],[Bedrooms]]+1)*Cdlac[[#This Row],[AMI]],"")</f>
        <v>1748</v>
      </c>
      <c r="R33" s="1092" cm="1">
        <f t="array" ref="R33">IF(Cdlac[[#This Row],[Quantity]]&gt;0,INDEX(HudFmrs,$Q$18,Cdlac[[#This Row],[Bedrooms]]+1),"")</f>
        <v>2631</v>
      </c>
      <c r="S33" s="1092">
        <f>IF(Cdlac[[#This Row],[Quantity]]&gt;0,MAX(0,Cdlac[[#This Row],[Fair Market Rent]]-Cdlac[[#This Row],[Restricted Rent]]),"")</f>
        <v>883</v>
      </c>
      <c r="T33" s="1070">
        <f>IF(Cdlac[[#This Row],[Quantity]]&gt;0,AND(Application!AK727&lt;&gt;"N/A",Application!AK727&lt;&gt;"")*Cdlac[[#This Row],[Quantity]],"")</f>
        <v>0</v>
      </c>
      <c r="U33" s="1070" t="b">
        <f>AND('Subsidy Contract Calculation'!F17&gt;0,'Subsidy Contract Calculation'!C17="Federal",Cdlac[[#This Row],[Quantity]]&gt;0)</f>
        <v>0</v>
      </c>
    </row>
    <row r="34" spans="2:21" ht="15" customHeight="1">
      <c r="L34" s="1070">
        <f>IFERROR(MIN(4,MATCH(Application!B728,UnitSizes,0)-1),"")</f>
        <v>1</v>
      </c>
      <c r="M34" s="1092">
        <f>Application!G728</f>
        <v>1</v>
      </c>
      <c r="N34" s="1092">
        <f>'Subsidy Contract Calculation'!B18</f>
        <v>1</v>
      </c>
      <c r="O34" s="1100">
        <f>Application!AC728</f>
        <v>0.5</v>
      </c>
      <c r="P34" s="1100">
        <f>IF(Cdlac[[#This Row],[Quantity]]&gt;0,IF(Cdlac[[#This Row],[Federal]],30%,IF($G$36,40%,Cdlac[[#This Row],[iAMI]])),"")</f>
        <v>0.3</v>
      </c>
      <c r="Q34" s="1092" cm="1">
        <f t="array" ref="Q34">IF(Cdlac[[#This Row],[Quantity]]&gt;0,INDEX(TcacRents,$Q$18,Cdlac[[#This Row],[Bedrooms]]+1)*Cdlac[[#This Row],[AMI]],"")</f>
        <v>1048.8</v>
      </c>
      <c r="R34" s="1092" cm="1">
        <f t="array" ref="R34">IF(Cdlac[[#This Row],[Quantity]]&gt;0,INDEX(HudFmrs,$Q$18,Cdlac[[#This Row],[Bedrooms]]+1),"")</f>
        <v>2631</v>
      </c>
      <c r="S34" s="1092">
        <f>IF(Cdlac[[#This Row],[Quantity]]&gt;0,MAX(0,Cdlac[[#This Row],[Fair Market Rent]]-Cdlac[[#This Row],[Restricted Rent]]),"")</f>
        <v>1582.2</v>
      </c>
      <c r="T34" s="1070">
        <f>IF(Cdlac[[#This Row],[Quantity]]&gt;0,AND(Application!AK728&lt;&gt;"N/A",Application!AK728&lt;&gt;"")*Cdlac[[#This Row],[Quantity]],"")</f>
        <v>0</v>
      </c>
      <c r="U34" s="1070" t="b">
        <f>AND('Subsidy Contract Calculation'!F18&gt;0,'Subsidy Contract Calculation'!C18="Federal",Cdlac[[#This Row],[Quantity]]&gt;0)</f>
        <v>1</v>
      </c>
    </row>
    <row r="35" spans="2:21" ht="15" customHeight="1">
      <c r="E35" s="1115" t="s">
        <v>2399</v>
      </c>
      <c r="G35" s="1153" cm="1">
        <f t="array" ref="G35">SUMPRODUCT(Cdlac[QuantityFederal],Cdlac[iAMI],IF(Cdlac[Federal],0,1))/SUMIFS(Cdlac[QuantityFederal],Cdlac[Federal],FALSE)</f>
        <v>0.47155172413793106</v>
      </c>
      <c r="L35" s="1070">
        <f>IFERROR(MIN(4,MATCH(Application!B729,UnitSizes,0)-1),"")</f>
        <v>2</v>
      </c>
      <c r="M35" s="1092">
        <f>Application!G729</f>
        <v>21</v>
      </c>
      <c r="N35" s="1092">
        <f>'Subsidy Contract Calculation'!B19</f>
        <v>21</v>
      </c>
      <c r="O35" s="1100">
        <f>Application!AC729</f>
        <v>0.5</v>
      </c>
      <c r="P35" s="1100">
        <f>IF(Cdlac[[#This Row],[Quantity]]&gt;0,IF(Cdlac[[#This Row],[Federal]],30%,IF($G$36,40%,Cdlac[[#This Row],[iAMI]])),"")</f>
        <v>0.5</v>
      </c>
      <c r="Q35" s="1092" cm="1">
        <f t="array" ref="Q35">IF(Cdlac[[#This Row],[Quantity]]&gt;0,INDEX(TcacRents,$Q$18,Cdlac[[#This Row],[Bedrooms]]+1)*Cdlac[[#This Row],[AMI]],"")</f>
        <v>2097</v>
      </c>
      <c r="R35" s="1092" cm="1">
        <f t="array" ref="R35">IF(Cdlac[[#This Row],[Quantity]]&gt;0,INDEX(HudFmrs,$Q$18,Cdlac[[#This Row],[Bedrooms]]+1),"")</f>
        <v>3198</v>
      </c>
      <c r="S35" s="1092">
        <f>IF(Cdlac[[#This Row],[Quantity]]&gt;0,MAX(0,Cdlac[[#This Row],[Fair Market Rent]]-Cdlac[[#This Row],[Restricted Rent]]),"")</f>
        <v>1101</v>
      </c>
      <c r="T35" s="1070">
        <f>IF(Cdlac[[#This Row],[Quantity]]&gt;0,AND(Application!AK729&lt;&gt;"N/A",Application!AK729&lt;&gt;"")*Cdlac[[#This Row],[Quantity]],"")</f>
        <v>0</v>
      </c>
      <c r="U35" s="1070" t="b">
        <f>AND('Subsidy Contract Calculation'!F19&gt;0,'Subsidy Contract Calculation'!C19="Federal",Cdlac[[#This Row],[Quantity]]&gt;0)</f>
        <v>0</v>
      </c>
    </row>
    <row r="36" spans="2:21" ht="15" customHeight="1">
      <c r="E36" s="1115" t="s">
        <v>2394</v>
      </c>
      <c r="G36" s="1110" t="b">
        <f>G35&lt;40%</f>
        <v>0</v>
      </c>
      <c r="L36" s="1070">
        <f>IFERROR(MIN(4,MATCH(Application!B730,UnitSizes,0)-1),"")</f>
        <v>2</v>
      </c>
      <c r="M36" s="1092">
        <f>Application!G730</f>
        <v>1</v>
      </c>
      <c r="N36" s="1092">
        <f>'Subsidy Contract Calculation'!B20</f>
        <v>1</v>
      </c>
      <c r="O36" s="1100">
        <f>Application!AC730</f>
        <v>0.5</v>
      </c>
      <c r="P36" s="1100">
        <f>IF(Cdlac[[#This Row],[Quantity]]&gt;0,IF(Cdlac[[#This Row],[Federal]],30%,IF($G$36,40%,Cdlac[[#This Row],[iAMI]])),"")</f>
        <v>0.3</v>
      </c>
      <c r="Q36" s="1092" cm="1">
        <f t="array" ref="Q36">IF(Cdlac[[#This Row],[Quantity]]&gt;0,INDEX(TcacRents,$Q$18,Cdlac[[#This Row],[Bedrooms]]+1)*Cdlac[[#This Row],[AMI]],"")</f>
        <v>1258.2</v>
      </c>
      <c r="R36" s="1092" cm="1">
        <f t="array" ref="R36">IF(Cdlac[[#This Row],[Quantity]]&gt;0,INDEX(HudFmrs,$Q$18,Cdlac[[#This Row],[Bedrooms]]+1),"")</f>
        <v>3198</v>
      </c>
      <c r="S36" s="1092">
        <f>IF(Cdlac[[#This Row],[Quantity]]&gt;0,MAX(0,Cdlac[[#This Row],[Fair Market Rent]]-Cdlac[[#This Row],[Restricted Rent]]),"")</f>
        <v>1939.8</v>
      </c>
      <c r="T36" s="1070">
        <f>IF(Cdlac[[#This Row],[Quantity]]&gt;0,AND(Application!AK730&lt;&gt;"N/A",Application!AK730&lt;&gt;"")*Cdlac[[#This Row],[Quantity]],"")</f>
        <v>0</v>
      </c>
      <c r="U36" s="1070" t="b">
        <f>AND('Subsidy Contract Calculation'!F20&gt;0,'Subsidy Contract Calculation'!C20="Federal",Cdlac[[#This Row],[Quantity]]&gt;0)</f>
        <v>1</v>
      </c>
    </row>
    <row r="37" spans="2:21" ht="15" customHeight="1">
      <c r="L37" s="1070">
        <f>IFERROR(MIN(4,MATCH(Application!B731,UnitSizes,0)-1),"")</f>
        <v>3</v>
      </c>
      <c r="M37" s="1092">
        <f>Application!G731</f>
        <v>3</v>
      </c>
      <c r="N37" s="1092">
        <f>'Subsidy Contract Calculation'!B21</f>
        <v>3</v>
      </c>
      <c r="O37" s="1100">
        <f>Application!AC731</f>
        <v>0.5</v>
      </c>
      <c r="P37" s="1100">
        <f>IF(Cdlac[[#This Row],[Quantity]]&gt;0,IF(Cdlac[[#This Row],[Federal]],30%,IF($G$36,40%,Cdlac[[#This Row],[iAMI]])),"")</f>
        <v>0.5</v>
      </c>
      <c r="Q37" s="1092" cm="1">
        <f t="array" ref="Q37">IF(Cdlac[[#This Row],[Quantity]]&gt;0,INDEX(TcacRents,$Q$18,Cdlac[[#This Row],[Bedrooms]]+1)*Cdlac[[#This Row],[AMI]],"")</f>
        <v>2423</v>
      </c>
      <c r="R37" s="1092" cm="1">
        <f t="array" ref="R37">IF(Cdlac[[#This Row],[Quantity]]&gt;0,INDEX(HudFmrs,$Q$18,Cdlac[[#This Row],[Bedrooms]]+1),"")</f>
        <v>4111</v>
      </c>
      <c r="S37" s="1092">
        <f>IF(Cdlac[[#This Row],[Quantity]]&gt;0,MAX(0,Cdlac[[#This Row],[Fair Market Rent]]-Cdlac[[#This Row],[Restricted Rent]]),"")</f>
        <v>1688</v>
      </c>
      <c r="T37" s="1070">
        <f>IF(Cdlac[[#This Row],[Quantity]]&gt;0,AND(Application!AK731&lt;&gt;"N/A",Application!AK731&lt;&gt;"")*Cdlac[[#This Row],[Quantity]],"")</f>
        <v>0</v>
      </c>
      <c r="U37" s="1070" t="b">
        <f>AND('Subsidy Contract Calculation'!F21&gt;0,'Subsidy Contract Calculation'!C21="Federal",Cdlac[[#This Row],[Quantity]]&gt;0)</f>
        <v>0</v>
      </c>
    </row>
    <row r="38" spans="2:21" ht="15" customHeight="1">
      <c r="E38" s="1115" t="s">
        <v>2335</v>
      </c>
      <c r="G38" s="1107">
        <f>SUMPRODUCT(Cdlac[Quantity],Cdlac[Delta])</f>
        <v>188767.99999999994</v>
      </c>
      <c r="L38" s="1070">
        <f>IFERROR(MIN(4,MATCH(Application!B732,UnitSizes,0)-1),"")</f>
        <v>3</v>
      </c>
      <c r="M38" s="1092">
        <f>Application!G732</f>
        <v>1</v>
      </c>
      <c r="N38" s="1092">
        <f>'Subsidy Contract Calculation'!B22</f>
        <v>1</v>
      </c>
      <c r="O38" s="1100">
        <f>Application!AC732</f>
        <v>0.5</v>
      </c>
      <c r="P38" s="1100">
        <f>IF(Cdlac[[#This Row],[Quantity]]&gt;0,IF(Cdlac[[#This Row],[Federal]],30%,IF($G$36,40%,Cdlac[[#This Row],[iAMI]])),"")</f>
        <v>0.3</v>
      </c>
      <c r="Q38" s="1092" cm="1">
        <f t="array" ref="Q38">IF(Cdlac[[#This Row],[Quantity]]&gt;0,INDEX(TcacRents,$Q$18,Cdlac[[#This Row],[Bedrooms]]+1)*Cdlac[[#This Row],[AMI]],"")</f>
        <v>1453.8</v>
      </c>
      <c r="R38" s="1092" cm="1">
        <f t="array" ref="R38">IF(Cdlac[[#This Row],[Quantity]]&gt;0,INDEX(HudFmrs,$Q$18,Cdlac[[#This Row],[Bedrooms]]+1),"")</f>
        <v>4111</v>
      </c>
      <c r="S38" s="1092">
        <f>IF(Cdlac[[#This Row],[Quantity]]&gt;0,MAX(0,Cdlac[[#This Row],[Fair Market Rent]]-Cdlac[[#This Row],[Restricted Rent]]),"")</f>
        <v>2657.2</v>
      </c>
      <c r="T38" s="1070">
        <f>IF(Cdlac[[#This Row],[Quantity]]&gt;0,AND(Application!AK732&lt;&gt;"N/A",Application!AK732&lt;&gt;"")*Cdlac[[#This Row],[Quantity]],"")</f>
        <v>0</v>
      </c>
      <c r="U38" s="1070" t="b">
        <f>AND('Subsidy Contract Calculation'!F22&gt;0,'Subsidy Contract Calculation'!C22="Federal",Cdlac[[#This Row],[Quantity]]&gt;0)</f>
        <v>1</v>
      </c>
    </row>
    <row r="39" spans="2:21" ht="15" customHeight="1">
      <c r="E39" s="1150" t="s">
        <v>2400</v>
      </c>
      <c r="F39" s="1146" t="s">
        <v>2388</v>
      </c>
      <c r="G39" s="1154">
        <f>12*15</f>
        <v>180</v>
      </c>
      <c r="L39" s="1070">
        <f>IFERROR(MIN(4,MATCH(Application!B733,UnitSizes,0)-1),"")</f>
        <v>4</v>
      </c>
      <c r="M39" s="1092">
        <f>Application!G733</f>
        <v>2</v>
      </c>
      <c r="N39" s="1092">
        <f>'Subsidy Contract Calculation'!B23</f>
        <v>2</v>
      </c>
      <c r="O39" s="1100">
        <f>Application!AC733</f>
        <v>0.5</v>
      </c>
      <c r="P39" s="1100">
        <f>IF(Cdlac[[#This Row],[Quantity]]&gt;0,IF(Cdlac[[#This Row],[Federal]],30%,IF($G$36,40%,Cdlac[[#This Row],[iAMI]])),"")</f>
        <v>0.5</v>
      </c>
      <c r="Q39" s="1092" cm="1">
        <f t="array" ref="Q39">IF(Cdlac[[#This Row],[Quantity]]&gt;0,INDEX(TcacRents,$Q$18,Cdlac[[#This Row],[Bedrooms]]+1)*Cdlac[[#This Row],[AMI]],"")</f>
        <v>2703</v>
      </c>
      <c r="R39" s="1092" cm="1">
        <f t="array" ref="R39">IF(Cdlac[[#This Row],[Quantity]]&gt;0,INDEX(HudFmrs,$Q$18,Cdlac[[#This Row],[Bedrooms]]+1),"")</f>
        <v>4473</v>
      </c>
      <c r="S39" s="1092">
        <f>IF(Cdlac[[#This Row],[Quantity]]&gt;0,MAX(0,Cdlac[[#This Row],[Fair Market Rent]]-Cdlac[[#This Row],[Restricted Rent]]),"")</f>
        <v>1770</v>
      </c>
      <c r="T39" s="1070">
        <f>IF(Cdlac[[#This Row],[Quantity]]&gt;0,AND(Application!AK733&lt;&gt;"N/A",Application!AK733&lt;&gt;"")*Cdlac[[#This Row],[Quantity]],"")</f>
        <v>0</v>
      </c>
      <c r="U39" s="1070" t="b">
        <f>AND('Subsidy Contract Calculation'!F23&gt;0,'Subsidy Contract Calculation'!C23="Federal",Cdlac[[#This Row],[Quantity]]&gt;0)</f>
        <v>0</v>
      </c>
    </row>
    <row r="40" spans="2:21" ht="15" customHeight="1">
      <c r="E40" s="1155" t="s">
        <v>2328</v>
      </c>
      <c r="F40" s="1072"/>
      <c r="G40" s="1156">
        <f>G38*G39</f>
        <v>33978239.999999993</v>
      </c>
      <c r="L40" s="1070">
        <f>IFERROR(MIN(4,MATCH(Application!B734,UnitSizes,0)-1),"")</f>
        <v>1</v>
      </c>
      <c r="M40" s="1092">
        <f>Application!G734</f>
        <v>4</v>
      </c>
      <c r="N40" s="1092">
        <f>'Subsidy Contract Calculation'!B24</f>
        <v>4</v>
      </c>
      <c r="O40" s="1100">
        <f>Application!AC734</f>
        <v>0.6</v>
      </c>
      <c r="P40" s="1100">
        <f>IF(Cdlac[[#This Row],[Quantity]]&gt;0,IF(Cdlac[[#This Row],[Federal]],30%,IF($G$36,40%,Cdlac[[#This Row],[iAMI]])),"")</f>
        <v>0.6</v>
      </c>
      <c r="Q40" s="1092" cm="1">
        <f t="array" ref="Q40">IF(Cdlac[[#This Row],[Quantity]]&gt;0,INDEX(TcacRents,$Q$18,Cdlac[[#This Row],[Bedrooms]]+1)*Cdlac[[#This Row],[AMI]],"")</f>
        <v>2097.6</v>
      </c>
      <c r="R40" s="1092" cm="1">
        <f t="array" ref="R40">IF(Cdlac[[#This Row],[Quantity]]&gt;0,INDEX(HudFmrs,$Q$18,Cdlac[[#This Row],[Bedrooms]]+1),"")</f>
        <v>2631</v>
      </c>
      <c r="S40" s="1092">
        <f>IF(Cdlac[[#This Row],[Quantity]]&gt;0,MAX(0,Cdlac[[#This Row],[Fair Market Rent]]-Cdlac[[#This Row],[Restricted Rent]]),"")</f>
        <v>533.40000000000009</v>
      </c>
      <c r="T40" s="1070">
        <f>IF(Cdlac[[#This Row],[Quantity]]&gt;0,AND(Application!AK734&lt;&gt;"N/A",Application!AK734&lt;&gt;"")*Cdlac[[#This Row],[Quantity]],"")</f>
        <v>0</v>
      </c>
      <c r="U40" s="1070" t="b">
        <f>AND('Subsidy Contract Calculation'!F24&gt;0,'Subsidy Contract Calculation'!C24="Federal",Cdlac[[#This Row],[Quantity]]&gt;0)</f>
        <v>0</v>
      </c>
    </row>
    <row r="41" spans="2:21" ht="15" customHeight="1">
      <c r="L41" s="1070">
        <f>IFERROR(MIN(4,MATCH(Application!B735,UnitSizes,0)-1),"")</f>
        <v>2</v>
      </c>
      <c r="M41" s="1092">
        <f>Application!G735</f>
        <v>24</v>
      </c>
      <c r="N41" s="1092">
        <f>'Subsidy Contract Calculation'!B25</f>
        <v>24</v>
      </c>
      <c r="O41" s="1100">
        <f>Application!AC735</f>
        <v>0.6</v>
      </c>
      <c r="P41" s="1100">
        <f>IF(Cdlac[[#This Row],[Quantity]]&gt;0,IF(Cdlac[[#This Row],[Federal]],30%,IF($G$36,40%,Cdlac[[#This Row],[iAMI]])),"")</f>
        <v>0.6</v>
      </c>
      <c r="Q41" s="1092" cm="1">
        <f t="array" ref="Q41">IF(Cdlac[[#This Row],[Quantity]]&gt;0,INDEX(TcacRents,$Q$18,Cdlac[[#This Row],[Bedrooms]]+1)*Cdlac[[#This Row],[AMI]],"")</f>
        <v>2516.4</v>
      </c>
      <c r="R41" s="1092" cm="1">
        <f t="array" ref="R41">IF(Cdlac[[#This Row],[Quantity]]&gt;0,INDEX(HudFmrs,$Q$18,Cdlac[[#This Row],[Bedrooms]]+1),"")</f>
        <v>3198</v>
      </c>
      <c r="S41" s="1092">
        <f>IF(Cdlac[[#This Row],[Quantity]]&gt;0,MAX(0,Cdlac[[#This Row],[Fair Market Rent]]-Cdlac[[#This Row],[Restricted Rent]]),"")</f>
        <v>681.59999999999991</v>
      </c>
      <c r="T41" s="1070">
        <f>IF(Cdlac[[#This Row],[Quantity]]&gt;0,AND(Application!AK735&lt;&gt;"N/A",Application!AK735&lt;&gt;"")*Cdlac[[#This Row],[Quantity]],"")</f>
        <v>0</v>
      </c>
      <c r="U41" s="1070" t="b">
        <f>AND('Subsidy Contract Calculation'!F25&gt;0,'Subsidy Contract Calculation'!C25="Federal",Cdlac[[#This Row],[Quantity]]&gt;0)</f>
        <v>0</v>
      </c>
    </row>
    <row r="42" spans="2:21" ht="15" customHeight="1">
      <c r="B42" s="1095" t="str">
        <f>B11</f>
        <v>C. Special Needs Population Benefit</v>
      </c>
      <c r="C42" s="1096"/>
      <c r="D42" s="1096"/>
      <c r="E42" s="1096"/>
      <c r="F42" s="1096"/>
      <c r="G42" s="1096"/>
      <c r="H42" s="1096"/>
      <c r="I42" s="1097"/>
      <c r="L42" s="1070">
        <f>IFERROR(MIN(4,MATCH(Application!B736,UnitSizes,0)-1),"")</f>
        <v>3</v>
      </c>
      <c r="M42" s="1092">
        <f>Application!G736</f>
        <v>12</v>
      </c>
      <c r="N42" s="1092">
        <f>'Subsidy Contract Calculation'!B26</f>
        <v>12</v>
      </c>
      <c r="O42" s="1100">
        <f>Application!AC736</f>
        <v>0.6</v>
      </c>
      <c r="P42" s="1100">
        <f>IF(Cdlac[[#This Row],[Quantity]]&gt;0,IF(Cdlac[[#This Row],[Federal]],30%,IF($G$36,40%,Cdlac[[#This Row],[iAMI]])),"")</f>
        <v>0.6</v>
      </c>
      <c r="Q42" s="1092" cm="1">
        <f t="array" ref="Q42">IF(Cdlac[[#This Row],[Quantity]]&gt;0,INDEX(TcacRents,$Q$18,Cdlac[[#This Row],[Bedrooms]]+1)*Cdlac[[#This Row],[AMI]],"")</f>
        <v>2907.6</v>
      </c>
      <c r="R42" s="1092" cm="1">
        <f t="array" ref="R42">IF(Cdlac[[#This Row],[Quantity]]&gt;0,INDEX(HudFmrs,$Q$18,Cdlac[[#This Row],[Bedrooms]]+1),"")</f>
        <v>4111</v>
      </c>
      <c r="S42" s="1092">
        <f>IF(Cdlac[[#This Row],[Quantity]]&gt;0,MAX(0,Cdlac[[#This Row],[Fair Market Rent]]-Cdlac[[#This Row],[Restricted Rent]]),"")</f>
        <v>1203.4000000000001</v>
      </c>
      <c r="T42" s="1070">
        <f>IF(Cdlac[[#This Row],[Quantity]]&gt;0,AND(Application!AK736&lt;&gt;"N/A",Application!AK736&lt;&gt;"")*Cdlac[[#This Row],[Quantity]],"")</f>
        <v>0</v>
      </c>
      <c r="U42" s="1070" t="b">
        <f>AND('Subsidy Contract Calculation'!F26&gt;0,'Subsidy Contract Calculation'!C26="Federal",Cdlac[[#This Row],[Quantity]]&gt;0)</f>
        <v>0</v>
      </c>
    </row>
    <row r="43" spans="2:21" ht="15" customHeight="1">
      <c r="L43" s="1070">
        <f>IFERROR(MIN(4,MATCH(Application!B737,UnitSizes,0)-1),"")</f>
        <v>4</v>
      </c>
      <c r="M43" s="1092">
        <f>Application!G737</f>
        <v>2</v>
      </c>
      <c r="N43" s="1092">
        <f>'Subsidy Contract Calculation'!B27</f>
        <v>2</v>
      </c>
      <c r="O43" s="1100">
        <f>Application!AC737</f>
        <v>0.6</v>
      </c>
      <c r="P43" s="1100">
        <f>IF(Cdlac[[#This Row],[Quantity]]&gt;0,IF(Cdlac[[#This Row],[Federal]],30%,IF($G$36,40%,Cdlac[[#This Row],[iAMI]])),"")</f>
        <v>0.6</v>
      </c>
      <c r="Q43" s="1092" cm="1">
        <f t="array" ref="Q43">IF(Cdlac[[#This Row],[Quantity]]&gt;0,INDEX(TcacRents,$Q$18,Cdlac[[#This Row],[Bedrooms]]+1)*Cdlac[[#This Row],[AMI]],"")</f>
        <v>3243.6</v>
      </c>
      <c r="R43" s="1092" cm="1">
        <f t="array" ref="R43">IF(Cdlac[[#This Row],[Quantity]]&gt;0,INDEX(HudFmrs,$Q$18,Cdlac[[#This Row],[Bedrooms]]+1),"")</f>
        <v>4473</v>
      </c>
      <c r="S43" s="1092">
        <f>IF(Cdlac[[#This Row],[Quantity]]&gt;0,MAX(0,Cdlac[[#This Row],[Fair Market Rent]]-Cdlac[[#This Row],[Restricted Rent]]),"")</f>
        <v>1229.4000000000001</v>
      </c>
      <c r="T43" s="1070">
        <f>IF(Cdlac[[#This Row],[Quantity]]&gt;0,AND(Application!AK737&lt;&gt;"N/A",Application!AK737&lt;&gt;"")*Cdlac[[#This Row],[Quantity]],"")</f>
        <v>0</v>
      </c>
      <c r="U43" s="1070" t="b">
        <f>AND('Subsidy Contract Calculation'!F27&gt;0,'Subsidy Contract Calculation'!C27="Federal",Cdlac[[#This Row],[Quantity]]&gt;0)</f>
        <v>0</v>
      </c>
    </row>
    <row r="44" spans="2:21" ht="15" customHeight="1">
      <c r="E44" s="1150" t="s">
        <v>2389</v>
      </c>
      <c r="G44" s="1158">
        <f>T18</f>
        <v>8</v>
      </c>
      <c r="L44" s="1070" t="str">
        <f>IFERROR(MIN(4,MATCH(Application!B738,UnitSizes,0)-1),"")</f>
        <v/>
      </c>
      <c r="M44" s="1092">
        <f>Application!G738</f>
        <v>0</v>
      </c>
      <c r="N44" s="1092">
        <f>'Subsidy Contract Calculation'!B28</f>
        <v>0</v>
      </c>
      <c r="O44" s="1100">
        <f>Application!AC738</f>
        <v>0</v>
      </c>
      <c r="P44" s="1111" t="str">
        <f>IF(Cdlac[[#This Row],[Quantity]]&gt;0,IF(Cdlac[[#This Row],[Federal]],30%,IF($G$36,40%,Cdlac[[#This Row],[iAMI]])),"")</f>
        <v/>
      </c>
      <c r="Q44" s="1092" t="str" cm="1">
        <f t="array" ref="Q44">IF(Cdlac[[#This Row],[Quantity]]&gt;0,INDEX(TcacRents,$Q$18,Cdlac[[#This Row],[Bedrooms]]+1)*Cdlac[[#This Row],[AMI]],"")</f>
        <v/>
      </c>
      <c r="R44" s="1092" t="str" cm="1">
        <f t="array" ref="R44">IF(Cdlac[[#This Row],[Quantity]]&gt;0,INDEX(HudFmrs,$Q$18,Cdlac[[#This Row],[Bedrooms]]+1),"")</f>
        <v/>
      </c>
      <c r="S44" s="1092" t="str">
        <f>IF(Cdlac[[#This Row],[Quantity]]&gt;0,MAX(0,Cdlac[[#This Row],[Fair Market Rent]]-Cdlac[[#This Row],[Restricted Rent]]),"")</f>
        <v/>
      </c>
      <c r="T44" s="1070" t="str">
        <f>IF(Cdlac[[#This Row],[Quantity]]&gt;0,AND(Application!AK738&lt;&gt;"N/A",Application!AK738&lt;&gt;"")*Cdlac[[#This Row],[Quantity]],"")</f>
        <v/>
      </c>
      <c r="U44" s="1070" t="b">
        <f>AND('Subsidy Contract Calculation'!F28&gt;0,'Subsidy Contract Calculation'!C28="Federal",Cdlac[[#This Row],[Quantity]]&gt;0)</f>
        <v>0</v>
      </c>
    </row>
    <row r="45" spans="2:21" ht="15" customHeight="1">
      <c r="E45" s="1150" t="s">
        <v>2390</v>
      </c>
      <c r="G45" s="1158">
        <f>ROUNDDOWN(E27*50%,0)</f>
        <v>67</v>
      </c>
    </row>
    <row r="46" spans="2:21" ht="15" customHeight="1">
      <c r="E46" s="1150"/>
      <c r="G46" s="1158"/>
    </row>
    <row r="47" spans="2:21" ht="15" customHeight="1">
      <c r="E47" s="1150" t="s">
        <v>2341</v>
      </c>
      <c r="G47" s="1147">
        <f>MIN(G44:G45)</f>
        <v>8</v>
      </c>
    </row>
    <row r="48" spans="2:21" ht="15" customHeight="1">
      <c r="E48" s="1150" t="s">
        <v>2331</v>
      </c>
      <c r="F48" s="1146" t="s">
        <v>2388</v>
      </c>
      <c r="G48" s="1157">
        <v>10000</v>
      </c>
    </row>
    <row r="49" spans="2:13" ht="15" customHeight="1">
      <c r="E49" s="1151" t="s">
        <v>2371</v>
      </c>
      <c r="F49" s="1072"/>
      <c r="G49" s="1156">
        <f>G47*G48</f>
        <v>80000</v>
      </c>
    </row>
    <row r="50" spans="2:13" ht="15" customHeight="1"/>
    <row r="51" spans="2:13" ht="15" customHeight="1">
      <c r="B51" s="1095" t="str">
        <f>B12</f>
        <v>D. Extremely Low Income Benefit</v>
      </c>
      <c r="C51" s="1096"/>
      <c r="D51" s="1096"/>
      <c r="E51" s="1096"/>
      <c r="F51" s="1096"/>
      <c r="G51" s="1096"/>
      <c r="H51" s="1096"/>
      <c r="I51" s="1097"/>
    </row>
    <row r="52" spans="2:13" ht="15" customHeight="1"/>
    <row r="53" spans="2:13" ht="15" customHeight="1">
      <c r="E53" s="1150" t="s">
        <v>2391</v>
      </c>
      <c r="G53" s="1108">
        <f>SUMIFS(Cdlac[Quantity],Cdlac[iAMI],"&lt;=30%")</f>
        <v>45</v>
      </c>
    </row>
    <row r="54" spans="2:13" ht="15" customHeight="1">
      <c r="E54" s="1150" t="s">
        <v>2390</v>
      </c>
      <c r="G54" s="1108">
        <f>ROUNDDOWN(E27*50%,0)</f>
        <v>67</v>
      </c>
    </row>
    <row r="55" spans="2:13" ht="15" customHeight="1">
      <c r="E55" s="1150"/>
      <c r="G55" s="1108"/>
    </row>
    <row r="56" spans="2:13" ht="15" customHeight="1">
      <c r="E56" s="1150" t="s">
        <v>2341</v>
      </c>
      <c r="G56" s="1147">
        <f>MIN(G53:G54)</f>
        <v>45</v>
      </c>
    </row>
    <row r="57" spans="2:13" ht="15" customHeight="1">
      <c r="E57" s="1150" t="s">
        <v>2331</v>
      </c>
      <c r="F57" s="1146" t="s">
        <v>2388</v>
      </c>
      <c r="G57" s="1157">
        <v>20000</v>
      </c>
    </row>
    <row r="58" spans="2:13" ht="15" customHeight="1">
      <c r="E58" s="1151" t="s">
        <v>2370</v>
      </c>
      <c r="F58" s="1072"/>
      <c r="G58" s="1156">
        <f>G56*G57</f>
        <v>900000</v>
      </c>
    </row>
    <row r="59" spans="2:13" ht="15" customHeight="1"/>
    <row r="60" spans="2:13" ht="15" customHeight="1">
      <c r="B60" s="1095" t="str">
        <f>B13</f>
        <v>E. Sustainability Benefit</v>
      </c>
      <c r="C60" s="1096"/>
      <c r="D60" s="1096"/>
      <c r="E60" s="1096"/>
      <c r="F60" s="1096"/>
      <c r="G60" s="1096"/>
      <c r="H60" s="1096"/>
      <c r="I60" s="1097"/>
    </row>
    <row r="61" spans="2:13" ht="15" customHeight="1" thickBot="1"/>
    <row r="62" spans="2:13" ht="15" customHeight="1">
      <c r="E62" s="1115" t="s">
        <v>2344</v>
      </c>
      <c r="G62" s="1147">
        <f>VLOOKUP('Points System'!$H$595,'Points System'!$AO$575:$AP$580,2,FALSE)</f>
        <v>7</v>
      </c>
      <c r="K62" s="1160" t="str">
        <f>'Points System'!H627</f>
        <v>(i)</v>
      </c>
      <c r="L62" s="1888" t="s">
        <v>1578</v>
      </c>
      <c r="M62" s="1889"/>
    </row>
    <row r="63" spans="2:13" ht="15" customHeight="1">
      <c r="E63" s="1115" t="s">
        <v>2331</v>
      </c>
      <c r="F63" s="1146" t="s">
        <v>2388</v>
      </c>
      <c r="G63" s="1105">
        <v>4000</v>
      </c>
      <c r="K63" s="1161" t="str">
        <f>'Points System'!H639</f>
        <v>(i)</v>
      </c>
      <c r="L63" s="1880" t="s">
        <v>2345</v>
      </c>
      <c r="M63" s="1881"/>
    </row>
    <row r="64" spans="2:13" ht="15" customHeight="1">
      <c r="E64" s="1115" t="s">
        <v>2392</v>
      </c>
      <c r="F64" s="1146" t="s">
        <v>2388</v>
      </c>
      <c r="G64" s="1159">
        <f>G27</f>
        <v>171.45</v>
      </c>
      <c r="K64" s="1161" t="str">
        <f>'Points System'!H674</f>
        <v>(v)</v>
      </c>
      <c r="L64" s="1880" t="s">
        <v>2346</v>
      </c>
      <c r="M64" s="1881"/>
    </row>
    <row r="65" spans="2:13" ht="15" customHeight="1">
      <c r="E65" s="1151" t="s">
        <v>2350</v>
      </c>
      <c r="F65" s="1072"/>
      <c r="G65" s="1156">
        <f>G62*G63*G64</f>
        <v>4800600</v>
      </c>
      <c r="K65" s="1161" t="str">
        <f>'Points System'!H694</f>
        <v>(i)</v>
      </c>
      <c r="L65" s="1880" t="s">
        <v>2347</v>
      </c>
      <c r="M65" s="1881"/>
    </row>
    <row r="66" spans="2:13" ht="15" customHeight="1">
      <c r="C66" s="1106"/>
      <c r="G66" s="1147"/>
      <c r="K66" s="1162" t="str">
        <f>'Points System'!H708</f>
        <v>N/A</v>
      </c>
      <c r="L66" s="1880" t="s">
        <v>1604</v>
      </c>
      <c r="M66" s="1881"/>
    </row>
    <row r="67" spans="2:13" ht="15" customHeight="1">
      <c r="E67" s="1115" t="s">
        <v>2393</v>
      </c>
      <c r="G67" s="1159">
        <f>COUNTIFS(K62:K69,"(i)")</f>
        <v>5</v>
      </c>
      <c r="K67" s="1161" t="str">
        <f>'Points System'!H720</f>
        <v>N/A</v>
      </c>
      <c r="L67" s="1880" t="s">
        <v>2348</v>
      </c>
      <c r="M67" s="1881"/>
    </row>
    <row r="68" spans="2:13" ht="15" customHeight="1">
      <c r="E68" s="1115" t="s">
        <v>2331</v>
      </c>
      <c r="F68" s="1146" t="s">
        <v>2388</v>
      </c>
      <c r="G68" s="1157">
        <v>4000</v>
      </c>
      <c r="K68" s="1161" t="str">
        <f>'Points System'!H736</f>
        <v>(i)</v>
      </c>
      <c r="L68" s="1880" t="s">
        <v>2349</v>
      </c>
      <c r="M68" s="1881"/>
    </row>
    <row r="69" spans="2:13" ht="15" customHeight="1" thickBot="1">
      <c r="E69" s="1151" t="s">
        <v>2351</v>
      </c>
      <c r="F69" s="1072"/>
      <c r="G69" s="1156">
        <f>G64*G67*G68</f>
        <v>3429000</v>
      </c>
      <c r="K69" s="1163" t="str">
        <f>'Points System'!H748</f>
        <v>(i)</v>
      </c>
      <c r="L69" s="1882" t="s">
        <v>1607</v>
      </c>
      <c r="M69" s="1883"/>
    </row>
    <row r="70" spans="2:13" ht="15" customHeight="1"/>
    <row r="71" spans="2:13" ht="15" customHeight="1">
      <c r="C71" s="1109" t="s">
        <v>2353</v>
      </c>
    </row>
    <row r="72" spans="2:13" ht="15" customHeight="1">
      <c r="C72" s="1106" t="s">
        <v>2354</v>
      </c>
      <c r="G72" s="1069"/>
    </row>
    <row r="73" spans="2:13" ht="15" customHeight="1">
      <c r="C73" s="1106" t="s">
        <v>2355</v>
      </c>
      <c r="G73" s="1069" t="s">
        <v>555</v>
      </c>
    </row>
    <row r="74" spans="2:13" ht="15" customHeight="1">
      <c r="C74" s="1106" t="s">
        <v>2616</v>
      </c>
      <c r="G74" s="1069" t="s">
        <v>555</v>
      </c>
    </row>
    <row r="75" spans="2:13" ht="15" customHeight="1">
      <c r="C75" s="1106" t="s">
        <v>2617</v>
      </c>
      <c r="G75" s="1069"/>
    </row>
    <row r="76" spans="2:13" ht="15" customHeight="1"/>
    <row r="77" spans="2:13" ht="15" customHeight="1">
      <c r="B77" s="1107"/>
      <c r="C77" s="1106"/>
      <c r="E77" s="1115" t="s">
        <v>2395</v>
      </c>
      <c r="G77" s="1108" t="b">
        <f>COUNTIFS(G72:G75,"Yes")&gt;=1</f>
        <v>1</v>
      </c>
    </row>
    <row r="78" spans="2:13" ht="15" customHeight="1">
      <c r="E78" s="1106"/>
    </row>
    <row r="79" spans="2:13" ht="15" customHeight="1">
      <c r="E79" s="1115" t="s">
        <v>2392</v>
      </c>
      <c r="F79" s="1146" t="s">
        <v>2388</v>
      </c>
      <c r="G79" s="1147">
        <f>G27</f>
        <v>171.45</v>
      </c>
    </row>
    <row r="80" spans="2:13" ht="15" customHeight="1">
      <c r="E80" s="1115" t="s">
        <v>2331</v>
      </c>
      <c r="F80" s="1146" t="s">
        <v>2388</v>
      </c>
      <c r="G80" s="1157">
        <v>25000</v>
      </c>
    </row>
    <row r="81" spans="2:13" ht="15" customHeight="1">
      <c r="E81" s="1151" t="s">
        <v>2352</v>
      </c>
      <c r="F81" s="1072"/>
      <c r="G81" s="1156">
        <f>G77*G80*G64</f>
        <v>4286250</v>
      </c>
    </row>
    <row r="82" spans="2:13" ht="15" customHeight="1">
      <c r="C82" s="1106"/>
      <c r="E82" s="1106"/>
    </row>
    <row r="83" spans="2:13" ht="15" customHeight="1">
      <c r="E83" s="1151" t="s">
        <v>2329</v>
      </c>
      <c r="G83" s="1156">
        <f>G81+G69+G65</f>
        <v>12515850</v>
      </c>
    </row>
    <row r="84" spans="2:13" ht="15" customHeight="1"/>
    <row r="85" spans="2:13" ht="15" customHeight="1">
      <c r="B85" s="1095" t="str">
        <f>B14</f>
        <v>F. Opportunity Benefit</v>
      </c>
      <c r="C85" s="1096"/>
      <c r="D85" s="1096"/>
      <c r="E85" s="1096"/>
      <c r="F85" s="1096"/>
      <c r="G85" s="1096"/>
      <c r="H85" s="1096"/>
      <c r="I85" s="1097"/>
    </row>
    <row r="86" spans="2:13" ht="15" customHeight="1"/>
    <row r="87" spans="2:13" ht="15" customHeight="1" thickBot="1">
      <c r="C87" s="1106" t="s">
        <v>2374</v>
      </c>
      <c r="G87" s="1069" t="s">
        <v>555</v>
      </c>
    </row>
    <row r="88" spans="2:13" ht="15" customHeight="1">
      <c r="C88" s="1106" t="s">
        <v>2375</v>
      </c>
      <c r="G88" s="1110" t="str">
        <f>IF(Application!D210="Large Family","Yes","No")</f>
        <v>Yes</v>
      </c>
      <c r="K88" s="1884" t="s">
        <v>2358</v>
      </c>
      <c r="L88" s="1885"/>
      <c r="M88" s="1164">
        <v>30000</v>
      </c>
    </row>
    <row r="89" spans="2:13" ht="15" customHeight="1">
      <c r="C89" s="1106" t="s">
        <v>2356</v>
      </c>
      <c r="G89" s="1069"/>
      <c r="K89" s="1876" t="s">
        <v>2322</v>
      </c>
      <c r="L89" s="1877"/>
      <c r="M89" s="1165">
        <v>20000</v>
      </c>
    </row>
    <row r="90" spans="2:13" ht="15" customHeight="1" thickBot="1">
      <c r="C90" s="1106" t="s">
        <v>2357</v>
      </c>
      <c r="G90" s="1070" t="str">
        <f>Application!T193</f>
        <v>Moderate Resource</v>
      </c>
      <c r="K90" s="1878" t="s">
        <v>2359</v>
      </c>
      <c r="L90" s="1879"/>
      <c r="M90" s="1166">
        <v>10000</v>
      </c>
    </row>
    <row r="91" spans="2:13" ht="15" customHeight="1">
      <c r="C91" s="1106"/>
    </row>
    <row r="92" spans="2:13" ht="15" customHeight="1">
      <c r="E92" s="1115" t="s">
        <v>2395</v>
      </c>
      <c r="G92" s="1108" t="b">
        <f>AND(COUNTIFS(G88:G89,"Yes")&gt;=1,G87="Yes")</f>
        <v>1</v>
      </c>
    </row>
    <row r="93" spans="2:13" ht="15" customHeight="1">
      <c r="E93" s="1115"/>
      <c r="G93" s="1108"/>
    </row>
    <row r="94" spans="2:13" ht="15" customHeight="1">
      <c r="E94" s="1115" t="s">
        <v>2331</v>
      </c>
      <c r="G94" s="1107">
        <f>IFERROR(INDEX(M88:M90,MATCH(LEFT(G90,17),K88:K90,0)),0)</f>
        <v>10000</v>
      </c>
    </row>
    <row r="95" spans="2:13" ht="15" customHeight="1">
      <c r="E95" s="1115" t="str">
        <f>E64</f>
        <v>Bedroom-Adjusted Low-Income Units</v>
      </c>
      <c r="F95" s="1146" t="s">
        <v>2388</v>
      </c>
      <c r="G95" s="1147">
        <f>G27</f>
        <v>171.45</v>
      </c>
    </row>
    <row r="96" spans="2:13" ht="15" customHeight="1">
      <c r="D96" s="1072"/>
      <c r="E96" s="1151" t="s">
        <v>2330</v>
      </c>
      <c r="F96" s="1072"/>
      <c r="G96" s="1242">
        <f>G95*G94*G92</f>
        <v>1714500</v>
      </c>
    </row>
    <row r="97" spans="2:9" ht="15" customHeight="1"/>
    <row r="98" spans="2:9" ht="15" customHeight="1">
      <c r="B98" s="1095" t="s">
        <v>2343</v>
      </c>
      <c r="C98" s="1096"/>
      <c r="D98" s="1096"/>
      <c r="E98" s="1096"/>
      <c r="F98" s="1096"/>
      <c r="G98" s="1096"/>
      <c r="H98" s="1096"/>
      <c r="I98" s="1097"/>
    </row>
    <row r="99" spans="2:9" ht="15" customHeight="1"/>
    <row r="100" spans="2:9" ht="15" customHeight="1">
      <c r="F100" s="1149" t="s">
        <v>2369</v>
      </c>
      <c r="G100" s="1069" t="s">
        <v>555</v>
      </c>
    </row>
    <row r="101" spans="2:9" ht="15" customHeight="1">
      <c r="F101" s="1149"/>
    </row>
    <row r="102" spans="2:9" ht="15" customHeight="1">
      <c r="E102" s="1115" t="s">
        <v>2395</v>
      </c>
      <c r="G102" s="1108" t="b">
        <f>G100="Yes"</f>
        <v>1</v>
      </c>
    </row>
    <row r="103" spans="2:9" ht="15" customHeight="1"/>
    <row r="104" spans="2:9" ht="15" customHeight="1">
      <c r="E104" s="1115" t="str">
        <f>E64</f>
        <v>Bedroom-Adjusted Low-Income Units</v>
      </c>
      <c r="G104" s="1147">
        <f>G27</f>
        <v>171.45</v>
      </c>
    </row>
    <row r="105" spans="2:9" ht="15" customHeight="1">
      <c r="E105" s="1115" t="s">
        <v>2331</v>
      </c>
      <c r="F105" s="1146" t="s">
        <v>2388</v>
      </c>
      <c r="G105" s="1076">
        <v>20000</v>
      </c>
    </row>
    <row r="106" spans="2:9" ht="15" customHeight="1">
      <c r="E106" s="1151" t="s">
        <v>2360</v>
      </c>
      <c r="F106" s="1072"/>
      <c r="G106" s="1156">
        <f>G102*G105*G104</f>
        <v>3429000</v>
      </c>
    </row>
    <row r="107" spans="2:9" ht="15" customHeight="1"/>
    <row r="108" spans="2:9" ht="15" customHeight="1">
      <c r="B108" s="1095" t="s">
        <v>2397</v>
      </c>
      <c r="C108" s="1096"/>
      <c r="D108" s="1096"/>
      <c r="E108" s="1096"/>
      <c r="F108" s="1096"/>
      <c r="G108" s="1096"/>
      <c r="H108" s="1096"/>
      <c r="I108" s="1097"/>
    </row>
    <row r="109" spans="2:9" ht="15" customHeight="1"/>
    <row r="110" spans="2:9" ht="15" customHeight="1">
      <c r="E110" s="1115" t="s">
        <v>592</v>
      </c>
      <c r="G110" s="1070" t="str">
        <f>IF(Application!T189="","",Application!T189)</f>
        <v>San Mateo</v>
      </c>
    </row>
    <row r="111" spans="2:9" ht="15" customHeight="1">
      <c r="E111" s="1115"/>
      <c r="G111" s="1107"/>
    </row>
    <row r="112" spans="2:9" ht="15" customHeight="1">
      <c r="E112" s="1115" t="str">
        <f>"2-Bedroom "&amp;G110&amp;" County Basis Limit"</f>
        <v>2-Bedroom San Mateo County Basis Limit</v>
      </c>
      <c r="G112" s="1107">
        <f>Application!R957</f>
        <v>740000</v>
      </c>
    </row>
    <row r="113" spans="4:9" ht="15" customHeight="1">
      <c r="E113" s="1115" t="s">
        <v>2396</v>
      </c>
      <c r="G113" s="1107">
        <f>MEDIAN((Application!BR795:BR852))</f>
        <v>489600</v>
      </c>
    </row>
    <row r="114" spans="4:9" ht="15" customHeight="1">
      <c r="D114" s="1072"/>
      <c r="E114" s="1151" t="s">
        <v>2398</v>
      </c>
      <c r="F114" s="1167"/>
      <c r="G114" s="1168">
        <f>((G112-G113)/G113)*0.25</f>
        <v>0.127859477124183</v>
      </c>
      <c r="H114" s="1068"/>
      <c r="I114" s="1068"/>
    </row>
    <row r="115" spans="4:9" ht="15" customHeight="1">
      <c r="D115" s="1071"/>
      <c r="E115" s="1071"/>
    </row>
  </sheetData>
  <sheetProtection algorithmName="SHA-512" hashValue="/XZ061comX4U3e2kHE87EeB72u39Sn/40zeQP3H4doyhyMiyVOV7MDpoc9oJxej9dXptww8BAcwepTHYunN1mw==" saltValue="C4aEzYc3w0vXtIL+nTQizw=="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L62:M62"/>
    <mergeCell ref="L63:M63"/>
    <mergeCell ref="L64:M64"/>
    <mergeCell ref="L65:M65"/>
    <mergeCell ref="K89:L89"/>
    <mergeCell ref="K90:L90"/>
    <mergeCell ref="L66:M66"/>
    <mergeCell ref="L67:M67"/>
    <mergeCell ref="L68:M68"/>
    <mergeCell ref="L69:M69"/>
    <mergeCell ref="K88:L88"/>
  </mergeCells>
  <conditionalFormatting sqref="U20:U44">
    <cfRule type="cellIs" dxfId="32" priority="2" operator="equal">
      <formula>FALSE</formula>
    </cfRule>
  </conditionalFormatting>
  <conditionalFormatting sqref="L20:U44">
    <cfRule type="expression" dxfId="31"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110" zoomScaleNormal="110" zoomScaleSheetLayoutView="100" workbookViewId="0">
      <selection activeCell="Q694" sqref="Q694"/>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6328125" style="14" customWidth="1"/>
    <col min="7" max="14" width="2.453125" style="14" customWidth="1"/>
    <col min="15" max="15" width="2.6328125" style="14" customWidth="1"/>
    <col min="16" max="16" width="2.453125" style="14" customWidth="1"/>
    <col min="17" max="17" width="3.63281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0" customWidth="1"/>
    <col min="41" max="41" width="5.453125" style="30" hidden="1" customWidth="1"/>
    <col min="42" max="45" width="5.453125" style="14" hidden="1" customWidth="1"/>
    <col min="46" max="46" width="10.63281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08984375" style="14" hidden="1"/>
  </cols>
  <sheetData>
    <row r="1" spans="1:42" ht="15.75" customHeight="1">
      <c r="A1" s="1938" t="s">
        <v>1473</v>
      </c>
      <c r="B1" s="1938"/>
      <c r="C1" s="1938"/>
      <c r="D1" s="1938"/>
      <c r="E1" s="1938"/>
      <c r="F1" s="1938"/>
      <c r="G1" s="1938"/>
      <c r="H1" s="1938"/>
      <c r="I1" s="1938"/>
      <c r="J1" s="1938"/>
      <c r="K1" s="1938"/>
      <c r="L1" s="1938"/>
      <c r="M1" s="1938"/>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c r="AL1" s="1938"/>
      <c r="AM1" s="1938"/>
    </row>
    <row r="2" spans="1:42" s="562" customFormat="1" ht="12.75" customHeight="1" thickBot="1">
      <c r="A2" s="1939"/>
      <c r="B2" s="1939"/>
      <c r="C2" s="1939"/>
      <c r="D2" s="1939"/>
      <c r="E2" s="1939"/>
      <c r="F2" s="1939"/>
      <c r="G2" s="1939"/>
      <c r="H2" s="1939"/>
      <c r="I2" s="1939"/>
      <c r="J2" s="1939"/>
      <c r="K2" s="1939"/>
      <c r="L2" s="1939"/>
      <c r="M2" s="1939"/>
      <c r="N2" s="1939"/>
      <c r="O2" s="1939"/>
      <c r="P2" s="1939"/>
      <c r="Q2" s="1939"/>
      <c r="R2" s="1939"/>
      <c r="S2" s="1939"/>
      <c r="T2" s="1939"/>
      <c r="U2" s="1939"/>
      <c r="V2" s="1939"/>
      <c r="W2" s="1939"/>
      <c r="X2" s="1939"/>
      <c r="Y2" s="1939"/>
      <c r="Z2" s="1939"/>
      <c r="AA2" s="1939"/>
      <c r="AB2" s="1939"/>
      <c r="AC2" s="1939"/>
      <c r="AD2" s="1939"/>
      <c r="AE2" s="1939"/>
      <c r="AF2" s="1939"/>
      <c r="AG2" s="1939"/>
      <c r="AH2" s="1939"/>
      <c r="AI2" s="1939"/>
      <c r="AJ2" s="1939"/>
      <c r="AK2" s="1939"/>
      <c r="AL2" s="1939"/>
      <c r="AM2" s="1939"/>
      <c r="AN2" s="561"/>
    </row>
    <row r="3" spans="1:42" s="562" customFormat="1" ht="12.75" customHeight="1" thickTop="1">
      <c r="A3" s="563"/>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1"/>
    </row>
    <row r="4" spans="1:42" s="562" customFormat="1" ht="12.75" customHeight="1">
      <c r="A4" s="564" t="s">
        <v>1474</v>
      </c>
      <c r="B4" s="565" t="s">
        <v>1475</v>
      </c>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1"/>
    </row>
    <row r="5" spans="1:42" s="562" customFormat="1" ht="12.75" customHeight="1" thickBot="1">
      <c r="A5" s="564"/>
      <c r="B5" s="565"/>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1"/>
    </row>
    <row r="6" spans="1:42" s="562" customFormat="1" ht="12.75" customHeight="1" thickTop="1">
      <c r="A6" s="567"/>
      <c r="B6" s="567"/>
      <c r="C6" s="567"/>
      <c r="D6" s="567"/>
      <c r="E6" s="567"/>
      <c r="F6" s="567"/>
      <c r="G6" s="567"/>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8"/>
      <c r="AN6" s="561"/>
    </row>
    <row r="7" spans="1:42" s="562" customFormat="1" ht="12.75" customHeight="1">
      <c r="A7" s="564" t="s">
        <v>1476</v>
      </c>
      <c r="B7" s="565" t="s">
        <v>1477</v>
      </c>
      <c r="C7" s="565"/>
      <c r="D7" s="565"/>
      <c r="E7" s="565"/>
      <c r="F7" s="565"/>
      <c r="G7" s="565"/>
      <c r="H7" s="565"/>
      <c r="I7" s="565"/>
      <c r="J7" s="565"/>
      <c r="K7" s="565"/>
      <c r="L7" s="565"/>
      <c r="M7" s="565"/>
      <c r="N7" s="565"/>
      <c r="O7" s="565"/>
      <c r="P7" s="565"/>
      <c r="Q7" s="565"/>
      <c r="R7" s="565"/>
      <c r="S7" s="565"/>
      <c r="T7" s="565"/>
      <c r="U7" s="565"/>
      <c r="V7" s="565"/>
      <c r="W7" s="565"/>
      <c r="X7" s="565"/>
      <c r="Y7" s="565"/>
      <c r="Z7" s="565"/>
      <c r="AA7" s="565"/>
      <c r="AB7" s="565"/>
      <c r="AC7" s="565"/>
      <c r="AD7" s="565"/>
      <c r="AE7" s="1922" t="s">
        <v>1478</v>
      </c>
      <c r="AF7" s="1922"/>
      <c r="AG7" s="1922"/>
      <c r="AH7" s="1922"/>
      <c r="AI7" s="1922"/>
      <c r="AJ7" s="1922"/>
      <c r="AK7" s="1922"/>
      <c r="AL7" s="566"/>
      <c r="AM7" s="566"/>
      <c r="AN7" s="561"/>
    </row>
    <row r="8" spans="1:42" s="562" customFormat="1" ht="12.75" customHeight="1">
      <c r="A8" s="564"/>
      <c r="B8" s="565" t="s">
        <v>1990</v>
      </c>
      <c r="C8" s="565"/>
      <c r="D8" s="565"/>
      <c r="E8" s="565"/>
      <c r="F8" s="565"/>
      <c r="G8" s="565"/>
      <c r="H8" s="565"/>
      <c r="I8" s="565"/>
      <c r="J8" s="565"/>
      <c r="K8" s="565"/>
      <c r="L8" s="565"/>
      <c r="M8" s="565"/>
      <c r="N8" s="565"/>
      <c r="O8" s="565"/>
      <c r="P8" s="565"/>
      <c r="Q8" s="565"/>
      <c r="R8" s="565"/>
      <c r="S8" s="565"/>
      <c r="T8" s="565"/>
      <c r="U8" s="565"/>
      <c r="V8" s="565"/>
      <c r="W8" s="565"/>
      <c r="X8" s="565"/>
      <c r="Y8" s="565"/>
      <c r="Z8" s="565"/>
      <c r="AA8" s="565"/>
      <c r="AB8" s="565"/>
      <c r="AC8" s="565"/>
      <c r="AD8" s="565"/>
      <c r="AE8" s="569"/>
      <c r="AF8" s="569"/>
      <c r="AG8" s="569"/>
      <c r="AH8" s="569"/>
      <c r="AI8" s="569"/>
      <c r="AJ8" s="569"/>
      <c r="AK8" s="569"/>
      <c r="AL8" s="566"/>
      <c r="AM8" s="566"/>
      <c r="AN8" s="561"/>
    </row>
    <row r="9" spans="1:42" s="562" customFormat="1" ht="12.75" customHeight="1">
      <c r="A9" s="564"/>
      <c r="B9" s="565"/>
      <c r="C9" s="565"/>
      <c r="D9" s="565"/>
      <c r="E9" s="565"/>
      <c r="F9" s="565"/>
      <c r="G9" s="565"/>
      <c r="H9" s="565"/>
      <c r="I9" s="565"/>
      <c r="J9" s="565"/>
      <c r="K9" s="565"/>
      <c r="L9" s="565"/>
      <c r="M9" s="565"/>
      <c r="N9" s="565"/>
      <c r="O9" s="565"/>
      <c r="P9" s="565"/>
      <c r="Q9" s="565"/>
      <c r="R9" s="565"/>
      <c r="S9" s="565"/>
      <c r="T9" s="565"/>
      <c r="U9" s="565"/>
      <c r="V9" s="565"/>
      <c r="W9" s="565"/>
      <c r="X9" s="565"/>
      <c r="Y9" s="565"/>
      <c r="Z9" s="565"/>
      <c r="AA9" s="565"/>
      <c r="AB9" s="565"/>
      <c r="AC9" s="565"/>
      <c r="AD9" s="565"/>
      <c r="AE9" s="569"/>
      <c r="AF9" s="569"/>
      <c r="AG9" s="569"/>
      <c r="AH9" s="569"/>
      <c r="AI9" s="569"/>
      <c r="AJ9" s="569"/>
      <c r="AK9" s="569"/>
      <c r="AL9" s="566"/>
      <c r="AM9" s="566"/>
      <c r="AN9" s="561"/>
    </row>
    <row r="10" spans="1:42" s="562" customFormat="1" ht="12.75" customHeight="1">
      <c r="A10" s="564"/>
      <c r="B10" s="565" t="s">
        <v>2408</v>
      </c>
      <c r="C10" s="565"/>
      <c r="D10" s="565"/>
      <c r="E10" s="565"/>
      <c r="F10" s="565"/>
      <c r="G10" s="565"/>
      <c r="H10" s="565"/>
      <c r="I10" s="565"/>
      <c r="J10" s="565"/>
      <c r="K10" s="565"/>
      <c r="L10" s="565"/>
      <c r="M10" s="565"/>
      <c r="N10" s="565"/>
      <c r="O10" s="565"/>
      <c r="P10" s="565"/>
      <c r="Q10" s="565"/>
      <c r="R10" s="565"/>
      <c r="S10" s="565"/>
      <c r="T10" s="565"/>
      <c r="U10" s="565"/>
      <c r="V10" s="565"/>
      <c r="W10" s="565"/>
      <c r="X10" s="565"/>
      <c r="Y10" s="565"/>
      <c r="Z10" s="565"/>
      <c r="AA10" s="565"/>
      <c r="AB10" s="565"/>
      <c r="AC10" s="565"/>
      <c r="AD10" s="565"/>
      <c r="AE10" s="569"/>
      <c r="AF10" s="569"/>
      <c r="AG10" s="569"/>
      <c r="AH10" s="569"/>
      <c r="AI10" s="569"/>
      <c r="AJ10" s="569"/>
      <c r="AK10" s="569"/>
      <c r="AL10" s="566"/>
      <c r="AM10" s="566"/>
      <c r="AN10" s="561"/>
    </row>
    <row r="11" spans="1:42" s="562" customFormat="1" ht="12.75" customHeight="1">
      <c r="A11" s="566"/>
      <c r="C11" s="1176" t="s">
        <v>2402</v>
      </c>
      <c r="D11" s="1176"/>
      <c r="E11" s="1176"/>
      <c r="F11" s="1176"/>
      <c r="G11" s="1176"/>
      <c r="H11" s="1176"/>
      <c r="I11" s="1176"/>
      <c r="J11" s="1176"/>
      <c r="K11" s="1176"/>
      <c r="L11" s="1176"/>
      <c r="M11" s="1176"/>
      <c r="N11" s="1176"/>
      <c r="O11" s="1176"/>
      <c r="P11" s="1176"/>
      <c r="Q11" s="1176"/>
      <c r="R11" s="1176"/>
      <c r="S11" s="1176"/>
      <c r="T11" s="1176"/>
      <c r="U11" s="1176"/>
      <c r="V11" s="1176"/>
      <c r="W11" s="1176"/>
      <c r="X11" s="1176"/>
      <c r="Y11" s="1176"/>
      <c r="Z11" s="1176"/>
      <c r="AA11" s="1176"/>
      <c r="AB11" s="1176"/>
      <c r="AC11" s="1176"/>
      <c r="AD11" s="1176"/>
      <c r="AE11" s="1176"/>
      <c r="AF11" s="1176"/>
      <c r="AG11" s="1176"/>
      <c r="AH11" s="1176"/>
      <c r="AI11" s="1176"/>
      <c r="AJ11" s="1176"/>
      <c r="AK11" s="566"/>
      <c r="AL11" s="566"/>
      <c r="AM11" s="566"/>
      <c r="AN11" s="561"/>
      <c r="AO11" s="473"/>
      <c r="AP11" s="571"/>
    </row>
    <row r="12" spans="1:42" s="562" customFormat="1" ht="12.75" customHeight="1">
      <c r="A12" s="566"/>
      <c r="B12" s="572"/>
      <c r="C12" s="566"/>
      <c r="D12" s="566"/>
      <c r="E12" s="566"/>
      <c r="F12" s="566"/>
      <c r="G12" s="566"/>
      <c r="H12" s="566"/>
      <c r="I12" s="566"/>
      <c r="J12" s="566"/>
      <c r="K12" s="566"/>
      <c r="L12" s="566"/>
      <c r="M12" s="566"/>
      <c r="N12" s="566"/>
      <c r="O12" s="566"/>
      <c r="P12" s="566"/>
      <c r="Q12" s="566"/>
      <c r="R12" s="566"/>
      <c r="S12" s="566"/>
      <c r="T12" s="566"/>
      <c r="U12" s="566"/>
      <c r="V12" s="566"/>
      <c r="W12" s="566"/>
      <c r="X12" s="566"/>
      <c r="Y12" s="566"/>
      <c r="Z12" s="566"/>
      <c r="AA12" s="566"/>
      <c r="AB12" s="566"/>
      <c r="AC12" s="566"/>
      <c r="AD12" s="566"/>
      <c r="AE12" s="566"/>
      <c r="AF12" s="566"/>
      <c r="AG12" s="566"/>
      <c r="AH12" s="566"/>
      <c r="AI12" s="566"/>
      <c r="AJ12" s="566"/>
      <c r="AK12" s="566"/>
      <c r="AL12" s="566"/>
      <c r="AM12" s="566"/>
      <c r="AN12" s="561"/>
      <c r="AP12" s="14"/>
    </row>
    <row r="13" spans="1:42" s="562" customFormat="1" ht="12.75" customHeight="1">
      <c r="A13" s="566"/>
      <c r="B13" s="1912" t="s">
        <v>601</v>
      </c>
      <c r="C13" s="1912"/>
      <c r="D13" s="573"/>
      <c r="E13" s="574" t="s">
        <v>1479</v>
      </c>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1940"/>
      <c r="AH13" s="1940"/>
      <c r="AI13" s="1940"/>
      <c r="AJ13" s="1941"/>
      <c r="AK13" s="566"/>
      <c r="AL13" s="566"/>
      <c r="AM13" s="566"/>
      <c r="AN13" s="561"/>
      <c r="AO13" s="576">
        <f>IF($B13="yes",20,0)</f>
        <v>0</v>
      </c>
      <c r="AP13" s="14"/>
    </row>
    <row r="14" spans="1:42" s="562" customFormat="1" ht="12.75" customHeight="1">
      <c r="A14" s="566"/>
      <c r="B14" s="566"/>
      <c r="C14" s="566"/>
      <c r="D14" s="14"/>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1"/>
      <c r="AO14" s="576">
        <f>IF(AND($B16="yes",E20&gt;0),20,0)</f>
        <v>0</v>
      </c>
      <c r="AP14" s="14"/>
    </row>
    <row r="15" spans="1:42" s="562" customFormat="1" ht="12.75" customHeight="1">
      <c r="A15" s="566"/>
      <c r="B15" s="566"/>
      <c r="C15" s="566"/>
      <c r="D15" s="576"/>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1"/>
      <c r="AO15" s="576">
        <f>IF($B22="yes",20,0)</f>
        <v>0</v>
      </c>
      <c r="AP15" s="14"/>
    </row>
    <row r="16" spans="1:42" s="562" customFormat="1" ht="12.75" customHeight="1">
      <c r="A16" s="566"/>
      <c r="B16" s="1912" t="s">
        <v>601</v>
      </c>
      <c r="C16" s="1912"/>
      <c r="D16" s="573"/>
      <c r="E16" s="1923" t="s">
        <v>1480</v>
      </c>
      <c r="F16" s="1924"/>
      <c r="G16" s="1924"/>
      <c r="H16" s="1924"/>
      <c r="I16" s="1924"/>
      <c r="J16" s="1924"/>
      <c r="K16" s="1924"/>
      <c r="L16" s="1924"/>
      <c r="M16" s="1924"/>
      <c r="N16" s="1924"/>
      <c r="O16" s="1924"/>
      <c r="P16" s="1924"/>
      <c r="Q16" s="1924"/>
      <c r="R16" s="1924"/>
      <c r="S16" s="1924"/>
      <c r="T16" s="1924"/>
      <c r="U16" s="1924"/>
      <c r="V16" s="1924"/>
      <c r="W16" s="1924"/>
      <c r="X16" s="1924"/>
      <c r="Y16" s="1924"/>
      <c r="Z16" s="1924"/>
      <c r="AA16" s="1924"/>
      <c r="AB16" s="1924"/>
      <c r="AC16" s="1924"/>
      <c r="AD16" s="1924"/>
      <c r="AE16" s="1924"/>
      <c r="AF16" s="1924"/>
      <c r="AG16" s="1924"/>
      <c r="AH16" s="1924"/>
      <c r="AI16" s="1924"/>
      <c r="AJ16" s="1925"/>
      <c r="AK16" s="566"/>
      <c r="AL16" s="566"/>
      <c r="AM16" s="566"/>
      <c r="AN16" s="561"/>
      <c r="AO16" s="576">
        <f>IF($B25="yes",20,0)</f>
        <v>0</v>
      </c>
      <c r="AP16" s="14"/>
    </row>
    <row r="17" spans="1:42" s="562" customFormat="1" ht="12.75" customHeight="1">
      <c r="A17" s="566"/>
      <c r="B17" s="566"/>
      <c r="C17" s="566"/>
      <c r="D17" s="577"/>
      <c r="E17" s="1926"/>
      <c r="F17" s="1927"/>
      <c r="G17" s="1927"/>
      <c r="H17" s="1927"/>
      <c r="I17" s="1927"/>
      <c r="J17" s="1927"/>
      <c r="K17" s="1927"/>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8"/>
      <c r="AK17" s="566"/>
      <c r="AL17" s="566"/>
      <c r="AM17" s="566"/>
      <c r="AN17" s="561"/>
      <c r="AO17" s="562">
        <f>IF(SUM(AO13:AO16)&gt;20,20,(SUM(AO13:AO16)))</f>
        <v>0</v>
      </c>
      <c r="AP17" s="562" t="s">
        <v>1481</v>
      </c>
    </row>
    <row r="18" spans="1:42" s="562" customFormat="1" ht="12.75" customHeight="1">
      <c r="A18" s="566"/>
      <c r="B18" s="566"/>
      <c r="C18" s="566"/>
      <c r="D18" s="577"/>
      <c r="E18" s="1926"/>
      <c r="F18" s="1927"/>
      <c r="G18" s="1927"/>
      <c r="H18" s="1927"/>
      <c r="I18" s="1927"/>
      <c r="J18" s="1927"/>
      <c r="K18" s="1927"/>
      <c r="L18" s="1927"/>
      <c r="M18" s="1927"/>
      <c r="N18" s="1927"/>
      <c r="O18" s="1927"/>
      <c r="P18" s="1927"/>
      <c r="Q18" s="1927"/>
      <c r="R18" s="1927"/>
      <c r="S18" s="1927"/>
      <c r="T18" s="1927"/>
      <c r="U18" s="1927"/>
      <c r="V18" s="1927"/>
      <c r="W18" s="1927"/>
      <c r="X18" s="1927"/>
      <c r="Y18" s="1927"/>
      <c r="Z18" s="1927"/>
      <c r="AA18" s="1927"/>
      <c r="AB18" s="1927"/>
      <c r="AC18" s="1927"/>
      <c r="AD18" s="1927"/>
      <c r="AE18" s="1927"/>
      <c r="AF18" s="1927"/>
      <c r="AG18" s="1927"/>
      <c r="AH18" s="1927"/>
      <c r="AI18" s="1927"/>
      <c r="AJ18" s="1928"/>
      <c r="AK18" s="566"/>
      <c r="AL18" s="566"/>
      <c r="AM18" s="566"/>
      <c r="AN18" s="561"/>
    </row>
    <row r="19" spans="1:42" s="562" customFormat="1" ht="12.75" customHeight="1">
      <c r="A19" s="566"/>
      <c r="B19" s="566"/>
      <c r="C19" s="566"/>
      <c r="D19" s="577"/>
      <c r="E19" s="578" t="s">
        <v>1482</v>
      </c>
      <c r="F19" s="579"/>
      <c r="G19" s="579"/>
      <c r="H19" s="579"/>
      <c r="I19" s="579"/>
      <c r="J19" s="579"/>
      <c r="K19" s="579"/>
      <c r="L19" s="579"/>
      <c r="M19" s="579"/>
      <c r="N19" s="579"/>
      <c r="O19" s="579"/>
      <c r="P19" s="579"/>
      <c r="Q19" s="579"/>
      <c r="R19" s="579"/>
      <c r="S19" s="579"/>
      <c r="T19" s="579"/>
      <c r="U19" s="579"/>
      <c r="V19" s="579"/>
      <c r="W19" s="579"/>
      <c r="X19" s="579"/>
      <c r="Y19" s="579"/>
      <c r="Z19" s="579"/>
      <c r="AA19" s="579"/>
      <c r="AB19" s="579"/>
      <c r="AC19" s="579"/>
      <c r="AD19" s="579"/>
      <c r="AE19" s="579"/>
      <c r="AF19" s="579"/>
      <c r="AG19" s="579"/>
      <c r="AH19" s="579"/>
      <c r="AI19" s="579"/>
      <c r="AJ19" s="580"/>
      <c r="AK19" s="566"/>
      <c r="AL19" s="566"/>
      <c r="AM19" s="566"/>
      <c r="AN19" s="561"/>
    </row>
    <row r="20" spans="1:42" s="562" customFormat="1" ht="12.75" customHeight="1">
      <c r="A20" s="566"/>
      <c r="B20" s="566"/>
      <c r="C20" s="566"/>
      <c r="D20" s="577"/>
      <c r="E20" s="1951"/>
      <c r="F20" s="1952"/>
      <c r="G20" s="1952"/>
      <c r="H20" s="1952"/>
      <c r="I20" s="1952"/>
      <c r="J20" s="1952"/>
      <c r="K20" s="1952"/>
      <c r="L20" s="1952"/>
      <c r="M20" s="1952"/>
      <c r="N20" s="1952"/>
      <c r="O20" s="1952"/>
      <c r="P20" s="1952"/>
      <c r="Q20" s="1952"/>
      <c r="R20" s="1952"/>
      <c r="S20" s="1952"/>
      <c r="T20" s="1952"/>
      <c r="U20" s="1952"/>
      <c r="V20" s="1952"/>
      <c r="W20" s="1952"/>
      <c r="X20" s="1952"/>
      <c r="Y20" s="1952"/>
      <c r="Z20" s="1952"/>
      <c r="AA20" s="1952"/>
      <c r="AB20" s="1952"/>
      <c r="AC20" s="1952"/>
      <c r="AD20" s="1952"/>
      <c r="AE20" s="1952"/>
      <c r="AF20" s="1952"/>
      <c r="AG20" s="1952"/>
      <c r="AH20" s="1952"/>
      <c r="AI20" s="1952"/>
      <c r="AJ20" s="1953"/>
      <c r="AK20" s="566"/>
      <c r="AL20" s="566"/>
      <c r="AM20" s="566"/>
      <c r="AN20" s="561"/>
      <c r="AO20" s="576">
        <f>IF($B30="yes",14,0)</f>
        <v>0</v>
      </c>
    </row>
    <row r="21" spans="1:42" s="562" customFormat="1" ht="12.75" customHeight="1">
      <c r="A21" s="566"/>
      <c r="B21" s="566"/>
      <c r="C21" s="566"/>
      <c r="E21" s="566"/>
      <c r="F21" s="566"/>
      <c r="G21" s="566"/>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1"/>
      <c r="AO21" s="576">
        <f>IF($B33="yes",14,0)</f>
        <v>0</v>
      </c>
      <c r="AP21" s="14"/>
    </row>
    <row r="22" spans="1:42" s="562" customFormat="1" ht="12.75" customHeight="1">
      <c r="A22" s="566"/>
      <c r="B22" s="1912" t="s">
        <v>601</v>
      </c>
      <c r="C22" s="1912"/>
      <c r="D22" s="573"/>
      <c r="E22" s="1945" t="s">
        <v>1483</v>
      </c>
      <c r="F22" s="1946"/>
      <c r="G22" s="1946"/>
      <c r="H22" s="1946"/>
      <c r="I22" s="1946"/>
      <c r="J22" s="1946"/>
      <c r="K22" s="1946"/>
      <c r="L22" s="1946"/>
      <c r="M22" s="1946"/>
      <c r="N22" s="1946"/>
      <c r="O22" s="1946"/>
      <c r="P22" s="1946"/>
      <c r="Q22" s="1946"/>
      <c r="R22" s="1946"/>
      <c r="S22" s="1946"/>
      <c r="T22" s="1946"/>
      <c r="U22" s="1946"/>
      <c r="V22" s="1946"/>
      <c r="W22" s="1946"/>
      <c r="X22" s="1946"/>
      <c r="Y22" s="1946"/>
      <c r="Z22" s="1946"/>
      <c r="AA22" s="1946"/>
      <c r="AB22" s="1946"/>
      <c r="AC22" s="1946"/>
      <c r="AD22" s="1946"/>
      <c r="AE22" s="1946"/>
      <c r="AF22" s="1946"/>
      <c r="AG22" s="1946"/>
      <c r="AH22" s="1946"/>
      <c r="AI22" s="1946"/>
      <c r="AJ22" s="1947"/>
      <c r="AK22" s="566"/>
      <c r="AL22" s="566"/>
      <c r="AM22" s="566"/>
      <c r="AN22" s="561"/>
      <c r="AO22" s="562">
        <f>IF(SUM(AO20:AO21)&gt;14,14,SUM(AO20:AO21))</f>
        <v>0</v>
      </c>
      <c r="AP22" s="562" t="s">
        <v>1481</v>
      </c>
    </row>
    <row r="23" spans="1:42" s="562" customFormat="1" ht="12.75" customHeight="1">
      <c r="A23" s="566"/>
      <c r="B23" s="566"/>
      <c r="C23" s="566"/>
      <c r="D23" s="576"/>
      <c r="E23" s="1948"/>
      <c r="F23" s="1949"/>
      <c r="G23" s="1949"/>
      <c r="H23" s="1949"/>
      <c r="I23" s="1949"/>
      <c r="J23" s="1949"/>
      <c r="K23" s="1949"/>
      <c r="L23" s="1949"/>
      <c r="M23" s="1949"/>
      <c r="N23" s="1949"/>
      <c r="O23" s="1949"/>
      <c r="P23" s="1949"/>
      <c r="Q23" s="1949"/>
      <c r="R23" s="1949"/>
      <c r="S23" s="1949"/>
      <c r="T23" s="1949"/>
      <c r="U23" s="1949"/>
      <c r="V23" s="1949"/>
      <c r="W23" s="1949"/>
      <c r="X23" s="1949"/>
      <c r="Y23" s="1949"/>
      <c r="Z23" s="1949"/>
      <c r="AA23" s="1949"/>
      <c r="AB23" s="1949"/>
      <c r="AC23" s="1949"/>
      <c r="AD23" s="1949"/>
      <c r="AE23" s="1949"/>
      <c r="AF23" s="1949"/>
      <c r="AG23" s="1949"/>
      <c r="AH23" s="1949"/>
      <c r="AI23" s="1949"/>
      <c r="AJ23" s="1950"/>
      <c r="AK23" s="566"/>
      <c r="AL23" s="566"/>
      <c r="AM23" s="566"/>
      <c r="AN23" s="561"/>
    </row>
    <row r="24" spans="1:42" s="562" customFormat="1" ht="12.75" customHeight="1">
      <c r="A24" s="566"/>
      <c r="B24" s="566"/>
      <c r="C24" s="566"/>
      <c r="D24" s="577"/>
      <c r="E24" s="566"/>
      <c r="F24" s="566"/>
      <c r="G24" s="566"/>
      <c r="H24" s="566"/>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1"/>
      <c r="AO24" s="576">
        <f>IF($B39="yes",6,0)</f>
        <v>0</v>
      </c>
    </row>
    <row r="25" spans="1:42" s="562" customFormat="1" ht="12.75" customHeight="1">
      <c r="A25" s="566"/>
      <c r="B25" s="1912" t="s">
        <v>601</v>
      </c>
      <c r="C25" s="1912"/>
      <c r="D25" s="573"/>
      <c r="E25" s="1913" t="s">
        <v>2432</v>
      </c>
      <c r="F25" s="1914"/>
      <c r="G25" s="1914"/>
      <c r="H25" s="1914"/>
      <c r="I25" s="1914"/>
      <c r="J25" s="1914"/>
      <c r="K25" s="1914"/>
      <c r="L25" s="1914"/>
      <c r="M25" s="1914"/>
      <c r="N25" s="1914"/>
      <c r="O25" s="1914"/>
      <c r="P25" s="1914"/>
      <c r="Q25" s="1914"/>
      <c r="R25" s="1914"/>
      <c r="S25" s="1914"/>
      <c r="T25" s="1914"/>
      <c r="U25" s="1914"/>
      <c r="V25" s="1914"/>
      <c r="W25" s="1914"/>
      <c r="X25" s="1914"/>
      <c r="Y25" s="1914"/>
      <c r="Z25" s="1914"/>
      <c r="AA25" s="1914"/>
      <c r="AB25" s="1914"/>
      <c r="AC25" s="1914"/>
      <c r="AD25" s="1914"/>
      <c r="AE25" s="1914"/>
      <c r="AF25" s="1914"/>
      <c r="AG25" s="1914"/>
      <c r="AH25" s="1914"/>
      <c r="AI25" s="1914"/>
      <c r="AJ25" s="1915"/>
      <c r="AK25" s="566"/>
      <c r="AL25" s="566"/>
      <c r="AM25" s="566"/>
      <c r="AN25" s="561"/>
      <c r="AO25" s="562">
        <f>IF(AO24&gt;6,6,AO24)</f>
        <v>0</v>
      </c>
      <c r="AP25" s="562" t="s">
        <v>1481</v>
      </c>
    </row>
    <row r="26" spans="1:42" s="562" customFormat="1" ht="12.75" customHeight="1">
      <c r="A26" s="566"/>
      <c r="B26" s="566"/>
      <c r="C26" s="566"/>
      <c r="D26" s="576"/>
      <c r="E26" s="1916"/>
      <c r="F26" s="1917"/>
      <c r="G26" s="1917"/>
      <c r="H26" s="1917"/>
      <c r="I26" s="1917"/>
      <c r="J26" s="1917"/>
      <c r="K26" s="1917"/>
      <c r="L26" s="1917"/>
      <c r="M26" s="1917"/>
      <c r="N26" s="1917"/>
      <c r="O26" s="1917"/>
      <c r="P26" s="1917"/>
      <c r="Q26" s="1917"/>
      <c r="R26" s="1917"/>
      <c r="S26" s="1917"/>
      <c r="T26" s="1917"/>
      <c r="U26" s="1917"/>
      <c r="V26" s="1917"/>
      <c r="W26" s="1917"/>
      <c r="X26" s="1917"/>
      <c r="Y26" s="1917"/>
      <c r="Z26" s="1917"/>
      <c r="AA26" s="1917"/>
      <c r="AB26" s="1917"/>
      <c r="AC26" s="1917"/>
      <c r="AD26" s="1917"/>
      <c r="AE26" s="1917"/>
      <c r="AF26" s="1917"/>
      <c r="AG26" s="1917"/>
      <c r="AH26" s="1917"/>
      <c r="AI26" s="1917"/>
      <c r="AJ26" s="1918"/>
      <c r="AK26" s="566"/>
      <c r="AL26" s="566"/>
      <c r="AM26" s="566"/>
      <c r="AN26" s="561"/>
      <c r="AO26" s="576"/>
    </row>
    <row r="27" spans="1:42" s="562" customFormat="1" ht="12.75" customHeight="1">
      <c r="A27" s="566"/>
      <c r="B27" s="566"/>
      <c r="C27" s="566"/>
      <c r="D27" s="576"/>
      <c r="E27" s="566"/>
      <c r="F27" s="566"/>
      <c r="G27" s="566"/>
      <c r="H27" s="566"/>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1"/>
      <c r="AO27" s="576"/>
    </row>
    <row r="28" spans="1:42" s="562" customFormat="1" ht="12.75" customHeight="1">
      <c r="A28" s="566"/>
      <c r="C28" s="570" t="s">
        <v>2403</v>
      </c>
      <c r="E28" s="566"/>
      <c r="F28" s="566"/>
      <c r="G28" s="566"/>
      <c r="H28" s="566"/>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1"/>
      <c r="AO28" s="576">
        <f>IF(AND(B46="Yes",B50="Yes",B52="Yes"),20,0)</f>
        <v>0</v>
      </c>
    </row>
    <row r="29" spans="1:42" s="562" customFormat="1" ht="12.75" customHeight="1">
      <c r="A29" s="566"/>
      <c r="B29" s="566"/>
      <c r="C29" s="566"/>
      <c r="E29" s="566"/>
      <c r="F29" s="566"/>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1"/>
      <c r="AO29" s="562">
        <f>IF(AO28&gt;20,20,AO28)</f>
        <v>0</v>
      </c>
      <c r="AP29" s="562" t="s">
        <v>1481</v>
      </c>
    </row>
    <row r="30" spans="1:42" s="562" customFormat="1" ht="12.75" customHeight="1">
      <c r="A30" s="566"/>
      <c r="B30" s="1912" t="s">
        <v>601</v>
      </c>
      <c r="C30" s="1912"/>
      <c r="D30" s="573"/>
      <c r="E30" s="1945" t="s">
        <v>2404</v>
      </c>
      <c r="F30" s="1946"/>
      <c r="G30" s="1946"/>
      <c r="H30" s="1946"/>
      <c r="I30" s="1946"/>
      <c r="J30" s="1946"/>
      <c r="K30" s="1946"/>
      <c r="L30" s="194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7"/>
      <c r="AK30" s="566"/>
      <c r="AL30" s="566"/>
      <c r="AM30" s="566"/>
      <c r="AN30" s="561"/>
      <c r="AO30" s="576"/>
    </row>
    <row r="31" spans="1:42" s="562" customFormat="1" ht="12.75" customHeight="1">
      <c r="A31" s="566"/>
      <c r="B31" s="566"/>
      <c r="C31" s="566"/>
      <c r="E31" s="1948"/>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50"/>
      <c r="AK31" s="566"/>
      <c r="AL31" s="566"/>
      <c r="AM31" s="566"/>
      <c r="AN31" s="561"/>
    </row>
    <row r="32" spans="1:42" s="562" customFormat="1" ht="12.75" customHeight="1">
      <c r="A32" s="566"/>
      <c r="B32" s="566"/>
      <c r="C32" s="566"/>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566"/>
      <c r="AL32" s="566"/>
      <c r="AM32" s="566"/>
      <c r="AN32" s="561"/>
    </row>
    <row r="33" spans="1:41" s="562" customFormat="1" ht="12.75" customHeight="1">
      <c r="A33" s="566"/>
      <c r="B33" s="1912" t="s">
        <v>601</v>
      </c>
      <c r="C33" s="1912"/>
      <c r="D33" s="573"/>
      <c r="E33" s="1913" t="s">
        <v>2405</v>
      </c>
      <c r="F33" s="1914"/>
      <c r="G33" s="1914"/>
      <c r="H33" s="1914"/>
      <c r="I33" s="1914"/>
      <c r="J33" s="1914"/>
      <c r="K33" s="1914"/>
      <c r="L33" s="1914"/>
      <c r="M33" s="1914"/>
      <c r="N33" s="1914"/>
      <c r="O33" s="1914"/>
      <c r="P33" s="1914"/>
      <c r="Q33" s="1914"/>
      <c r="R33" s="1914"/>
      <c r="S33" s="1914"/>
      <c r="T33" s="1914"/>
      <c r="U33" s="1914"/>
      <c r="V33" s="1914"/>
      <c r="W33" s="1914"/>
      <c r="X33" s="1914"/>
      <c r="Y33" s="1914"/>
      <c r="Z33" s="1914"/>
      <c r="AA33" s="1914"/>
      <c r="AB33" s="1914"/>
      <c r="AC33" s="1914"/>
      <c r="AD33" s="1914"/>
      <c r="AE33" s="1914"/>
      <c r="AF33" s="1914"/>
      <c r="AG33" s="1914"/>
      <c r="AH33" s="1914"/>
      <c r="AI33" s="1914"/>
      <c r="AJ33" s="1915"/>
      <c r="AK33" s="566"/>
      <c r="AL33" s="566"/>
      <c r="AM33" s="566"/>
      <c r="AN33" s="561"/>
    </row>
    <row r="34" spans="1:41" s="562" customFormat="1" ht="12.75" customHeight="1">
      <c r="A34" s="566"/>
      <c r="B34" s="566"/>
      <c r="C34" s="566"/>
      <c r="E34" s="1919"/>
      <c r="F34" s="1920"/>
      <c r="G34" s="1920"/>
      <c r="H34" s="1920"/>
      <c r="I34" s="1920"/>
      <c r="J34" s="1920"/>
      <c r="K34" s="1920"/>
      <c r="L34" s="1920"/>
      <c r="M34" s="1920"/>
      <c r="N34" s="1920"/>
      <c r="O34" s="1920"/>
      <c r="P34" s="1920"/>
      <c r="Q34" s="1920"/>
      <c r="R34" s="1920"/>
      <c r="S34" s="1920"/>
      <c r="T34" s="1920"/>
      <c r="U34" s="1920"/>
      <c r="V34" s="1920"/>
      <c r="W34" s="1920"/>
      <c r="X34" s="1920"/>
      <c r="Y34" s="1920"/>
      <c r="Z34" s="1920"/>
      <c r="AA34" s="1920"/>
      <c r="AB34" s="1920"/>
      <c r="AC34" s="1920"/>
      <c r="AD34" s="1920"/>
      <c r="AE34" s="1920"/>
      <c r="AF34" s="1920"/>
      <c r="AG34" s="1920"/>
      <c r="AH34" s="1920"/>
      <c r="AI34" s="1920"/>
      <c r="AJ34" s="1921"/>
      <c r="AK34" s="566"/>
      <c r="AL34" s="566"/>
      <c r="AM34" s="566"/>
      <c r="AN34" s="561"/>
    </row>
    <row r="35" spans="1:41" s="562" customFormat="1" ht="12.75" customHeight="1">
      <c r="A35" s="566"/>
      <c r="B35" s="566"/>
      <c r="C35" s="566"/>
      <c r="E35" s="1916"/>
      <c r="F35" s="1917"/>
      <c r="G35" s="1917"/>
      <c r="H35" s="1917"/>
      <c r="I35" s="1917"/>
      <c r="J35" s="1917"/>
      <c r="K35" s="1917"/>
      <c r="L35" s="1917"/>
      <c r="M35" s="1917"/>
      <c r="N35" s="1917"/>
      <c r="O35" s="1917"/>
      <c r="P35" s="1917"/>
      <c r="Q35" s="1917"/>
      <c r="R35" s="1917"/>
      <c r="S35" s="1917"/>
      <c r="T35" s="1917"/>
      <c r="U35" s="1917"/>
      <c r="V35" s="1917"/>
      <c r="W35" s="1917"/>
      <c r="X35" s="1917"/>
      <c r="Y35" s="1917"/>
      <c r="Z35" s="1917"/>
      <c r="AA35" s="1917"/>
      <c r="AB35" s="1917"/>
      <c r="AC35" s="1917"/>
      <c r="AD35" s="1917"/>
      <c r="AE35" s="1917"/>
      <c r="AF35" s="1917"/>
      <c r="AG35" s="1917"/>
      <c r="AH35" s="1917"/>
      <c r="AI35" s="1917"/>
      <c r="AJ35" s="1918"/>
      <c r="AK35" s="566"/>
      <c r="AL35" s="566"/>
      <c r="AM35" s="566"/>
      <c r="AN35" s="561"/>
    </row>
    <row r="36" spans="1:41" s="562" customFormat="1" ht="12.75" customHeight="1">
      <c r="A36" s="566"/>
      <c r="B36" s="566"/>
      <c r="C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1"/>
      <c r="AO36" s="562">
        <f>MAX(AO17,AO22,AO25,AO29)</f>
        <v>0</v>
      </c>
    </row>
    <row r="37" spans="1:41" s="562" customFormat="1" ht="12.75" customHeight="1">
      <c r="A37" s="566"/>
      <c r="C37" s="570" t="s">
        <v>2407</v>
      </c>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1"/>
    </row>
    <row r="38" spans="1:41" s="562" customFormat="1" ht="12.75" customHeight="1">
      <c r="A38" s="566"/>
      <c r="C38" s="1177"/>
      <c r="D38" s="1177"/>
      <c r="E38" s="1177"/>
      <c r="F38" s="1177"/>
      <c r="G38" s="1177"/>
      <c r="H38" s="1177"/>
      <c r="I38" s="1177"/>
      <c r="J38" s="1177"/>
      <c r="K38" s="1177"/>
      <c r="L38" s="1177"/>
      <c r="M38" s="1177"/>
      <c r="N38" s="1177"/>
      <c r="O38" s="1177"/>
      <c r="P38" s="1177"/>
      <c r="Q38" s="1177"/>
      <c r="R38" s="1177"/>
      <c r="S38" s="1177"/>
      <c r="T38" s="1177"/>
      <c r="U38" s="1177"/>
      <c r="V38" s="1177"/>
      <c r="W38" s="1177"/>
      <c r="X38" s="1177"/>
      <c r="Y38" s="1177"/>
      <c r="Z38" s="1177"/>
      <c r="AA38" s="1177"/>
      <c r="AB38" s="1177"/>
      <c r="AC38" s="1177"/>
      <c r="AD38" s="1177"/>
      <c r="AE38" s="1177"/>
      <c r="AF38" s="1177"/>
      <c r="AG38" s="1177"/>
      <c r="AH38" s="1177"/>
      <c r="AI38" s="1177"/>
      <c r="AJ38" s="1177"/>
      <c r="AK38" s="1177"/>
      <c r="AL38" s="566"/>
      <c r="AM38" s="566"/>
      <c r="AN38" s="561"/>
    </row>
    <row r="39" spans="1:41" s="562" customFormat="1" ht="12.75" customHeight="1">
      <c r="A39" s="566"/>
      <c r="B39" s="1912" t="s">
        <v>601</v>
      </c>
      <c r="C39" s="1912"/>
      <c r="D39" s="1177"/>
      <c r="E39" s="1913" t="s">
        <v>2406</v>
      </c>
      <c r="F39" s="1914"/>
      <c r="G39" s="1914"/>
      <c r="H39" s="1914"/>
      <c r="I39" s="1914"/>
      <c r="J39" s="1914"/>
      <c r="K39" s="1914"/>
      <c r="L39" s="1914"/>
      <c r="M39" s="1914"/>
      <c r="N39" s="1914"/>
      <c r="O39" s="1914"/>
      <c r="P39" s="1914"/>
      <c r="Q39" s="1914"/>
      <c r="R39" s="1914"/>
      <c r="S39" s="1914"/>
      <c r="T39" s="1914"/>
      <c r="U39" s="1914"/>
      <c r="V39" s="1914"/>
      <c r="W39" s="1914"/>
      <c r="X39" s="1914"/>
      <c r="Y39" s="1914"/>
      <c r="Z39" s="1914"/>
      <c r="AA39" s="1914"/>
      <c r="AB39" s="1914"/>
      <c r="AC39" s="1914"/>
      <c r="AD39" s="1914"/>
      <c r="AE39" s="1914"/>
      <c r="AF39" s="1914"/>
      <c r="AG39" s="1914"/>
      <c r="AH39" s="1914"/>
      <c r="AI39" s="1914"/>
      <c r="AJ39" s="1915"/>
      <c r="AK39" s="1177"/>
      <c r="AL39" s="566"/>
      <c r="AM39" s="566"/>
      <c r="AN39" s="561"/>
    </row>
    <row r="40" spans="1:41" s="562" customFormat="1" ht="12.75" customHeight="1">
      <c r="A40" s="566"/>
      <c r="B40" s="566"/>
      <c r="C40" s="566"/>
      <c r="E40" s="1919"/>
      <c r="F40" s="1920"/>
      <c r="G40" s="1920"/>
      <c r="H40" s="1920"/>
      <c r="I40" s="1920"/>
      <c r="J40" s="1920"/>
      <c r="K40" s="1920"/>
      <c r="L40" s="1920"/>
      <c r="M40" s="1920"/>
      <c r="N40" s="1920"/>
      <c r="O40" s="1920"/>
      <c r="P40" s="1920"/>
      <c r="Q40" s="1920"/>
      <c r="R40" s="1920"/>
      <c r="S40" s="1920"/>
      <c r="T40" s="1920"/>
      <c r="U40" s="1920"/>
      <c r="V40" s="1920"/>
      <c r="W40" s="1920"/>
      <c r="X40" s="1920"/>
      <c r="Y40" s="1920"/>
      <c r="Z40" s="1920"/>
      <c r="AA40" s="1920"/>
      <c r="AB40" s="1920"/>
      <c r="AC40" s="1920"/>
      <c r="AD40" s="1920"/>
      <c r="AE40" s="1920"/>
      <c r="AF40" s="1920"/>
      <c r="AG40" s="1920"/>
      <c r="AH40" s="1920"/>
      <c r="AI40" s="1920"/>
      <c r="AJ40" s="1921"/>
      <c r="AK40" s="566"/>
      <c r="AL40" s="566"/>
      <c r="AM40" s="566"/>
      <c r="AN40" s="561"/>
    </row>
    <row r="41" spans="1:41" s="562" customFormat="1" ht="12.75" customHeight="1">
      <c r="A41" s="566"/>
      <c r="D41" s="573"/>
      <c r="E41" s="1916"/>
      <c r="F41" s="1917"/>
      <c r="G41" s="1917"/>
      <c r="H41" s="1917"/>
      <c r="I41" s="1917"/>
      <c r="J41" s="1917"/>
      <c r="K41" s="1917"/>
      <c r="L41" s="1917"/>
      <c r="M41" s="1917"/>
      <c r="N41" s="1917"/>
      <c r="O41" s="1917"/>
      <c r="P41" s="1917"/>
      <c r="Q41" s="1917"/>
      <c r="R41" s="1917"/>
      <c r="S41" s="1917"/>
      <c r="T41" s="1917"/>
      <c r="U41" s="1917"/>
      <c r="V41" s="1917"/>
      <c r="W41" s="1917"/>
      <c r="X41" s="1917"/>
      <c r="Y41" s="1917"/>
      <c r="Z41" s="1917"/>
      <c r="AA41" s="1917"/>
      <c r="AB41" s="1917"/>
      <c r="AC41" s="1917"/>
      <c r="AD41" s="1917"/>
      <c r="AE41" s="1917"/>
      <c r="AF41" s="1917"/>
      <c r="AG41" s="1917"/>
      <c r="AH41" s="1917"/>
      <c r="AI41" s="1917"/>
      <c r="AJ41" s="1918"/>
      <c r="AK41" s="566"/>
      <c r="AL41" s="566"/>
      <c r="AM41" s="566"/>
      <c r="AN41" s="561"/>
      <c r="AO41" s="582"/>
    </row>
    <row r="42" spans="1:41" s="562" customFormat="1" ht="12.75" customHeight="1">
      <c r="A42" s="566"/>
      <c r="B42" s="566"/>
      <c r="C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1"/>
      <c r="AO42" s="582"/>
    </row>
    <row r="43" spans="1:41" s="562" customFormat="1" ht="12.75" customHeight="1">
      <c r="A43" s="565"/>
      <c r="B43" s="565" t="s">
        <v>2409</v>
      </c>
      <c r="C43" s="573"/>
      <c r="D43" s="573"/>
      <c r="E43" s="583"/>
      <c r="F43" s="566"/>
      <c r="G43" s="566"/>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1"/>
      <c r="AO43" s="582"/>
    </row>
    <row r="44" spans="1:41" s="562" customFormat="1" ht="12.75" customHeight="1">
      <c r="A44" s="566"/>
      <c r="B44" s="566"/>
      <c r="C44" s="1176" t="s">
        <v>2410</v>
      </c>
      <c r="D44" s="566"/>
      <c r="E44" s="566"/>
      <c r="F44" s="566"/>
      <c r="G44" s="566"/>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1"/>
      <c r="AO44" s="582"/>
    </row>
    <row r="45" spans="1:41" s="562" customFormat="1" ht="12.75" customHeight="1">
      <c r="A45" s="573"/>
      <c r="B45" s="573"/>
      <c r="C45" s="573"/>
      <c r="D45" s="573"/>
      <c r="E45" s="584"/>
      <c r="F45" s="566"/>
      <c r="G45" s="566"/>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1"/>
      <c r="AO45" s="582"/>
    </row>
    <row r="46" spans="1:41" s="562" customFormat="1" ht="12.75" customHeight="1">
      <c r="A46" s="566"/>
      <c r="B46" s="1912" t="s">
        <v>601</v>
      </c>
      <c r="C46" s="1912"/>
      <c r="D46" s="566"/>
      <c r="E46" s="1913" t="s">
        <v>2411</v>
      </c>
      <c r="F46" s="1914"/>
      <c r="G46" s="1914"/>
      <c r="H46" s="1914"/>
      <c r="I46" s="1914"/>
      <c r="J46" s="1914"/>
      <c r="K46" s="1914"/>
      <c r="L46" s="1914"/>
      <c r="M46" s="1914"/>
      <c r="N46" s="1914"/>
      <c r="O46" s="1914"/>
      <c r="P46" s="1914"/>
      <c r="Q46" s="1914"/>
      <c r="R46" s="1914"/>
      <c r="S46" s="1914"/>
      <c r="T46" s="1914"/>
      <c r="U46" s="1914"/>
      <c r="V46" s="1914"/>
      <c r="W46" s="1914"/>
      <c r="X46" s="1914"/>
      <c r="Y46" s="1914"/>
      <c r="Z46" s="1914"/>
      <c r="AA46" s="1914"/>
      <c r="AB46" s="1914"/>
      <c r="AC46" s="1914"/>
      <c r="AD46" s="1914"/>
      <c r="AE46" s="1914"/>
      <c r="AF46" s="1914"/>
      <c r="AG46" s="1914"/>
      <c r="AH46" s="1914"/>
      <c r="AI46" s="1914"/>
      <c r="AJ46" s="1915"/>
      <c r="AK46" s="566"/>
      <c r="AL46" s="566"/>
      <c r="AM46" s="566"/>
      <c r="AN46" s="561"/>
      <c r="AO46" s="585"/>
    </row>
    <row r="47" spans="1:41" s="562" customFormat="1" ht="12.75" customHeight="1">
      <c r="A47" s="566"/>
      <c r="D47" s="573"/>
      <c r="E47" s="1919"/>
      <c r="F47" s="1920"/>
      <c r="G47" s="1920"/>
      <c r="H47" s="1920"/>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c r="AI47" s="1920"/>
      <c r="AJ47" s="1921"/>
      <c r="AK47" s="566"/>
      <c r="AL47" s="566"/>
      <c r="AM47" s="566"/>
      <c r="AN47" s="561"/>
      <c r="AO47" s="585"/>
    </row>
    <row r="48" spans="1:41" s="562" customFormat="1" ht="12.75" customHeight="1">
      <c r="A48" s="566"/>
      <c r="D48" s="566"/>
      <c r="E48" s="1916"/>
      <c r="F48" s="1917"/>
      <c r="G48" s="1917"/>
      <c r="H48" s="1917"/>
      <c r="I48" s="1917"/>
      <c r="J48" s="1917"/>
      <c r="K48" s="1917"/>
      <c r="L48" s="1917"/>
      <c r="M48" s="1917"/>
      <c r="N48" s="1917"/>
      <c r="O48" s="1917"/>
      <c r="P48" s="1917"/>
      <c r="Q48" s="1917"/>
      <c r="R48" s="1917"/>
      <c r="S48" s="1917"/>
      <c r="T48" s="1917"/>
      <c r="U48" s="1917"/>
      <c r="V48" s="1917"/>
      <c r="W48" s="1917"/>
      <c r="X48" s="1917"/>
      <c r="Y48" s="1917"/>
      <c r="Z48" s="1917"/>
      <c r="AA48" s="1917"/>
      <c r="AB48" s="1917"/>
      <c r="AC48" s="1917"/>
      <c r="AD48" s="1917"/>
      <c r="AE48" s="1917"/>
      <c r="AF48" s="1917"/>
      <c r="AG48" s="1917"/>
      <c r="AH48" s="1917"/>
      <c r="AI48" s="1917"/>
      <c r="AJ48" s="1918"/>
      <c r="AK48" s="566"/>
      <c r="AL48" s="566"/>
      <c r="AM48" s="566"/>
      <c r="AN48" s="561"/>
    </row>
    <row r="49" spans="1:50" s="562" customFormat="1" ht="12.75" customHeight="1">
      <c r="A49" s="566"/>
      <c r="B49" s="566"/>
      <c r="C49" s="566"/>
      <c r="D49" s="573"/>
      <c r="E49" s="584"/>
      <c r="F49" s="582"/>
      <c r="G49" s="582"/>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1"/>
    </row>
    <row r="50" spans="1:50" s="562" customFormat="1" ht="12.75" customHeight="1">
      <c r="A50" s="566"/>
      <c r="B50" s="1912" t="s">
        <v>601</v>
      </c>
      <c r="C50" s="1912"/>
      <c r="D50" s="566"/>
      <c r="E50" s="1933" t="s">
        <v>2412</v>
      </c>
      <c r="F50" s="1934"/>
      <c r="G50" s="1934"/>
      <c r="H50" s="1934"/>
      <c r="I50" s="1934"/>
      <c r="J50" s="1934"/>
      <c r="K50" s="1934"/>
      <c r="L50" s="1934"/>
      <c r="M50" s="1934"/>
      <c r="N50" s="1934"/>
      <c r="O50" s="1934"/>
      <c r="P50" s="1934"/>
      <c r="Q50" s="1934"/>
      <c r="R50" s="1934"/>
      <c r="S50" s="1934"/>
      <c r="T50" s="1934"/>
      <c r="U50" s="1934"/>
      <c r="V50" s="1934"/>
      <c r="W50" s="1934"/>
      <c r="X50" s="1934"/>
      <c r="Y50" s="1934"/>
      <c r="Z50" s="1934"/>
      <c r="AA50" s="1934"/>
      <c r="AB50" s="1934"/>
      <c r="AC50" s="1934"/>
      <c r="AD50" s="1934"/>
      <c r="AE50" s="1934"/>
      <c r="AF50" s="1934"/>
      <c r="AG50" s="1934"/>
      <c r="AH50" s="1934"/>
      <c r="AI50" s="1934"/>
      <c r="AJ50" s="1935"/>
      <c r="AK50" s="566"/>
      <c r="AL50" s="566"/>
      <c r="AM50" s="566"/>
      <c r="AN50" s="561"/>
    </row>
    <row r="51" spans="1:50" s="562" customFormat="1" ht="12.75" customHeight="1">
      <c r="A51" s="566"/>
      <c r="B51" s="566"/>
      <c r="C51" s="566"/>
      <c r="D51" s="573"/>
      <c r="E51" s="586"/>
      <c r="F51" s="582"/>
      <c r="G51" s="582"/>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1"/>
    </row>
    <row r="52" spans="1:50" s="562" customFormat="1" ht="12.75" customHeight="1">
      <c r="A52" s="566"/>
      <c r="B52" s="1912" t="s">
        <v>601</v>
      </c>
      <c r="C52" s="1912"/>
      <c r="D52" s="566"/>
      <c r="E52" s="1913" t="s">
        <v>2413</v>
      </c>
      <c r="F52" s="1914"/>
      <c r="G52" s="1914"/>
      <c r="H52" s="1914"/>
      <c r="I52" s="1914"/>
      <c r="J52" s="1914"/>
      <c r="K52" s="1914"/>
      <c r="L52" s="1914"/>
      <c r="M52" s="1914"/>
      <c r="N52" s="1914"/>
      <c r="O52" s="1914"/>
      <c r="P52" s="1914"/>
      <c r="Q52" s="1914"/>
      <c r="R52" s="1914"/>
      <c r="S52" s="1914"/>
      <c r="T52" s="1914"/>
      <c r="U52" s="1914"/>
      <c r="V52" s="1914"/>
      <c r="W52" s="1914"/>
      <c r="X52" s="1914"/>
      <c r="Y52" s="1914"/>
      <c r="Z52" s="1914"/>
      <c r="AA52" s="1914"/>
      <c r="AB52" s="1914"/>
      <c r="AC52" s="1914"/>
      <c r="AD52" s="1914"/>
      <c r="AE52" s="1914"/>
      <c r="AF52" s="1914"/>
      <c r="AG52" s="1914"/>
      <c r="AH52" s="1914"/>
      <c r="AI52" s="1914"/>
      <c r="AJ52" s="1915"/>
      <c r="AK52" s="566"/>
      <c r="AL52" s="566"/>
      <c r="AM52" s="566"/>
      <c r="AN52" s="561"/>
    </row>
    <row r="53" spans="1:50" s="562" customFormat="1" ht="12.75" customHeight="1">
      <c r="A53" s="566"/>
      <c r="B53" s="573"/>
      <c r="C53" s="573"/>
      <c r="D53" s="573"/>
      <c r="E53" s="1916"/>
      <c r="F53" s="1917"/>
      <c r="G53" s="1917"/>
      <c r="H53" s="1917"/>
      <c r="I53" s="1917"/>
      <c r="J53" s="1917"/>
      <c r="K53" s="1917"/>
      <c r="L53" s="1917"/>
      <c r="M53" s="1917"/>
      <c r="N53" s="1917"/>
      <c r="O53" s="1917"/>
      <c r="P53" s="1917"/>
      <c r="Q53" s="1917"/>
      <c r="R53" s="1917"/>
      <c r="S53" s="1917"/>
      <c r="T53" s="1917"/>
      <c r="U53" s="1917"/>
      <c r="V53" s="1917"/>
      <c r="W53" s="1917"/>
      <c r="X53" s="1917"/>
      <c r="Y53" s="1917"/>
      <c r="Z53" s="1917"/>
      <c r="AA53" s="1917"/>
      <c r="AB53" s="1917"/>
      <c r="AC53" s="1917"/>
      <c r="AD53" s="1917"/>
      <c r="AE53" s="1917"/>
      <c r="AF53" s="1917"/>
      <c r="AG53" s="1917"/>
      <c r="AH53" s="1917"/>
      <c r="AI53" s="1917"/>
      <c r="AJ53" s="1918"/>
      <c r="AK53" s="566"/>
      <c r="AL53" s="566"/>
      <c r="AM53" s="566"/>
      <c r="AN53" s="561"/>
      <c r="AX53" s="565"/>
    </row>
    <row r="54" spans="1:50" s="562" customFormat="1" ht="12.75" customHeight="1">
      <c r="A54" s="566"/>
      <c r="B54" s="573"/>
      <c r="C54" s="573"/>
      <c r="D54" s="573"/>
      <c r="E54" s="586"/>
      <c r="F54" s="566"/>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1"/>
      <c r="AX54" s="565"/>
    </row>
    <row r="55" spans="1:50" s="562" customFormat="1" ht="12.75" customHeight="1">
      <c r="A55" s="566"/>
      <c r="B55" s="566"/>
      <c r="C55" s="566"/>
      <c r="D55" s="566"/>
      <c r="E55" s="566"/>
      <c r="F55" s="566"/>
      <c r="G55" s="566"/>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1"/>
    </row>
    <row r="56" spans="1:50" s="562" customFormat="1" ht="12.75" customHeight="1">
      <c r="A56" s="587"/>
      <c r="B56" s="588"/>
      <c r="C56" s="588"/>
      <c r="D56" s="588"/>
      <c r="E56" s="588"/>
      <c r="F56" s="588"/>
      <c r="G56" s="589"/>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1"/>
      <c r="AJ56" s="591" t="s">
        <v>1484</v>
      </c>
      <c r="AK56" s="1942">
        <f>AO36</f>
        <v>0</v>
      </c>
      <c r="AL56" s="1943"/>
      <c r="AM56" s="1944"/>
      <c r="AN56" s="561"/>
    </row>
    <row r="57" spans="1:50" s="562" customFormat="1" ht="12.75" customHeight="1" thickBot="1">
      <c r="A57" s="592"/>
      <c r="B57" s="593"/>
      <c r="C57" s="594"/>
      <c r="D57" s="594"/>
      <c r="E57" s="594"/>
      <c r="F57" s="594"/>
      <c r="G57" s="594"/>
      <c r="H57" s="594"/>
      <c r="I57" s="594"/>
      <c r="J57" s="594"/>
      <c r="K57" s="594"/>
      <c r="L57" s="594"/>
      <c r="M57" s="594"/>
      <c r="N57" s="594"/>
      <c r="O57" s="594"/>
      <c r="P57" s="594"/>
      <c r="Q57" s="594"/>
      <c r="R57" s="594"/>
      <c r="S57" s="594"/>
      <c r="T57" s="594"/>
      <c r="U57" s="594"/>
      <c r="V57" s="594"/>
      <c r="W57" s="594"/>
      <c r="X57" s="594"/>
      <c r="Y57" s="594"/>
      <c r="Z57" s="594"/>
      <c r="AA57" s="594"/>
      <c r="AB57" s="594"/>
      <c r="AC57" s="594"/>
      <c r="AD57" s="594"/>
      <c r="AE57" s="594"/>
      <c r="AF57" s="594"/>
      <c r="AG57" s="594"/>
      <c r="AH57" s="594"/>
      <c r="AI57" s="594"/>
      <c r="AJ57" s="594"/>
      <c r="AK57" s="594"/>
      <c r="AL57" s="594"/>
      <c r="AM57" s="595"/>
      <c r="AN57" s="561"/>
    </row>
    <row r="58" spans="1:50" s="562" customFormat="1" ht="12.75" customHeight="1" thickTop="1">
      <c r="A58" s="596"/>
      <c r="B58" s="597"/>
      <c r="C58" s="598"/>
      <c r="D58" s="598"/>
      <c r="E58" s="598"/>
      <c r="F58" s="598"/>
      <c r="G58" s="598"/>
      <c r="H58" s="598"/>
      <c r="I58" s="599"/>
      <c r="J58" s="599"/>
      <c r="K58" s="599"/>
      <c r="L58" s="599"/>
      <c r="M58" s="599"/>
      <c r="N58" s="599"/>
      <c r="O58" s="599"/>
      <c r="P58" s="599"/>
      <c r="Q58" s="599"/>
      <c r="R58" s="596"/>
      <c r="S58" s="565"/>
      <c r="T58" s="565"/>
      <c r="U58" s="565"/>
      <c r="V58" s="565"/>
      <c r="W58" s="565"/>
      <c r="X58" s="565"/>
      <c r="Y58" s="565"/>
      <c r="Z58" s="565"/>
      <c r="AA58" s="565"/>
      <c r="AB58" s="565"/>
      <c r="AC58" s="565"/>
      <c r="AD58" s="565"/>
      <c r="AE58" s="565"/>
      <c r="AF58" s="596"/>
      <c r="AG58" s="565"/>
      <c r="AH58" s="565"/>
      <c r="AI58" s="565"/>
      <c r="AJ58" s="565"/>
      <c r="AK58" s="576"/>
      <c r="AL58" s="576"/>
      <c r="AM58" s="576"/>
      <c r="AN58" s="561"/>
    </row>
    <row r="59" spans="1:50" s="562" customFormat="1" ht="12.75" customHeight="1">
      <c r="A59" s="564" t="s">
        <v>1485</v>
      </c>
      <c r="B59" s="565" t="s">
        <v>1486</v>
      </c>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1922" t="s">
        <v>1487</v>
      </c>
      <c r="AF59" s="1922"/>
      <c r="AG59" s="1922"/>
      <c r="AH59" s="1922"/>
      <c r="AI59" s="1922"/>
      <c r="AJ59" s="1922"/>
      <c r="AK59" s="1922"/>
      <c r="AL59" s="566"/>
      <c r="AM59" s="566"/>
      <c r="AN59" s="561"/>
    </row>
    <row r="60" spans="1:50" s="562" customFormat="1" ht="12.75" customHeight="1">
      <c r="A60" s="564"/>
      <c r="B60" s="565" t="s">
        <v>1989</v>
      </c>
      <c r="C60" s="565"/>
      <c r="D60" s="565"/>
      <c r="E60" s="565"/>
      <c r="F60" s="565"/>
      <c r="G60" s="565"/>
      <c r="H60" s="565"/>
      <c r="I60" s="565"/>
      <c r="J60" s="565"/>
      <c r="K60" s="565"/>
      <c r="L60" s="565"/>
      <c r="M60" s="565"/>
      <c r="N60" s="565"/>
      <c r="O60" s="565"/>
      <c r="P60" s="565"/>
      <c r="Q60" s="565"/>
      <c r="R60" s="565"/>
      <c r="S60" s="565"/>
      <c r="T60" s="565"/>
      <c r="U60" s="565"/>
      <c r="V60" s="565"/>
      <c r="W60" s="565"/>
      <c r="X60" s="565"/>
      <c r="Y60" s="565"/>
      <c r="Z60" s="565"/>
      <c r="AA60" s="565"/>
      <c r="AB60" s="565"/>
      <c r="AC60" s="565"/>
      <c r="AD60" s="565"/>
      <c r="AE60" s="569"/>
      <c r="AF60" s="569"/>
      <c r="AG60" s="569"/>
      <c r="AH60" s="569"/>
      <c r="AI60" s="569"/>
      <c r="AJ60" s="569"/>
      <c r="AK60" s="569"/>
      <c r="AL60" s="566"/>
      <c r="AM60" s="566"/>
      <c r="AN60" s="561"/>
    </row>
    <row r="61" spans="1:50" s="562" customFormat="1" ht="12.75" customHeight="1">
      <c r="A61" s="564"/>
      <c r="B61" s="565"/>
      <c r="C61" s="565"/>
      <c r="D61" s="565"/>
      <c r="E61" s="565"/>
      <c r="F61" s="565"/>
      <c r="G61" s="565"/>
      <c r="H61" s="565"/>
      <c r="I61" s="565"/>
      <c r="J61" s="565"/>
      <c r="K61" s="565"/>
      <c r="L61" s="565"/>
      <c r="M61" s="565"/>
      <c r="N61" s="565"/>
      <c r="O61" s="565"/>
      <c r="P61" s="565"/>
      <c r="Q61" s="565"/>
      <c r="R61" s="565"/>
      <c r="S61" s="565"/>
      <c r="T61" s="565"/>
      <c r="U61" s="565"/>
      <c r="V61" s="565"/>
      <c r="W61" s="565"/>
      <c r="X61" s="565"/>
      <c r="Y61" s="565"/>
      <c r="Z61" s="565"/>
      <c r="AA61" s="565"/>
      <c r="AB61" s="565"/>
      <c r="AC61" s="565"/>
      <c r="AD61" s="565"/>
      <c r="AE61" s="569"/>
      <c r="AF61" s="569"/>
      <c r="AG61" s="569"/>
      <c r="AH61" s="569"/>
      <c r="AI61" s="569"/>
      <c r="AJ61" s="569"/>
      <c r="AK61" s="569"/>
      <c r="AL61" s="566"/>
      <c r="AM61" s="566"/>
      <c r="AN61" s="561"/>
    </row>
    <row r="62" spans="1:50" s="562" customFormat="1" ht="12.75" customHeight="1">
      <c r="A62" s="564"/>
      <c r="B62" s="1912" t="s">
        <v>555</v>
      </c>
      <c r="C62" s="1912"/>
      <c r="D62" s="573" t="s">
        <v>1488</v>
      </c>
      <c r="E62" s="1923" t="s">
        <v>2414</v>
      </c>
      <c r="F62" s="1924"/>
      <c r="G62" s="1924"/>
      <c r="H62" s="1924"/>
      <c r="I62" s="1924"/>
      <c r="J62" s="1924"/>
      <c r="K62" s="1924"/>
      <c r="L62" s="1924"/>
      <c r="M62" s="1924"/>
      <c r="N62" s="1924"/>
      <c r="O62" s="1924"/>
      <c r="P62" s="1924"/>
      <c r="Q62" s="1924"/>
      <c r="R62" s="1924"/>
      <c r="S62" s="1924"/>
      <c r="T62" s="1924"/>
      <c r="U62" s="1924"/>
      <c r="V62" s="1924"/>
      <c r="W62" s="1924"/>
      <c r="X62" s="1924"/>
      <c r="Y62" s="1924"/>
      <c r="Z62" s="1924"/>
      <c r="AA62" s="1924"/>
      <c r="AB62" s="1924"/>
      <c r="AC62" s="1924"/>
      <c r="AD62" s="1924"/>
      <c r="AE62" s="1924"/>
      <c r="AF62" s="1924"/>
      <c r="AG62" s="1924"/>
      <c r="AH62" s="1924"/>
      <c r="AI62" s="1924"/>
      <c r="AJ62" s="1925"/>
      <c r="AK62" s="569"/>
      <c r="AL62" s="566"/>
      <c r="AM62" s="566"/>
      <c r="AN62" s="561"/>
      <c r="AO62" s="576">
        <f>IF($B62="yes",10,0)</f>
        <v>10</v>
      </c>
    </row>
    <row r="63" spans="1:50" s="562" customFormat="1" ht="12.75" customHeight="1">
      <c r="A63" s="564"/>
      <c r="B63" s="566"/>
      <c r="C63" s="566"/>
      <c r="D63" s="577"/>
      <c r="E63" s="1926"/>
      <c r="F63" s="1927"/>
      <c r="G63" s="1927"/>
      <c r="H63" s="1927"/>
      <c r="I63" s="1927"/>
      <c r="J63" s="1927"/>
      <c r="K63" s="1927"/>
      <c r="L63" s="1927"/>
      <c r="M63" s="1927"/>
      <c r="N63" s="1927"/>
      <c r="O63" s="1927"/>
      <c r="P63" s="1927"/>
      <c r="Q63" s="1927"/>
      <c r="R63" s="1927"/>
      <c r="S63" s="1927"/>
      <c r="T63" s="1927"/>
      <c r="U63" s="1927"/>
      <c r="V63" s="1927"/>
      <c r="W63" s="1927"/>
      <c r="X63" s="1927"/>
      <c r="Y63" s="1927"/>
      <c r="Z63" s="1927"/>
      <c r="AA63" s="1927"/>
      <c r="AB63" s="1927"/>
      <c r="AC63" s="1927"/>
      <c r="AD63" s="1927"/>
      <c r="AE63" s="1927"/>
      <c r="AF63" s="1927"/>
      <c r="AG63" s="1927"/>
      <c r="AH63" s="1927"/>
      <c r="AI63" s="1927"/>
      <c r="AJ63" s="1928"/>
      <c r="AK63" s="569"/>
      <c r="AL63" s="566"/>
      <c r="AM63" s="566"/>
      <c r="AN63" s="561"/>
      <c r="AO63" s="576">
        <f>IF($B68="yes",10,0)</f>
        <v>0</v>
      </c>
    </row>
    <row r="64" spans="1:50" s="562" customFormat="1" ht="12.75" customHeight="1">
      <c r="A64" s="564"/>
      <c r="B64" s="566"/>
      <c r="C64" s="566"/>
      <c r="D64" s="577"/>
      <c r="E64" s="1926"/>
      <c r="F64" s="1927"/>
      <c r="G64" s="1927"/>
      <c r="H64" s="1927"/>
      <c r="I64" s="1927"/>
      <c r="J64" s="1927"/>
      <c r="K64" s="1927"/>
      <c r="L64" s="1927"/>
      <c r="M64" s="1927"/>
      <c r="N64" s="1927"/>
      <c r="O64" s="1927"/>
      <c r="P64" s="1927"/>
      <c r="Q64" s="1927"/>
      <c r="R64" s="1927"/>
      <c r="S64" s="1927"/>
      <c r="T64" s="1927"/>
      <c r="U64" s="1927"/>
      <c r="V64" s="1927"/>
      <c r="W64" s="1927"/>
      <c r="X64" s="1927"/>
      <c r="Y64" s="1927"/>
      <c r="Z64" s="1927"/>
      <c r="AA64" s="1927"/>
      <c r="AB64" s="1927"/>
      <c r="AC64" s="1927"/>
      <c r="AD64" s="1927"/>
      <c r="AE64" s="1927"/>
      <c r="AF64" s="1927"/>
      <c r="AG64" s="1927"/>
      <c r="AH64" s="1927"/>
      <c r="AI64" s="1927"/>
      <c r="AJ64" s="1928"/>
      <c r="AK64" s="569"/>
      <c r="AL64" s="566"/>
      <c r="AM64" s="566"/>
      <c r="AN64" s="561"/>
      <c r="AO64" s="576">
        <f>IF($B75="yes",10,0)</f>
        <v>0</v>
      </c>
    </row>
    <row r="65" spans="1:42" s="562" customFormat="1" ht="12.75" customHeight="1">
      <c r="A65" s="564"/>
      <c r="B65" s="566"/>
      <c r="C65" s="566"/>
      <c r="D65" s="577"/>
      <c r="E65" s="1926"/>
      <c r="F65" s="1927"/>
      <c r="G65" s="1927"/>
      <c r="H65" s="1927"/>
      <c r="I65" s="1927"/>
      <c r="J65" s="1927"/>
      <c r="K65" s="1927"/>
      <c r="L65" s="1927"/>
      <c r="M65" s="1927"/>
      <c r="N65" s="1927"/>
      <c r="O65" s="1927"/>
      <c r="P65" s="1927"/>
      <c r="Q65" s="1927"/>
      <c r="R65" s="1927"/>
      <c r="S65" s="1927"/>
      <c r="T65" s="1927"/>
      <c r="U65" s="1927"/>
      <c r="V65" s="1927"/>
      <c r="W65" s="1927"/>
      <c r="X65" s="1927"/>
      <c r="Y65" s="1927"/>
      <c r="Z65" s="1927"/>
      <c r="AA65" s="1927"/>
      <c r="AB65" s="1927"/>
      <c r="AC65" s="1927"/>
      <c r="AD65" s="1927"/>
      <c r="AE65" s="1927"/>
      <c r="AF65" s="1927"/>
      <c r="AG65" s="1927"/>
      <c r="AH65" s="1927"/>
      <c r="AI65" s="1927"/>
      <c r="AJ65" s="1928"/>
      <c r="AK65" s="569"/>
      <c r="AL65" s="566"/>
      <c r="AM65" s="566"/>
      <c r="AN65" s="561"/>
      <c r="AO65" s="562">
        <f>IF(SUM(AO62:AO64)&gt;10,10,(SUM(AO62:AO64)))</f>
        <v>10</v>
      </c>
      <c r="AP65" s="600" t="s">
        <v>1489</v>
      </c>
    </row>
    <row r="66" spans="1:42" s="562" customFormat="1" ht="12.75" customHeight="1">
      <c r="A66" s="564"/>
      <c r="B66" s="566"/>
      <c r="C66" s="566"/>
      <c r="D66" s="577"/>
      <c r="E66" s="1929"/>
      <c r="F66" s="1930"/>
      <c r="G66" s="1930"/>
      <c r="H66" s="1930"/>
      <c r="I66" s="1930"/>
      <c r="J66" s="1930"/>
      <c r="K66" s="1930"/>
      <c r="L66" s="1930"/>
      <c r="M66" s="1930"/>
      <c r="N66" s="1930"/>
      <c r="O66" s="1930"/>
      <c r="P66" s="1930"/>
      <c r="Q66" s="1930"/>
      <c r="R66" s="1930"/>
      <c r="S66" s="1930"/>
      <c r="T66" s="1930"/>
      <c r="U66" s="1930"/>
      <c r="V66" s="1930"/>
      <c r="W66" s="1930"/>
      <c r="X66" s="1930"/>
      <c r="Y66" s="1930"/>
      <c r="Z66" s="1930"/>
      <c r="AA66" s="1930"/>
      <c r="AB66" s="1930"/>
      <c r="AC66" s="1930"/>
      <c r="AD66" s="1930"/>
      <c r="AE66" s="1930"/>
      <c r="AF66" s="1930"/>
      <c r="AG66" s="1930"/>
      <c r="AH66" s="1930"/>
      <c r="AI66" s="1930"/>
      <c r="AJ66" s="1931"/>
      <c r="AK66" s="569"/>
      <c r="AL66" s="566"/>
      <c r="AM66" s="566"/>
      <c r="AN66" s="561"/>
    </row>
    <row r="67" spans="1:42" s="562" customFormat="1" ht="12.75" customHeight="1">
      <c r="A67" s="564"/>
      <c r="B67" s="566"/>
      <c r="C67" s="566"/>
      <c r="E67" s="566"/>
      <c r="F67" s="566"/>
      <c r="G67" s="566"/>
      <c r="H67" s="566"/>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9"/>
      <c r="AL67" s="566"/>
      <c r="AM67" s="566"/>
      <c r="AN67" s="561"/>
    </row>
    <row r="68" spans="1:42" s="562" customFormat="1" ht="12.75" customHeight="1">
      <c r="A68" s="564"/>
      <c r="B68" s="1912" t="s">
        <v>601</v>
      </c>
      <c r="C68" s="1912"/>
      <c r="D68" s="573" t="s">
        <v>1490</v>
      </c>
      <c r="E68" s="990" t="s">
        <v>1985</v>
      </c>
      <c r="F68" s="991"/>
      <c r="G68" s="991"/>
      <c r="H68" s="991"/>
      <c r="I68" s="991"/>
      <c r="J68" s="991"/>
      <c r="K68" s="991"/>
      <c r="L68" s="991"/>
      <c r="M68" s="991"/>
      <c r="N68" s="991"/>
      <c r="O68" s="991"/>
      <c r="P68" s="991"/>
      <c r="Q68" s="991"/>
      <c r="R68" s="991"/>
      <c r="S68" s="991"/>
      <c r="T68" s="991"/>
      <c r="U68" s="991"/>
      <c r="V68" s="991"/>
      <c r="W68" s="991"/>
      <c r="X68" s="991"/>
      <c r="Y68" s="991"/>
      <c r="Z68" s="991"/>
      <c r="AA68" s="991"/>
      <c r="AB68" s="991"/>
      <c r="AC68" s="991"/>
      <c r="AD68" s="991"/>
      <c r="AE68" s="991"/>
      <c r="AF68" s="991"/>
      <c r="AG68" s="991"/>
      <c r="AH68" s="991"/>
      <c r="AI68" s="991"/>
      <c r="AJ68" s="992"/>
      <c r="AK68" s="569"/>
      <c r="AL68" s="566"/>
      <c r="AM68" s="566"/>
      <c r="AN68" s="561"/>
    </row>
    <row r="69" spans="1:42" s="562" customFormat="1" ht="12.75" customHeight="1">
      <c r="A69" s="564"/>
      <c r="B69" s="566"/>
      <c r="C69" s="566"/>
      <c r="D69" s="576"/>
      <c r="E69" s="1932" t="s">
        <v>601</v>
      </c>
      <c r="F69" s="1912"/>
      <c r="G69" s="601"/>
      <c r="H69" s="584" t="s">
        <v>1491</v>
      </c>
      <c r="I69" s="936"/>
      <c r="J69" s="601"/>
      <c r="K69" s="601"/>
      <c r="L69" s="601"/>
      <c r="M69" s="601"/>
      <c r="N69" s="601"/>
      <c r="O69" s="601"/>
      <c r="P69" s="601"/>
      <c r="Q69" s="601"/>
      <c r="R69" s="601"/>
      <c r="S69" s="601"/>
      <c r="T69" s="601"/>
      <c r="U69" s="601"/>
      <c r="V69" s="601"/>
      <c r="W69" s="601"/>
      <c r="X69" s="601"/>
      <c r="Y69" s="601"/>
      <c r="Z69" s="601"/>
      <c r="AA69" s="601"/>
      <c r="AB69" s="601"/>
      <c r="AC69" s="601"/>
      <c r="AD69" s="601"/>
      <c r="AE69" s="601"/>
      <c r="AF69" s="601"/>
      <c r="AG69" s="601"/>
      <c r="AH69" s="601"/>
      <c r="AI69" s="601"/>
      <c r="AJ69" s="993"/>
      <c r="AK69" s="569"/>
      <c r="AL69" s="566"/>
      <c r="AM69" s="566"/>
      <c r="AN69" s="561"/>
    </row>
    <row r="70" spans="1:42" s="562" customFormat="1" ht="12.75" customHeight="1">
      <c r="A70" s="564"/>
      <c r="B70" s="566"/>
      <c r="C70" s="566"/>
      <c r="D70" s="576"/>
      <c r="E70" s="1910" t="s">
        <v>601</v>
      </c>
      <c r="F70" s="1911"/>
      <c r="G70" s="601"/>
      <c r="H70" s="584" t="s">
        <v>1492</v>
      </c>
      <c r="I70" s="601"/>
      <c r="J70" s="601"/>
      <c r="K70" s="601"/>
      <c r="L70" s="601"/>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993"/>
      <c r="AK70" s="569"/>
      <c r="AL70" s="566"/>
      <c r="AM70" s="566"/>
      <c r="AN70" s="561"/>
    </row>
    <row r="71" spans="1:42" s="562" customFormat="1" ht="12.75" customHeight="1">
      <c r="A71" s="564"/>
      <c r="B71" s="566"/>
      <c r="C71" s="566"/>
      <c r="D71" s="576"/>
      <c r="E71" s="1910" t="s">
        <v>601</v>
      </c>
      <c r="F71" s="1911"/>
      <c r="G71" s="601"/>
      <c r="H71" s="584" t="s">
        <v>2000</v>
      </c>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993"/>
      <c r="AK71" s="569"/>
      <c r="AL71" s="566"/>
      <c r="AM71" s="566"/>
      <c r="AN71" s="561"/>
    </row>
    <row r="72" spans="1:42" s="562" customFormat="1" ht="12.75" customHeight="1">
      <c r="A72" s="564"/>
      <c r="B72" s="566"/>
      <c r="C72" s="566"/>
      <c r="D72" s="576"/>
      <c r="E72" s="682"/>
      <c r="F72" s="601"/>
      <c r="G72" s="601"/>
      <c r="H72" s="601"/>
      <c r="I72" s="601"/>
      <c r="J72" s="601"/>
      <c r="K72" s="601"/>
      <c r="L72" s="601"/>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993"/>
      <c r="AK72" s="569"/>
      <c r="AL72" s="566"/>
      <c r="AM72" s="566"/>
      <c r="AN72" s="561"/>
    </row>
    <row r="73" spans="1:42" s="562" customFormat="1" ht="12.75" customHeight="1">
      <c r="A73" s="564"/>
      <c r="B73" s="566"/>
      <c r="C73" s="566"/>
      <c r="D73" s="576"/>
      <c r="E73" s="1932" t="s">
        <v>601</v>
      </c>
      <c r="F73" s="1912"/>
      <c r="G73" s="934"/>
      <c r="H73" s="995" t="s">
        <v>1999</v>
      </c>
      <c r="I73" s="934"/>
      <c r="J73" s="934"/>
      <c r="K73" s="934"/>
      <c r="L73" s="934"/>
      <c r="M73" s="934"/>
      <c r="N73" s="934"/>
      <c r="O73" s="934"/>
      <c r="P73" s="934"/>
      <c r="Q73" s="934"/>
      <c r="R73" s="934"/>
      <c r="S73" s="934"/>
      <c r="T73" s="934"/>
      <c r="U73" s="934"/>
      <c r="V73" s="934"/>
      <c r="W73" s="934"/>
      <c r="X73" s="934"/>
      <c r="Y73" s="934"/>
      <c r="Z73" s="934"/>
      <c r="AA73" s="934"/>
      <c r="AB73" s="934"/>
      <c r="AC73" s="934"/>
      <c r="AD73" s="934"/>
      <c r="AE73" s="934"/>
      <c r="AF73" s="934"/>
      <c r="AG73" s="934"/>
      <c r="AH73" s="934"/>
      <c r="AI73" s="934"/>
      <c r="AJ73" s="935"/>
      <c r="AK73" s="569"/>
      <c r="AL73" s="566"/>
      <c r="AM73" s="566"/>
      <c r="AN73" s="561"/>
    </row>
    <row r="74" spans="1:42" s="562" customFormat="1" ht="12.75" customHeight="1">
      <c r="A74" s="564"/>
      <c r="B74" s="566"/>
      <c r="C74" s="566"/>
      <c r="D74" s="577"/>
      <c r="E74" s="566"/>
      <c r="F74" s="566"/>
      <c r="G74" s="566"/>
      <c r="H74" s="566"/>
      <c r="I74" s="566"/>
      <c r="J74" s="566"/>
      <c r="K74" s="566"/>
      <c r="L74" s="566"/>
      <c r="M74" s="566"/>
      <c r="N74" s="566"/>
      <c r="O74" s="566"/>
      <c r="P74" s="566"/>
      <c r="Q74" s="566"/>
      <c r="R74" s="566"/>
      <c r="S74" s="566"/>
      <c r="T74" s="566"/>
      <c r="U74" s="566"/>
      <c r="V74" s="566"/>
      <c r="W74" s="566"/>
      <c r="X74" s="566"/>
      <c r="Y74" s="566"/>
      <c r="Z74" s="566"/>
      <c r="AA74" s="566"/>
      <c r="AB74" s="566"/>
      <c r="AC74" s="566"/>
      <c r="AD74" s="566"/>
      <c r="AE74" s="566"/>
      <c r="AF74" s="566"/>
      <c r="AG74" s="566"/>
      <c r="AH74" s="566"/>
      <c r="AI74" s="566"/>
      <c r="AJ74" s="566"/>
      <c r="AK74" s="569"/>
      <c r="AL74" s="566"/>
      <c r="AM74" s="566"/>
      <c r="AN74" s="561"/>
    </row>
    <row r="75" spans="1:42" s="562" customFormat="1" ht="12.75" customHeight="1">
      <c r="A75" s="564"/>
      <c r="B75" s="1912" t="s">
        <v>601</v>
      </c>
      <c r="C75" s="1912"/>
      <c r="D75" s="573" t="s">
        <v>1493</v>
      </c>
      <c r="E75" s="1913" t="s">
        <v>2001</v>
      </c>
      <c r="F75" s="1914"/>
      <c r="G75" s="1914"/>
      <c r="H75" s="1914"/>
      <c r="I75" s="1914"/>
      <c r="J75" s="1914"/>
      <c r="K75" s="1914"/>
      <c r="L75" s="1914"/>
      <c r="M75" s="1914"/>
      <c r="N75" s="1914"/>
      <c r="O75" s="1914"/>
      <c r="P75" s="1914"/>
      <c r="Q75" s="1914"/>
      <c r="R75" s="1914"/>
      <c r="S75" s="1914"/>
      <c r="T75" s="1914"/>
      <c r="U75" s="1914"/>
      <c r="V75" s="1914"/>
      <c r="W75" s="1914"/>
      <c r="X75" s="1914"/>
      <c r="Y75" s="1914"/>
      <c r="Z75" s="1914"/>
      <c r="AA75" s="1914"/>
      <c r="AB75" s="1914"/>
      <c r="AC75" s="1914"/>
      <c r="AD75" s="1914"/>
      <c r="AE75" s="1914"/>
      <c r="AF75" s="1914"/>
      <c r="AG75" s="1914"/>
      <c r="AH75" s="1914"/>
      <c r="AI75" s="1914"/>
      <c r="AJ75" s="1915"/>
      <c r="AK75" s="569"/>
      <c r="AL75" s="566"/>
      <c r="AM75" s="566"/>
      <c r="AN75" s="561"/>
    </row>
    <row r="76" spans="1:42" s="562" customFormat="1" ht="12.75" customHeight="1">
      <c r="A76" s="564"/>
      <c r="B76" s="566"/>
      <c r="C76" s="566"/>
      <c r="D76" s="576"/>
      <c r="E76" s="1916"/>
      <c r="F76" s="1917"/>
      <c r="G76" s="1917"/>
      <c r="H76" s="1917"/>
      <c r="I76" s="1917"/>
      <c r="J76" s="1917"/>
      <c r="K76" s="1917"/>
      <c r="L76" s="1917"/>
      <c r="M76" s="1917"/>
      <c r="N76" s="1917"/>
      <c r="O76" s="1917"/>
      <c r="P76" s="1917"/>
      <c r="Q76" s="1917"/>
      <c r="R76" s="1917"/>
      <c r="S76" s="1917"/>
      <c r="T76" s="1917"/>
      <c r="U76" s="1917"/>
      <c r="V76" s="1917"/>
      <c r="W76" s="1917"/>
      <c r="X76" s="1917"/>
      <c r="Y76" s="1917"/>
      <c r="Z76" s="1917"/>
      <c r="AA76" s="1917"/>
      <c r="AB76" s="1917"/>
      <c r="AC76" s="1917"/>
      <c r="AD76" s="1917"/>
      <c r="AE76" s="1917"/>
      <c r="AF76" s="1917"/>
      <c r="AG76" s="1917"/>
      <c r="AH76" s="1917"/>
      <c r="AI76" s="1917"/>
      <c r="AJ76" s="1918"/>
      <c r="AK76" s="569"/>
      <c r="AL76" s="566"/>
      <c r="AM76" s="566"/>
      <c r="AN76" s="561"/>
    </row>
    <row r="77" spans="1:42" s="562" customFormat="1" ht="12.75" customHeight="1">
      <c r="A77" s="564"/>
      <c r="B77" s="566"/>
      <c r="C77" s="566"/>
      <c r="D77" s="576"/>
      <c r="E77" s="566"/>
      <c r="F77" s="566"/>
      <c r="G77" s="566"/>
      <c r="H77" s="566"/>
      <c r="I77" s="566"/>
      <c r="J77" s="566"/>
      <c r="K77" s="566"/>
      <c r="L77" s="566"/>
      <c r="M77" s="566"/>
      <c r="N77" s="566"/>
      <c r="O77" s="566"/>
      <c r="P77" s="566"/>
      <c r="Q77" s="566"/>
      <c r="R77" s="566"/>
      <c r="S77" s="566"/>
      <c r="T77" s="566"/>
      <c r="U77" s="566"/>
      <c r="V77" s="566"/>
      <c r="W77" s="566"/>
      <c r="X77" s="566"/>
      <c r="Y77" s="566"/>
      <c r="Z77" s="566"/>
      <c r="AA77" s="566"/>
      <c r="AB77" s="566"/>
      <c r="AC77" s="566"/>
      <c r="AD77" s="566"/>
      <c r="AE77" s="566"/>
      <c r="AF77" s="566"/>
      <c r="AG77" s="566"/>
      <c r="AH77" s="566"/>
      <c r="AI77" s="566"/>
      <c r="AJ77" s="566"/>
      <c r="AK77" s="569"/>
      <c r="AL77" s="566"/>
      <c r="AM77" s="566"/>
      <c r="AN77" s="561"/>
    </row>
    <row r="78" spans="1:42" s="562" customFormat="1" ht="12.75" customHeight="1">
      <c r="A78" s="587"/>
      <c r="B78" s="588"/>
      <c r="C78" s="588"/>
      <c r="D78" s="588"/>
      <c r="E78" s="588"/>
      <c r="F78" s="588"/>
      <c r="G78" s="589"/>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1"/>
      <c r="AJ78" s="591" t="s">
        <v>1494</v>
      </c>
      <c r="AK78" s="1942">
        <f>IF(AK56&gt;0,0,AO65)</f>
        <v>10</v>
      </c>
      <c r="AL78" s="1943"/>
      <c r="AM78" s="1944"/>
      <c r="AN78" s="561"/>
    </row>
    <row r="79" spans="1:42" s="562" customFormat="1" ht="12.75" customHeight="1" thickBot="1">
      <c r="A79" s="592"/>
      <c r="B79" s="593"/>
      <c r="C79" s="594"/>
      <c r="D79" s="594"/>
      <c r="E79" s="594"/>
      <c r="F79" s="594"/>
      <c r="G79" s="594"/>
      <c r="H79" s="594"/>
      <c r="I79" s="594"/>
      <c r="J79" s="594"/>
      <c r="K79" s="594"/>
      <c r="L79" s="594"/>
      <c r="M79" s="594"/>
      <c r="N79" s="594"/>
      <c r="O79" s="594"/>
      <c r="P79" s="594"/>
      <c r="Q79" s="594"/>
      <c r="R79" s="594"/>
      <c r="S79" s="594"/>
      <c r="T79" s="594"/>
      <c r="U79" s="594"/>
      <c r="V79" s="594"/>
      <c r="W79" s="594"/>
      <c r="X79" s="594"/>
      <c r="Y79" s="594"/>
      <c r="Z79" s="594"/>
      <c r="AA79" s="594"/>
      <c r="AB79" s="594"/>
      <c r="AC79" s="594"/>
      <c r="AD79" s="594"/>
      <c r="AE79" s="594"/>
      <c r="AF79" s="594"/>
      <c r="AG79" s="594"/>
      <c r="AH79" s="594"/>
      <c r="AI79" s="594"/>
      <c r="AJ79" s="594"/>
      <c r="AK79" s="594"/>
      <c r="AL79" s="594"/>
      <c r="AM79" s="595"/>
      <c r="AN79" s="561"/>
    </row>
    <row r="80" spans="1:42" s="562" customFormat="1" ht="12.75" customHeight="1" thickTop="1">
      <c r="A80" s="596"/>
      <c r="B80" s="597"/>
      <c r="C80" s="598"/>
      <c r="D80" s="598"/>
      <c r="E80" s="598"/>
      <c r="F80" s="598"/>
      <c r="G80" s="598"/>
      <c r="H80" s="598"/>
      <c r="I80" s="599"/>
      <c r="J80" s="599"/>
      <c r="K80" s="599"/>
      <c r="L80" s="599"/>
      <c r="M80" s="599"/>
      <c r="N80" s="599"/>
      <c r="O80" s="599"/>
      <c r="P80" s="599"/>
      <c r="Q80" s="599"/>
      <c r="R80" s="596"/>
      <c r="S80" s="565"/>
      <c r="T80" s="565"/>
      <c r="U80" s="565"/>
      <c r="V80" s="565"/>
      <c r="W80" s="565"/>
      <c r="X80" s="565"/>
      <c r="Y80" s="565"/>
      <c r="Z80" s="565"/>
      <c r="AA80" s="565"/>
      <c r="AB80" s="565"/>
      <c r="AC80" s="565"/>
      <c r="AD80" s="565"/>
      <c r="AE80" s="565"/>
      <c r="AF80" s="596"/>
      <c r="AG80" s="565"/>
      <c r="AH80" s="565"/>
      <c r="AI80" s="565"/>
      <c r="AJ80" s="565"/>
      <c r="AK80" s="576"/>
      <c r="AL80" s="576"/>
      <c r="AM80" s="576"/>
      <c r="AN80" s="561"/>
    </row>
    <row r="81" spans="1:43" s="562" customFormat="1" ht="12.75" customHeight="1">
      <c r="A81" s="564" t="s">
        <v>1495</v>
      </c>
      <c r="B81" s="565" t="s">
        <v>1496</v>
      </c>
      <c r="C81" s="565"/>
      <c r="D81" s="565"/>
      <c r="E81" s="565"/>
      <c r="F81" s="565"/>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c r="AD81" s="565"/>
      <c r="AE81" s="1922" t="s">
        <v>1478</v>
      </c>
      <c r="AF81" s="1922"/>
      <c r="AG81" s="1922"/>
      <c r="AH81" s="1922"/>
      <c r="AI81" s="1922"/>
      <c r="AJ81" s="1922"/>
      <c r="AK81" s="1922"/>
      <c r="AL81" s="566"/>
      <c r="AM81" s="566"/>
      <c r="AN81" s="561"/>
    </row>
    <row r="82" spans="1:43" s="562" customFormat="1" ht="12.75" customHeight="1">
      <c r="A82" s="564"/>
      <c r="B82" s="565" t="s">
        <v>1497</v>
      </c>
      <c r="C82" s="565"/>
      <c r="D82" s="565"/>
      <c r="E82" s="565"/>
      <c r="F82" s="565"/>
      <c r="G82" s="565"/>
      <c r="H82" s="565"/>
      <c r="I82" s="565"/>
      <c r="J82" s="565"/>
      <c r="K82" s="565"/>
      <c r="L82" s="565"/>
      <c r="M82" s="565"/>
      <c r="N82" s="565"/>
      <c r="O82" s="565"/>
      <c r="P82" s="565"/>
      <c r="Q82" s="565"/>
      <c r="R82" s="565"/>
      <c r="S82" s="565"/>
      <c r="T82" s="565"/>
      <c r="U82" s="565"/>
      <c r="V82" s="565"/>
      <c r="W82" s="565"/>
      <c r="X82" s="565"/>
      <c r="Y82" s="565"/>
      <c r="Z82" s="565"/>
      <c r="AA82" s="565"/>
      <c r="AB82" s="565"/>
      <c r="AC82" s="565"/>
      <c r="AD82" s="565"/>
      <c r="AE82" s="569"/>
      <c r="AF82" s="569"/>
      <c r="AG82" s="569"/>
      <c r="AH82" s="569"/>
      <c r="AI82" s="569"/>
      <c r="AJ82" s="569"/>
      <c r="AK82" s="569"/>
      <c r="AL82" s="566"/>
      <c r="AM82" s="566"/>
      <c r="AN82" s="561"/>
    </row>
    <row r="83" spans="1:43" s="562" customFormat="1" ht="12.75" customHeight="1">
      <c r="A83" s="564"/>
      <c r="B83" s="565"/>
      <c r="C83" s="565"/>
      <c r="D83" s="565"/>
      <c r="E83" s="565"/>
      <c r="F83" s="565"/>
      <c r="G83" s="565"/>
      <c r="H83" s="565"/>
      <c r="I83" s="565"/>
      <c r="J83" s="565"/>
      <c r="K83" s="565"/>
      <c r="L83" s="565"/>
      <c r="M83" s="565"/>
      <c r="N83" s="565"/>
      <c r="O83" s="565"/>
      <c r="P83" s="565"/>
      <c r="Q83" s="565"/>
      <c r="R83" s="565"/>
      <c r="S83" s="565"/>
      <c r="T83" s="565"/>
      <c r="U83" s="565"/>
      <c r="V83" s="565"/>
      <c r="W83" s="565"/>
      <c r="X83" s="565"/>
      <c r="Y83" s="565"/>
      <c r="Z83" s="565"/>
      <c r="AA83" s="565"/>
      <c r="AB83" s="565"/>
      <c r="AC83" s="565"/>
      <c r="AD83" s="565"/>
      <c r="AE83" s="569"/>
      <c r="AF83" s="569"/>
      <c r="AG83" s="569"/>
      <c r="AH83" s="569"/>
      <c r="AI83" s="569"/>
      <c r="AJ83" s="569"/>
      <c r="AK83" s="569"/>
      <c r="AL83" s="566"/>
      <c r="AM83" s="566"/>
      <c r="AN83" s="561"/>
    </row>
    <row r="84" spans="1:43" s="562" customFormat="1" ht="12.75" customHeight="1">
      <c r="A84" s="564"/>
      <c r="B84" s="1912" t="s">
        <v>601</v>
      </c>
      <c r="C84" s="1912"/>
      <c r="D84" s="573" t="s">
        <v>1488</v>
      </c>
      <c r="E84" s="1923" t="s">
        <v>1498</v>
      </c>
      <c r="F84" s="1924"/>
      <c r="G84" s="1924"/>
      <c r="H84" s="1924"/>
      <c r="I84" s="1924"/>
      <c r="J84" s="1924"/>
      <c r="K84" s="1924"/>
      <c r="L84" s="1924"/>
      <c r="M84" s="1924"/>
      <c r="N84" s="1924"/>
      <c r="O84" s="1924"/>
      <c r="P84" s="1924"/>
      <c r="Q84" s="1924"/>
      <c r="R84" s="1924"/>
      <c r="S84" s="1924"/>
      <c r="T84" s="1924"/>
      <c r="U84" s="1924"/>
      <c r="V84" s="1924"/>
      <c r="W84" s="1924"/>
      <c r="X84" s="1924"/>
      <c r="Y84" s="1924"/>
      <c r="Z84" s="1924"/>
      <c r="AA84" s="1924"/>
      <c r="AB84" s="1924"/>
      <c r="AC84" s="1924"/>
      <c r="AD84" s="1924"/>
      <c r="AE84" s="1924"/>
      <c r="AF84" s="1924"/>
      <c r="AG84" s="1924"/>
      <c r="AH84" s="1924"/>
      <c r="AI84" s="1924"/>
      <c r="AJ84" s="1925"/>
      <c r="AK84" s="569"/>
      <c r="AL84" s="566"/>
      <c r="AM84" s="566"/>
      <c r="AN84" s="561"/>
    </row>
    <row r="85" spans="1:43" s="562" customFormat="1" ht="12.75" customHeight="1">
      <c r="A85" s="564"/>
      <c r="B85" s="565"/>
      <c r="C85" s="565"/>
      <c r="D85" s="565"/>
      <c r="E85" s="1926"/>
      <c r="F85" s="1927"/>
      <c r="G85" s="1927"/>
      <c r="H85" s="1927"/>
      <c r="I85" s="1927"/>
      <c r="J85" s="1927"/>
      <c r="K85" s="1927"/>
      <c r="L85" s="1927"/>
      <c r="M85" s="1927"/>
      <c r="N85" s="1927"/>
      <c r="O85" s="1927"/>
      <c r="P85" s="1927"/>
      <c r="Q85" s="1927"/>
      <c r="R85" s="1927"/>
      <c r="S85" s="1927"/>
      <c r="T85" s="1927"/>
      <c r="U85" s="1927"/>
      <c r="V85" s="1927"/>
      <c r="W85" s="1927"/>
      <c r="X85" s="1927"/>
      <c r="Y85" s="1927"/>
      <c r="Z85" s="1927"/>
      <c r="AA85" s="1927"/>
      <c r="AB85" s="1927"/>
      <c r="AC85" s="1927"/>
      <c r="AD85" s="1927"/>
      <c r="AE85" s="1927"/>
      <c r="AF85" s="1927"/>
      <c r="AG85" s="1927"/>
      <c r="AH85" s="1927"/>
      <c r="AI85" s="1927"/>
      <c r="AJ85" s="1928"/>
      <c r="AK85" s="569"/>
      <c r="AL85" s="566"/>
      <c r="AM85" s="566"/>
      <c r="AN85" s="561"/>
    </row>
    <row r="86" spans="1:43" s="562" customFormat="1" ht="12.75" customHeight="1">
      <c r="A86" s="564"/>
      <c r="B86" s="565"/>
      <c r="C86" s="565"/>
      <c r="D86" s="565"/>
      <c r="E86" s="602"/>
      <c r="F86" s="603"/>
      <c r="G86" s="603"/>
      <c r="H86" s="603"/>
      <c r="I86" s="603"/>
      <c r="J86" s="603"/>
      <c r="K86" s="603"/>
      <c r="L86" s="603"/>
      <c r="M86" s="603"/>
      <c r="N86" s="603"/>
      <c r="O86" s="603"/>
      <c r="P86" s="603"/>
      <c r="Q86" s="603"/>
      <c r="R86" s="603"/>
      <c r="S86" s="603"/>
      <c r="T86" s="603"/>
      <c r="U86" s="603"/>
      <c r="V86" s="603"/>
      <c r="W86" s="603"/>
      <c r="X86" s="603"/>
      <c r="Y86" s="603"/>
      <c r="Z86" s="604"/>
      <c r="AA86" s="604"/>
      <c r="AB86" s="604"/>
      <c r="AC86" s="603"/>
      <c r="AD86" s="603"/>
      <c r="AE86" s="603"/>
      <c r="AF86" s="603"/>
      <c r="AG86" s="603"/>
      <c r="AH86" s="603"/>
      <c r="AI86" s="603"/>
      <c r="AJ86" s="605"/>
      <c r="AK86" s="569"/>
      <c r="AL86" s="566"/>
      <c r="AM86" s="566"/>
      <c r="AN86" s="561"/>
    </row>
    <row r="87" spans="1:43" s="562" customFormat="1" ht="12.75" customHeight="1">
      <c r="A87" s="564"/>
      <c r="B87" s="565"/>
      <c r="C87" s="565"/>
      <c r="D87" s="565"/>
      <c r="E87" s="1906">
        <f>Application!AC739</f>
        <v>0.45185185185185189</v>
      </c>
      <c r="F87" s="1907"/>
      <c r="G87" s="1907"/>
      <c r="H87" s="1907"/>
      <c r="I87" s="603"/>
      <c r="J87" s="606" t="s">
        <v>1499</v>
      </c>
      <c r="K87" s="603"/>
      <c r="L87" s="603"/>
      <c r="M87" s="603"/>
      <c r="N87" s="603"/>
      <c r="O87" s="603"/>
      <c r="P87" s="603"/>
      <c r="Q87" s="603"/>
      <c r="R87" s="603"/>
      <c r="S87" s="603"/>
      <c r="T87" s="603"/>
      <c r="U87" s="603"/>
      <c r="V87" s="603"/>
      <c r="W87" s="603"/>
      <c r="X87" s="603"/>
      <c r="Y87" s="603"/>
      <c r="Z87" s="607"/>
      <c r="AA87" s="607"/>
      <c r="AB87" s="607"/>
      <c r="AC87" s="603"/>
      <c r="AD87" s="603"/>
      <c r="AE87" s="603"/>
      <c r="AF87" s="603"/>
      <c r="AG87" s="603"/>
      <c r="AH87" s="603"/>
      <c r="AI87" s="603"/>
      <c r="AJ87" s="605"/>
      <c r="AK87" s="569"/>
      <c r="AL87" s="566"/>
      <c r="AM87" s="566"/>
      <c r="AN87" s="561"/>
    </row>
    <row r="88" spans="1:43" s="562" customFormat="1" ht="12.75" customHeight="1">
      <c r="A88" s="564"/>
      <c r="B88" s="565"/>
      <c r="C88" s="565"/>
      <c r="D88" s="565"/>
      <c r="E88" s="1908">
        <f>0.6-ROUNDUP(E87,2)</f>
        <v>0.13999999999999996</v>
      </c>
      <c r="F88" s="1909"/>
      <c r="G88" s="1909"/>
      <c r="H88" s="1909"/>
      <c r="I88" s="603"/>
      <c r="J88" s="606" t="s">
        <v>1500</v>
      </c>
      <c r="K88" s="603"/>
      <c r="L88" s="603"/>
      <c r="M88" s="603"/>
      <c r="N88" s="603"/>
      <c r="O88" s="603"/>
      <c r="P88" s="603"/>
      <c r="Q88" s="603"/>
      <c r="R88" s="603"/>
      <c r="S88" s="603"/>
      <c r="T88" s="603"/>
      <c r="U88" s="603"/>
      <c r="V88" s="603"/>
      <c r="W88" s="603"/>
      <c r="X88" s="603"/>
      <c r="Y88" s="603"/>
      <c r="Z88" s="603"/>
      <c r="AA88" s="603"/>
      <c r="AB88" s="603"/>
      <c r="AC88" s="603"/>
      <c r="AD88" s="603"/>
      <c r="AE88" s="603"/>
      <c r="AF88" s="603"/>
      <c r="AG88" s="603"/>
      <c r="AH88" s="603"/>
      <c r="AI88" s="603"/>
      <c r="AJ88" s="605"/>
      <c r="AK88" s="569"/>
      <c r="AL88" s="566"/>
      <c r="AM88" s="566"/>
      <c r="AN88" s="561"/>
    </row>
    <row r="89" spans="1:43" s="562" customFormat="1" ht="12.75" customHeight="1">
      <c r="A89" s="564"/>
      <c r="B89" s="565"/>
      <c r="C89" s="565"/>
      <c r="D89" s="565"/>
      <c r="E89" s="1936">
        <f>IF(E88*200&gt;20,20,E88*200)</f>
        <v>20</v>
      </c>
      <c r="F89" s="1937"/>
      <c r="G89" s="1937"/>
      <c r="H89" s="1937"/>
      <c r="I89" s="603"/>
      <c r="J89" s="606" t="s">
        <v>1501</v>
      </c>
      <c r="K89" s="603"/>
      <c r="L89" s="603"/>
      <c r="M89" s="603"/>
      <c r="N89" s="603"/>
      <c r="O89" s="603"/>
      <c r="P89" s="603"/>
      <c r="Q89" s="603"/>
      <c r="R89" s="603"/>
      <c r="S89" s="603"/>
      <c r="T89" s="603"/>
      <c r="U89" s="603"/>
      <c r="V89" s="603"/>
      <c r="W89" s="603"/>
      <c r="X89" s="603"/>
      <c r="Y89" s="603"/>
      <c r="Z89" s="603"/>
      <c r="AA89" s="603"/>
      <c r="AB89" s="603"/>
      <c r="AC89" s="603"/>
      <c r="AD89" s="603"/>
      <c r="AE89" s="603"/>
      <c r="AF89" s="603"/>
      <c r="AG89" s="603"/>
      <c r="AH89" s="603"/>
      <c r="AI89" s="603"/>
      <c r="AJ89" s="605"/>
      <c r="AK89" s="569"/>
      <c r="AL89" s="566"/>
      <c r="AM89" s="566"/>
      <c r="AN89" s="561"/>
      <c r="AP89" s="562">
        <f>IF(B84="yes",E89,0)</f>
        <v>0</v>
      </c>
      <c r="AQ89" s="562" t="s">
        <v>1481</v>
      </c>
    </row>
    <row r="90" spans="1:43" s="562" customFormat="1" ht="12.75" customHeight="1">
      <c r="A90" s="564"/>
      <c r="B90" s="565"/>
      <c r="C90" s="565"/>
      <c r="D90" s="565"/>
      <c r="E90" s="608"/>
      <c r="F90" s="609"/>
      <c r="G90" s="609"/>
      <c r="H90" s="609"/>
      <c r="I90" s="609"/>
      <c r="J90" s="609"/>
      <c r="K90" s="609"/>
      <c r="L90" s="609"/>
      <c r="M90" s="609"/>
      <c r="N90" s="609"/>
      <c r="O90" s="609"/>
      <c r="P90" s="609"/>
      <c r="Q90" s="609"/>
      <c r="R90" s="609"/>
      <c r="S90" s="609"/>
      <c r="T90" s="609"/>
      <c r="U90" s="609"/>
      <c r="V90" s="609"/>
      <c r="W90" s="609"/>
      <c r="X90" s="609"/>
      <c r="Y90" s="609"/>
      <c r="Z90" s="609"/>
      <c r="AA90" s="609"/>
      <c r="AB90" s="609"/>
      <c r="AC90" s="609"/>
      <c r="AD90" s="609"/>
      <c r="AE90" s="610"/>
      <c r="AF90" s="610"/>
      <c r="AG90" s="610"/>
      <c r="AH90" s="610"/>
      <c r="AI90" s="610"/>
      <c r="AJ90" s="611"/>
      <c r="AK90" s="569"/>
      <c r="AL90" s="566"/>
      <c r="AM90" s="566"/>
      <c r="AN90" s="561"/>
    </row>
    <row r="91" spans="1:43" s="562" customFormat="1" ht="12.75" customHeight="1">
      <c r="A91" s="564"/>
      <c r="B91" s="565"/>
      <c r="C91" s="565"/>
      <c r="D91" s="565"/>
      <c r="E91" s="565"/>
      <c r="F91" s="565"/>
      <c r="G91" s="565"/>
      <c r="H91" s="565"/>
      <c r="I91" s="565"/>
      <c r="J91" s="565"/>
      <c r="K91" s="565"/>
      <c r="L91" s="565"/>
      <c r="M91" s="565"/>
      <c r="N91" s="565"/>
      <c r="O91" s="565"/>
      <c r="P91" s="565"/>
      <c r="Q91" s="565"/>
      <c r="R91" s="565"/>
      <c r="S91" s="565"/>
      <c r="T91" s="565"/>
      <c r="U91" s="565"/>
      <c r="V91" s="565"/>
      <c r="W91" s="565"/>
      <c r="X91" s="565"/>
      <c r="Y91" s="565"/>
      <c r="Z91" s="565"/>
      <c r="AA91" s="565"/>
      <c r="AB91" s="565"/>
      <c r="AC91" s="565"/>
      <c r="AD91" s="565"/>
      <c r="AE91" s="569"/>
      <c r="AF91" s="569"/>
      <c r="AG91" s="569"/>
      <c r="AH91" s="569"/>
      <c r="AI91" s="569"/>
      <c r="AJ91" s="569"/>
      <c r="AK91" s="569"/>
      <c r="AL91" s="566"/>
      <c r="AM91" s="566"/>
      <c r="AN91" s="561"/>
    </row>
    <row r="92" spans="1:43" s="562" customFormat="1" ht="12.75" customHeight="1">
      <c r="A92" s="564"/>
      <c r="B92" s="1912" t="s">
        <v>555</v>
      </c>
      <c r="C92" s="1912"/>
      <c r="D92" s="573" t="s">
        <v>1490</v>
      </c>
      <c r="E92" s="1923" t="s">
        <v>1986</v>
      </c>
      <c r="F92" s="1924"/>
      <c r="G92" s="1924"/>
      <c r="H92" s="1924"/>
      <c r="I92" s="1924"/>
      <c r="J92" s="1924"/>
      <c r="K92" s="1924"/>
      <c r="L92" s="1924"/>
      <c r="M92" s="1924"/>
      <c r="N92" s="1924"/>
      <c r="O92" s="1924"/>
      <c r="P92" s="1924"/>
      <c r="Q92" s="1924"/>
      <c r="R92" s="1924"/>
      <c r="S92" s="1924"/>
      <c r="T92" s="1924"/>
      <c r="U92" s="1924"/>
      <c r="V92" s="1924"/>
      <c r="W92" s="1924"/>
      <c r="X92" s="1924"/>
      <c r="Y92" s="1924"/>
      <c r="Z92" s="1924"/>
      <c r="AA92" s="1924"/>
      <c r="AB92" s="1924"/>
      <c r="AC92" s="1924"/>
      <c r="AD92" s="1924"/>
      <c r="AE92" s="1924"/>
      <c r="AF92" s="1924"/>
      <c r="AG92" s="1924"/>
      <c r="AH92" s="1924"/>
      <c r="AI92" s="1924"/>
      <c r="AJ92" s="1925"/>
      <c r="AK92" s="569"/>
      <c r="AL92" s="566"/>
      <c r="AM92" s="566"/>
      <c r="AN92" s="561"/>
    </row>
    <row r="93" spans="1:43" s="562" customFormat="1" ht="12.75" customHeight="1">
      <c r="A93" s="564"/>
      <c r="B93" s="565"/>
      <c r="C93" s="565"/>
      <c r="D93" s="565"/>
      <c r="E93" s="1926"/>
      <c r="F93" s="1927"/>
      <c r="G93" s="1927"/>
      <c r="H93" s="1927"/>
      <c r="I93" s="1927"/>
      <c r="J93" s="1927"/>
      <c r="K93" s="1927"/>
      <c r="L93" s="1927"/>
      <c r="M93" s="1927"/>
      <c r="N93" s="1927"/>
      <c r="O93" s="1927"/>
      <c r="P93" s="1927"/>
      <c r="Q93" s="1927"/>
      <c r="R93" s="1927"/>
      <c r="S93" s="1927"/>
      <c r="T93" s="1927"/>
      <c r="U93" s="1927"/>
      <c r="V93" s="1927"/>
      <c r="W93" s="1927"/>
      <c r="X93" s="1927"/>
      <c r="Y93" s="1927"/>
      <c r="Z93" s="1927"/>
      <c r="AA93" s="1927"/>
      <c r="AB93" s="1927"/>
      <c r="AC93" s="1927"/>
      <c r="AD93" s="1927"/>
      <c r="AE93" s="1927"/>
      <c r="AF93" s="1927"/>
      <c r="AG93" s="1927"/>
      <c r="AH93" s="1927"/>
      <c r="AI93" s="1927"/>
      <c r="AJ93" s="1928"/>
      <c r="AK93" s="569"/>
      <c r="AL93" s="566"/>
      <c r="AM93" s="566"/>
      <c r="AN93" s="561"/>
    </row>
    <row r="94" spans="1:43" s="562" customFormat="1" ht="12.75" customHeight="1">
      <c r="A94" s="564"/>
      <c r="B94" s="565"/>
      <c r="C94" s="565"/>
      <c r="D94" s="565"/>
      <c r="E94" s="1926"/>
      <c r="F94" s="1927"/>
      <c r="G94" s="1927"/>
      <c r="H94" s="1927"/>
      <c r="I94" s="1927"/>
      <c r="J94" s="1927"/>
      <c r="K94" s="1927"/>
      <c r="L94" s="1927"/>
      <c r="M94" s="1927"/>
      <c r="N94" s="1927"/>
      <c r="O94" s="1927"/>
      <c r="P94" s="1927"/>
      <c r="Q94" s="1927"/>
      <c r="R94" s="1927"/>
      <c r="S94" s="1927"/>
      <c r="T94" s="1927"/>
      <c r="U94" s="1927"/>
      <c r="V94" s="1927"/>
      <c r="W94" s="1927"/>
      <c r="X94" s="1927"/>
      <c r="Y94" s="1927"/>
      <c r="Z94" s="1927"/>
      <c r="AA94" s="1927"/>
      <c r="AB94" s="1927"/>
      <c r="AC94" s="1927"/>
      <c r="AD94" s="1927"/>
      <c r="AE94" s="1927"/>
      <c r="AF94" s="1927"/>
      <c r="AG94" s="1927"/>
      <c r="AH94" s="1927"/>
      <c r="AI94" s="1927"/>
      <c r="AJ94" s="1928"/>
      <c r="AK94" s="569"/>
      <c r="AL94" s="566"/>
      <c r="AM94" s="566"/>
      <c r="AN94" s="561"/>
    </row>
    <row r="95" spans="1:43" s="562" customFormat="1" ht="12.75" customHeight="1">
      <c r="A95" s="564"/>
      <c r="B95" s="565"/>
      <c r="C95" s="565"/>
      <c r="D95" s="565"/>
      <c r="E95" s="1926"/>
      <c r="F95" s="1927"/>
      <c r="G95" s="1927"/>
      <c r="H95" s="1927"/>
      <c r="I95" s="1927"/>
      <c r="J95" s="1927"/>
      <c r="K95" s="1927"/>
      <c r="L95" s="1927"/>
      <c r="M95" s="1927"/>
      <c r="N95" s="1927"/>
      <c r="O95" s="1927"/>
      <c r="P95" s="1927"/>
      <c r="Q95" s="1927"/>
      <c r="R95" s="1927"/>
      <c r="S95" s="1927"/>
      <c r="T95" s="1927"/>
      <c r="U95" s="1927"/>
      <c r="V95" s="1927"/>
      <c r="W95" s="1927"/>
      <c r="X95" s="1927"/>
      <c r="Y95" s="1927"/>
      <c r="Z95" s="1927"/>
      <c r="AA95" s="1927"/>
      <c r="AB95" s="1927"/>
      <c r="AC95" s="1927"/>
      <c r="AD95" s="1927"/>
      <c r="AE95" s="1927"/>
      <c r="AF95" s="1927"/>
      <c r="AG95" s="1927"/>
      <c r="AH95" s="1927"/>
      <c r="AI95" s="1927"/>
      <c r="AJ95" s="1928"/>
      <c r="AK95" s="569"/>
      <c r="AL95" s="566"/>
      <c r="AM95" s="566"/>
      <c r="AN95" s="561"/>
    </row>
    <row r="96" spans="1:43" s="562" customFormat="1" ht="12.75" customHeight="1">
      <c r="A96" s="564"/>
      <c r="B96" s="565"/>
      <c r="C96" s="565"/>
      <c r="D96" s="565"/>
      <c r="E96" s="612"/>
      <c r="F96" s="579"/>
      <c r="G96" s="579"/>
      <c r="H96" s="579"/>
      <c r="I96" s="579"/>
      <c r="J96" s="579"/>
      <c r="K96" s="579"/>
      <c r="L96" s="579"/>
      <c r="M96" s="579"/>
      <c r="N96" s="579"/>
      <c r="O96" s="579"/>
      <c r="P96" s="579"/>
      <c r="Q96" s="579"/>
      <c r="R96" s="579"/>
      <c r="S96" s="579"/>
      <c r="T96" s="579"/>
      <c r="U96" s="579"/>
      <c r="V96" s="579"/>
      <c r="W96" s="579"/>
      <c r="X96" s="579"/>
      <c r="Y96" s="579"/>
      <c r="Z96" s="579"/>
      <c r="AA96" s="579"/>
      <c r="AB96" s="579"/>
      <c r="AC96" s="579"/>
      <c r="AD96" s="579"/>
      <c r="AE96" s="579"/>
      <c r="AF96" s="579"/>
      <c r="AG96" s="579"/>
      <c r="AH96" s="579"/>
      <c r="AI96" s="579"/>
      <c r="AJ96" s="580"/>
      <c r="AK96" s="569"/>
      <c r="AL96" s="566"/>
      <c r="AM96" s="566"/>
      <c r="AN96" s="561"/>
    </row>
    <row r="97" spans="1:49" s="562" customFormat="1" ht="12.75" customHeight="1">
      <c r="A97" s="564"/>
      <c r="B97" s="565"/>
      <c r="C97" s="565"/>
      <c r="D97" s="565"/>
      <c r="E97" s="1906">
        <f>Application!AC739</f>
        <v>0.45185185185185189</v>
      </c>
      <c r="F97" s="1907"/>
      <c r="G97" s="1907"/>
      <c r="H97" s="1907"/>
      <c r="I97" s="603"/>
      <c r="J97" s="606" t="s">
        <v>1499</v>
      </c>
      <c r="K97" s="603"/>
      <c r="L97" s="603"/>
      <c r="M97" s="603"/>
      <c r="N97" s="603"/>
      <c r="O97" s="603"/>
      <c r="P97" s="603"/>
      <c r="Q97" s="603"/>
      <c r="R97" s="579"/>
      <c r="S97" s="579"/>
      <c r="T97" s="579"/>
      <c r="U97" s="579"/>
      <c r="V97" s="579"/>
      <c r="W97" s="579"/>
      <c r="X97" s="579"/>
      <c r="Y97" s="579"/>
      <c r="Z97" s="579"/>
      <c r="AA97" s="579"/>
      <c r="AB97" s="579"/>
      <c r="AC97" s="579"/>
      <c r="AD97" s="579"/>
      <c r="AE97" s="579"/>
      <c r="AF97" s="579"/>
      <c r="AG97" s="579"/>
      <c r="AH97" s="579"/>
      <c r="AI97" s="579"/>
      <c r="AJ97" s="580"/>
      <c r="AK97" s="569"/>
      <c r="AL97" s="566"/>
      <c r="AM97" s="566"/>
      <c r="AN97" s="561"/>
    </row>
    <row r="98" spans="1:49" s="562" customFormat="1" ht="12.75" customHeight="1">
      <c r="A98" s="564"/>
      <c r="B98" s="565"/>
      <c r="C98" s="565"/>
      <c r="D98" s="565"/>
      <c r="E98" s="1906">
        <f ca="1">SUMIF(Application!AC714:AG738,0.2,Application!G714:J738)/Application!G739+SUMIF(Application!AC714:AG738,0.25,Application!G714:J738)/Application!G739+SUMIF(Application!AC714:AG738,0.3,Application!G714:J738)/Application!G739</f>
        <v>0.33333333333333331</v>
      </c>
      <c r="F98" s="1907"/>
      <c r="G98" s="1907"/>
      <c r="H98" s="1907"/>
      <c r="I98" s="603"/>
      <c r="J98" s="606" t="s">
        <v>1502</v>
      </c>
      <c r="K98" s="603"/>
      <c r="L98" s="603"/>
      <c r="M98" s="603"/>
      <c r="N98" s="603"/>
      <c r="O98" s="603"/>
      <c r="P98" s="603"/>
      <c r="Q98" s="603"/>
      <c r="R98" s="579"/>
      <c r="S98" s="579"/>
      <c r="T98" s="579"/>
      <c r="U98" s="579"/>
      <c r="V98" s="579"/>
      <c r="W98" s="579"/>
      <c r="X98" s="579"/>
      <c r="Y98" s="579"/>
      <c r="Z98" s="579"/>
      <c r="AA98" s="579"/>
      <c r="AB98" s="579"/>
      <c r="AC98" s="579"/>
      <c r="AD98" s="579"/>
      <c r="AE98" s="579"/>
      <c r="AF98" s="579"/>
      <c r="AG98" s="579"/>
      <c r="AH98" s="579"/>
      <c r="AI98" s="579"/>
      <c r="AJ98" s="580"/>
      <c r="AK98" s="569"/>
      <c r="AL98" s="566"/>
      <c r="AM98" s="566"/>
      <c r="AN98" s="561"/>
      <c r="AU98" s="889"/>
    </row>
    <row r="99" spans="1:49" s="562" customFormat="1" ht="12.75" customHeight="1">
      <c r="A99" s="564"/>
      <c r="B99" s="565"/>
      <c r="C99" s="565"/>
      <c r="D99" s="565"/>
      <c r="E99" s="1906">
        <f ca="1">SUMIF(Application!AC714:AG738,0.35,Application!G714:J738)/Application!G739+SUMIF(Application!AC714:AG738,0.4,Application!G714:J738)/Application!G739+SUMIF(Application!AC714:AG738,0.45,Application!G714:J738)/Application!G739+SUMIF(Application!AC714:AG738,0.5,Application!G714:J738)/Application!G739</f>
        <v>0.35555555555555551</v>
      </c>
      <c r="F99" s="1907"/>
      <c r="G99" s="1907"/>
      <c r="H99" s="1907"/>
      <c r="I99" s="603"/>
      <c r="J99" s="606" t="s">
        <v>1503</v>
      </c>
      <c r="K99" s="603"/>
      <c r="L99" s="603"/>
      <c r="M99" s="603"/>
      <c r="N99" s="603"/>
      <c r="O99" s="603"/>
      <c r="P99" s="603"/>
      <c r="Q99" s="603"/>
      <c r="R99" s="579"/>
      <c r="S99" s="579"/>
      <c r="T99" s="579"/>
      <c r="U99" s="579"/>
      <c r="V99" s="579"/>
      <c r="W99" s="579"/>
      <c r="X99" s="579"/>
      <c r="Y99" s="579"/>
      <c r="Z99" s="579"/>
      <c r="AA99" s="579"/>
      <c r="AB99" s="579"/>
      <c r="AC99" s="579"/>
      <c r="AD99" s="579"/>
      <c r="AE99" s="579"/>
      <c r="AF99" s="579"/>
      <c r="AG99" s="579"/>
      <c r="AH99" s="579"/>
      <c r="AI99" s="579"/>
      <c r="AJ99" s="580"/>
      <c r="AK99" s="569"/>
      <c r="AL99" s="566"/>
      <c r="AM99" s="566"/>
      <c r="AN99" s="561"/>
      <c r="AU99" s="889"/>
    </row>
    <row r="100" spans="1:49" s="562" customFormat="1" ht="12.75" customHeight="1">
      <c r="A100" s="564"/>
      <c r="B100" s="565"/>
      <c r="C100" s="565"/>
      <c r="D100" s="565"/>
      <c r="E100" s="1961">
        <f ca="1">IF(AND(E97&lt;=0.6,E98&gt;=0.1,OR(E99&gt;=0.1,E98&gt;=0.2)),20,0)</f>
        <v>20</v>
      </c>
      <c r="F100" s="1962"/>
      <c r="G100" s="1962"/>
      <c r="H100" s="1962"/>
      <c r="I100" s="579"/>
      <c r="J100" s="613" t="s">
        <v>1501</v>
      </c>
      <c r="K100" s="579"/>
      <c r="L100" s="579"/>
      <c r="M100" s="579"/>
      <c r="N100" s="579"/>
      <c r="O100" s="579"/>
      <c r="P100" s="579"/>
      <c r="Q100" s="579"/>
      <c r="R100" s="579"/>
      <c r="S100" s="579"/>
      <c r="T100" s="579"/>
      <c r="U100" s="579"/>
      <c r="V100" s="579"/>
      <c r="W100" s="579"/>
      <c r="X100" s="579"/>
      <c r="Y100" s="579"/>
      <c r="Z100" s="579"/>
      <c r="AA100" s="579"/>
      <c r="AB100" s="579"/>
      <c r="AC100" s="579"/>
      <c r="AD100" s="579"/>
      <c r="AE100" s="579"/>
      <c r="AF100" s="579"/>
      <c r="AG100" s="579"/>
      <c r="AH100" s="579"/>
      <c r="AI100" s="579"/>
      <c r="AJ100" s="580"/>
      <c r="AK100" s="569"/>
      <c r="AL100" s="566"/>
      <c r="AM100" s="566"/>
      <c r="AN100" s="561"/>
      <c r="AP100" s="562">
        <f ca="1">IF(B92="yes",E100,0)</f>
        <v>20</v>
      </c>
      <c r="AQ100" s="562" t="s">
        <v>1481</v>
      </c>
    </row>
    <row r="101" spans="1:49" s="562" customFormat="1" ht="12.75" customHeight="1">
      <c r="A101" s="564"/>
      <c r="B101" s="565"/>
      <c r="C101" s="565"/>
      <c r="D101" s="565"/>
      <c r="E101" s="608"/>
      <c r="F101" s="609"/>
      <c r="G101" s="609"/>
      <c r="H101" s="609"/>
      <c r="I101" s="609"/>
      <c r="J101" s="609"/>
      <c r="K101" s="609"/>
      <c r="L101" s="609"/>
      <c r="M101" s="609"/>
      <c r="N101" s="609"/>
      <c r="O101" s="609"/>
      <c r="P101" s="609"/>
      <c r="Q101" s="609"/>
      <c r="R101" s="609"/>
      <c r="S101" s="609"/>
      <c r="T101" s="609"/>
      <c r="U101" s="609"/>
      <c r="V101" s="609"/>
      <c r="W101" s="609"/>
      <c r="X101" s="609"/>
      <c r="Y101" s="609"/>
      <c r="Z101" s="609"/>
      <c r="AA101" s="609"/>
      <c r="AB101" s="609"/>
      <c r="AC101" s="609"/>
      <c r="AD101" s="609"/>
      <c r="AE101" s="610"/>
      <c r="AF101" s="610"/>
      <c r="AG101" s="610"/>
      <c r="AH101" s="610"/>
      <c r="AI101" s="610"/>
      <c r="AJ101" s="611"/>
      <c r="AK101" s="569"/>
      <c r="AL101" s="566"/>
      <c r="AM101" s="566"/>
      <c r="AN101" s="561"/>
    </row>
    <row r="102" spans="1:49" s="562" customFormat="1" ht="12.75" customHeight="1">
      <c r="A102" s="564"/>
      <c r="B102" s="565"/>
      <c r="C102" s="565"/>
      <c r="D102" s="565"/>
      <c r="E102" s="565"/>
      <c r="F102" s="565"/>
      <c r="G102" s="565"/>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9"/>
      <c r="AF102" s="569"/>
      <c r="AG102" s="569"/>
      <c r="AH102" s="569"/>
      <c r="AI102" s="569"/>
      <c r="AJ102" s="569"/>
      <c r="AK102" s="569"/>
      <c r="AL102" s="566"/>
      <c r="AM102" s="566"/>
      <c r="AN102" s="561"/>
    </row>
    <row r="103" spans="1:49" s="562" customFormat="1" ht="12.75" customHeight="1">
      <c r="A103" s="587"/>
      <c r="B103" s="588"/>
      <c r="C103" s="588"/>
      <c r="D103" s="588"/>
      <c r="E103" s="588"/>
      <c r="F103" s="588"/>
      <c r="G103" s="589"/>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1"/>
      <c r="AJ103" s="591" t="s">
        <v>1504</v>
      </c>
      <c r="AK103" s="1942">
        <f ca="1">MAX(AP89,AP100)</f>
        <v>20</v>
      </c>
      <c r="AL103" s="1943"/>
      <c r="AM103" s="1944"/>
      <c r="AN103" s="561"/>
    </row>
    <row r="104" spans="1:49" s="562" customFormat="1" ht="12.75" customHeight="1" thickBot="1">
      <c r="A104" s="592"/>
      <c r="B104" s="593"/>
      <c r="C104" s="594"/>
      <c r="D104" s="594"/>
      <c r="E104" s="594"/>
      <c r="F104" s="594"/>
      <c r="G104" s="594"/>
      <c r="H104" s="594"/>
      <c r="I104" s="594"/>
      <c r="J104" s="594"/>
      <c r="K104" s="594"/>
      <c r="L104" s="594"/>
      <c r="M104" s="594"/>
      <c r="N104" s="594"/>
      <c r="O104" s="594"/>
      <c r="P104" s="594"/>
      <c r="Q104" s="594"/>
      <c r="R104" s="594"/>
      <c r="S104" s="594"/>
      <c r="T104" s="594"/>
      <c r="U104" s="594"/>
      <c r="V104" s="594"/>
      <c r="W104" s="594"/>
      <c r="X104" s="594"/>
      <c r="Y104" s="594"/>
      <c r="Z104" s="594"/>
      <c r="AA104" s="594"/>
      <c r="AB104" s="594"/>
      <c r="AC104" s="594"/>
      <c r="AD104" s="594"/>
      <c r="AE104" s="594"/>
      <c r="AF104" s="594"/>
      <c r="AG104" s="594"/>
      <c r="AH104" s="594"/>
      <c r="AI104" s="594"/>
      <c r="AJ104" s="594"/>
      <c r="AK104" s="594"/>
      <c r="AL104" s="594"/>
      <c r="AM104" s="595"/>
      <c r="AN104" s="561"/>
    </row>
    <row r="105" spans="1:49" s="562" customFormat="1" ht="12.75" customHeight="1" thickTop="1">
      <c r="A105" s="596"/>
      <c r="B105" s="597"/>
      <c r="C105" s="598"/>
      <c r="D105" s="598"/>
      <c r="E105" s="598"/>
      <c r="F105" s="598"/>
      <c r="G105" s="598"/>
      <c r="H105" s="598"/>
      <c r="I105" s="599"/>
      <c r="J105" s="599"/>
      <c r="K105" s="599"/>
      <c r="L105" s="599"/>
      <c r="M105" s="599"/>
      <c r="N105" s="599"/>
      <c r="O105" s="599"/>
      <c r="P105" s="599"/>
      <c r="Q105" s="599"/>
      <c r="R105" s="596"/>
      <c r="S105" s="565"/>
      <c r="T105" s="565"/>
      <c r="U105" s="565"/>
      <c r="V105" s="565"/>
      <c r="W105" s="565"/>
      <c r="X105" s="565"/>
      <c r="Y105" s="565"/>
      <c r="Z105" s="565"/>
      <c r="AA105" s="565"/>
      <c r="AB105" s="565"/>
      <c r="AC105" s="565"/>
      <c r="AD105" s="565"/>
      <c r="AE105" s="565"/>
      <c r="AF105" s="596"/>
      <c r="AG105" s="565"/>
      <c r="AH105" s="565"/>
      <c r="AI105" s="565"/>
      <c r="AJ105" s="565"/>
      <c r="AK105" s="576"/>
      <c r="AL105" s="576"/>
      <c r="AM105" s="576"/>
      <c r="AN105" s="561"/>
    </row>
    <row r="106" spans="1:49" s="562" customFormat="1" ht="12.75" customHeight="1">
      <c r="A106" s="564" t="s">
        <v>1505</v>
      </c>
      <c r="B106" s="565" t="s">
        <v>1506</v>
      </c>
      <c r="C106" s="565"/>
      <c r="D106" s="565"/>
      <c r="E106" s="565"/>
      <c r="F106" s="565"/>
      <c r="G106" s="565"/>
      <c r="H106" s="565"/>
      <c r="I106" s="565"/>
      <c r="J106" s="565"/>
      <c r="K106" s="565"/>
      <c r="L106" s="565"/>
      <c r="M106" s="565"/>
      <c r="N106" s="565"/>
      <c r="O106" s="565"/>
      <c r="P106" s="565"/>
      <c r="Q106" s="565"/>
      <c r="R106" s="565"/>
      <c r="S106" s="565"/>
      <c r="T106" s="565"/>
      <c r="U106" s="565"/>
      <c r="V106" s="565"/>
      <c r="W106" s="565"/>
      <c r="X106" s="565"/>
      <c r="Y106" s="565"/>
      <c r="Z106" s="565"/>
      <c r="AA106" s="565"/>
      <c r="AB106" s="565"/>
      <c r="AC106" s="565"/>
      <c r="AD106" s="565"/>
      <c r="AE106" s="1922" t="s">
        <v>1487</v>
      </c>
      <c r="AF106" s="1922"/>
      <c r="AG106" s="1922"/>
      <c r="AH106" s="1922"/>
      <c r="AI106" s="1922"/>
      <c r="AJ106" s="1922"/>
      <c r="AK106" s="1922"/>
      <c r="AL106" s="566"/>
      <c r="AM106" s="566"/>
      <c r="AN106" s="561"/>
      <c r="AO106" s="562" t="str">
        <f>Application!B714</f>
        <v>SRO/Studio</v>
      </c>
      <c r="AQ106" s="562">
        <f>Application!O714</f>
        <v>850</v>
      </c>
    </row>
    <row r="107" spans="1:49" s="562" customFormat="1" ht="12.75" customHeight="1">
      <c r="A107" s="566"/>
      <c r="B107" s="565" t="s">
        <v>1497</v>
      </c>
      <c r="C107" s="565"/>
      <c r="D107" s="565"/>
      <c r="E107" s="565"/>
      <c r="F107" s="565"/>
      <c r="G107" s="565"/>
      <c r="H107" s="565"/>
      <c r="I107" s="565"/>
      <c r="J107" s="565"/>
      <c r="K107" s="565"/>
      <c r="L107" s="565"/>
      <c r="M107" s="565"/>
      <c r="N107" s="565"/>
      <c r="O107" s="565"/>
      <c r="P107" s="565"/>
      <c r="Q107" s="565"/>
      <c r="R107" s="565"/>
      <c r="S107" s="565"/>
      <c r="T107" s="565"/>
      <c r="U107" s="565"/>
      <c r="V107" s="565"/>
      <c r="W107" s="565"/>
      <c r="X107" s="565"/>
      <c r="Y107" s="565"/>
      <c r="Z107" s="565"/>
      <c r="AA107" s="565"/>
      <c r="AB107" s="565"/>
      <c r="AC107" s="565"/>
      <c r="AD107" s="565"/>
      <c r="AE107" s="569"/>
      <c r="AF107" s="569"/>
      <c r="AG107" s="569"/>
      <c r="AH107" s="569"/>
      <c r="AI107" s="569"/>
      <c r="AJ107" s="569"/>
      <c r="AK107" s="566"/>
      <c r="AL107" s="566"/>
      <c r="AM107" s="566"/>
      <c r="AN107" s="561"/>
      <c r="AO107" s="562" t="str">
        <f>Application!B715</f>
        <v>1 Bedroom</v>
      </c>
      <c r="AQ107" s="562">
        <f>Application!O715</f>
        <v>907</v>
      </c>
    </row>
    <row r="108" spans="1:49" s="562" customFormat="1" ht="12.75" customHeight="1">
      <c r="A108" s="566"/>
      <c r="B108" s="565"/>
      <c r="C108" s="565"/>
      <c r="D108" s="565"/>
      <c r="E108" s="603"/>
      <c r="F108" s="603"/>
      <c r="G108" s="603"/>
      <c r="H108" s="603"/>
      <c r="I108" s="603"/>
      <c r="J108" s="603"/>
      <c r="K108" s="603"/>
      <c r="L108" s="603"/>
      <c r="M108" s="603"/>
      <c r="N108" s="603"/>
      <c r="O108" s="603"/>
      <c r="P108" s="603"/>
      <c r="Q108" s="603"/>
      <c r="R108" s="603"/>
      <c r="S108" s="603"/>
      <c r="T108" s="603"/>
      <c r="U108" s="603"/>
      <c r="V108" s="603"/>
      <c r="W108" s="603"/>
      <c r="X108" s="603"/>
      <c r="Y108" s="603"/>
      <c r="Z108" s="603"/>
      <c r="AA108" s="603"/>
      <c r="AB108" s="603"/>
      <c r="AC108" s="603"/>
      <c r="AD108" s="603"/>
      <c r="AE108" s="603"/>
      <c r="AF108" s="603"/>
      <c r="AG108" s="603"/>
      <c r="AH108" s="603"/>
      <c r="AI108" s="603"/>
      <c r="AJ108" s="603"/>
      <c r="AK108" s="566"/>
      <c r="AL108" s="566"/>
      <c r="AM108" s="566"/>
      <c r="AN108" s="561"/>
      <c r="AO108" s="562" t="str">
        <f>Application!B716</f>
        <v>1 Bedroom</v>
      </c>
      <c r="AQ108" s="562">
        <f>Application!O716</f>
        <v>907</v>
      </c>
    </row>
    <row r="109" spans="1:49" s="562" customFormat="1" ht="12.75" customHeight="1">
      <c r="A109" s="566"/>
      <c r="B109" s="1912" t="s">
        <v>555</v>
      </c>
      <c r="C109" s="1912"/>
      <c r="D109" s="573" t="s">
        <v>1488</v>
      </c>
      <c r="E109" s="1923" t="s">
        <v>2121</v>
      </c>
      <c r="F109" s="1924"/>
      <c r="G109" s="1924"/>
      <c r="H109" s="1924"/>
      <c r="I109" s="1924"/>
      <c r="J109" s="1924"/>
      <c r="K109" s="1924"/>
      <c r="L109" s="1924"/>
      <c r="M109" s="1924"/>
      <c r="N109" s="1924"/>
      <c r="O109" s="1924"/>
      <c r="P109" s="1924"/>
      <c r="Q109" s="1924"/>
      <c r="R109" s="1924"/>
      <c r="S109" s="1924"/>
      <c r="T109" s="1924"/>
      <c r="U109" s="1924"/>
      <c r="V109" s="1924"/>
      <c r="W109" s="1924"/>
      <c r="X109" s="1924"/>
      <c r="Y109" s="1924"/>
      <c r="Z109" s="1924"/>
      <c r="AA109" s="1924"/>
      <c r="AB109" s="1924"/>
      <c r="AC109" s="1924"/>
      <c r="AD109" s="1924"/>
      <c r="AE109" s="1924"/>
      <c r="AF109" s="1924"/>
      <c r="AG109" s="1924"/>
      <c r="AH109" s="1924"/>
      <c r="AI109" s="1924"/>
      <c r="AJ109" s="1925"/>
      <c r="AK109" s="566"/>
      <c r="AL109" s="566"/>
      <c r="AM109" s="566"/>
      <c r="AN109" s="561"/>
      <c r="AO109" s="562" t="str">
        <f>Application!B717</f>
        <v>2 Bedrooms</v>
      </c>
      <c r="AQ109" s="562">
        <f>Application!O717</f>
        <v>1074</v>
      </c>
      <c r="AU109" s="562" t="s">
        <v>2103</v>
      </c>
      <c r="AV109" s="621" t="s">
        <v>2104</v>
      </c>
      <c r="AW109" s="562" t="s">
        <v>2105</v>
      </c>
    </row>
    <row r="110" spans="1:49" s="562" customFormat="1" ht="12.75" customHeight="1">
      <c r="A110" s="566"/>
      <c r="B110" s="565"/>
      <c r="C110" s="565"/>
      <c r="D110" s="565"/>
      <c r="E110" s="1926"/>
      <c r="F110" s="1927"/>
      <c r="G110" s="1927"/>
      <c r="H110" s="1927"/>
      <c r="I110" s="1927"/>
      <c r="J110" s="1927"/>
      <c r="K110" s="1927"/>
      <c r="L110" s="1927"/>
      <c r="M110" s="1927"/>
      <c r="N110" s="1927"/>
      <c r="O110" s="1927"/>
      <c r="P110" s="1927"/>
      <c r="Q110" s="1927"/>
      <c r="R110" s="1927"/>
      <c r="S110" s="1927"/>
      <c r="T110" s="1927"/>
      <c r="U110" s="1927"/>
      <c r="V110" s="1927"/>
      <c r="W110" s="1927"/>
      <c r="X110" s="1927"/>
      <c r="Y110" s="1927"/>
      <c r="Z110" s="1927"/>
      <c r="AA110" s="1927"/>
      <c r="AB110" s="1927"/>
      <c r="AC110" s="1927"/>
      <c r="AD110" s="1927"/>
      <c r="AE110" s="1927"/>
      <c r="AF110" s="1927"/>
      <c r="AG110" s="1927"/>
      <c r="AH110" s="1927"/>
      <c r="AI110" s="1927"/>
      <c r="AJ110" s="1928"/>
      <c r="AK110" s="566"/>
      <c r="AL110" s="566"/>
      <c r="AM110" s="566"/>
      <c r="AN110" s="561"/>
      <c r="AO110" s="562" t="str">
        <f>Application!B718</f>
        <v>2 Bedrooms</v>
      </c>
      <c r="AQ110" s="562">
        <f>Application!O718</f>
        <v>1074</v>
      </c>
      <c r="AU110" s="883" t="str">
        <f>E118</f>
        <v>Studio/SRO</v>
      </c>
      <c r="AV110" s="562">
        <f t="array" ref="AV110">SUM(IF(Application!B714:F738="SRO/Studio",Application!G714:J738))</f>
        <v>8</v>
      </c>
      <c r="AW110" s="1030">
        <f>AV110/AV116</f>
        <v>5.9259259259259262E-2</v>
      </c>
    </row>
    <row r="111" spans="1:49" s="562" customFormat="1" ht="12.75" customHeight="1">
      <c r="A111" s="566"/>
      <c r="B111" s="565"/>
      <c r="C111" s="565"/>
      <c r="D111" s="565"/>
      <c r="E111" s="1926"/>
      <c r="F111" s="1927"/>
      <c r="G111" s="1927"/>
      <c r="H111" s="1927"/>
      <c r="I111" s="1927"/>
      <c r="J111" s="1927"/>
      <c r="K111" s="1927"/>
      <c r="L111" s="1927"/>
      <c r="M111" s="1927"/>
      <c r="N111" s="1927"/>
      <c r="O111" s="1927"/>
      <c r="P111" s="1927"/>
      <c r="Q111" s="1927"/>
      <c r="R111" s="1927"/>
      <c r="S111" s="1927"/>
      <c r="T111" s="1927"/>
      <c r="U111" s="1927"/>
      <c r="V111" s="1927"/>
      <c r="W111" s="1927"/>
      <c r="X111" s="1927"/>
      <c r="Y111" s="1927"/>
      <c r="Z111" s="1927"/>
      <c r="AA111" s="1927"/>
      <c r="AB111" s="1927"/>
      <c r="AC111" s="1927"/>
      <c r="AD111" s="1927"/>
      <c r="AE111" s="1927"/>
      <c r="AF111" s="1927"/>
      <c r="AG111" s="1927"/>
      <c r="AH111" s="1927"/>
      <c r="AI111" s="1927"/>
      <c r="AJ111" s="1928"/>
      <c r="AK111" s="566"/>
      <c r="AL111" s="566"/>
      <c r="AM111" s="566"/>
      <c r="AN111" s="561"/>
      <c r="AO111" s="562" t="str">
        <f>Application!B719</f>
        <v>3 Bedrooms</v>
      </c>
      <c r="AQ111" s="562">
        <f>Application!O719</f>
        <v>1220</v>
      </c>
      <c r="AU111" s="883" t="str">
        <f>J118</f>
        <v>1-bedroom</v>
      </c>
      <c r="AV111" s="562">
        <f t="array" ref="AV111">SUM(IF(Application!B714:F738="1 Bedroom",Application!G714:J738))</f>
        <v>19</v>
      </c>
      <c r="AW111" s="1030">
        <f>AV111/AV116</f>
        <v>0.14074074074074075</v>
      </c>
    </row>
    <row r="112" spans="1:49" s="562" customFormat="1" ht="12.75" customHeight="1">
      <c r="A112" s="566"/>
      <c r="B112" s="565"/>
      <c r="C112" s="565"/>
      <c r="D112" s="565"/>
      <c r="E112" s="1926"/>
      <c r="F112" s="1927"/>
      <c r="G112" s="1927"/>
      <c r="H112" s="1927"/>
      <c r="I112" s="1927"/>
      <c r="J112" s="1927"/>
      <c r="K112" s="1927"/>
      <c r="L112" s="1927"/>
      <c r="M112" s="1927"/>
      <c r="N112" s="1927"/>
      <c r="O112" s="1927"/>
      <c r="P112" s="1927"/>
      <c r="Q112" s="1927"/>
      <c r="R112" s="1927"/>
      <c r="S112" s="1927"/>
      <c r="T112" s="1927"/>
      <c r="U112" s="1927"/>
      <c r="V112" s="1927"/>
      <c r="W112" s="1927"/>
      <c r="X112" s="1927"/>
      <c r="Y112" s="1927"/>
      <c r="Z112" s="1927"/>
      <c r="AA112" s="1927"/>
      <c r="AB112" s="1927"/>
      <c r="AC112" s="1927"/>
      <c r="AD112" s="1927"/>
      <c r="AE112" s="1927"/>
      <c r="AF112" s="1927"/>
      <c r="AG112" s="1927"/>
      <c r="AH112" s="1927"/>
      <c r="AI112" s="1927"/>
      <c r="AJ112" s="1928"/>
      <c r="AK112" s="566"/>
      <c r="AL112" s="566"/>
      <c r="AM112" s="566"/>
      <c r="AN112" s="561"/>
      <c r="AO112" s="562" t="str">
        <f>Application!B720</f>
        <v>3 Bedrooms</v>
      </c>
      <c r="AQ112" s="562">
        <f>Application!O720</f>
        <v>1220</v>
      </c>
      <c r="AU112" s="883" t="str">
        <f>O118</f>
        <v>2-bedroom</v>
      </c>
      <c r="AV112" s="562">
        <f t="array" ref="AV112">SUM(IF(Application!B714:F738="2 Bedrooms",Application!G714:J738))</f>
        <v>74</v>
      </c>
      <c r="AW112" s="1030">
        <f>AV112/AV116</f>
        <v>0.54814814814814816</v>
      </c>
    </row>
    <row r="113" spans="1:52" s="562" customFormat="1" ht="12.75" customHeight="1">
      <c r="A113" s="566"/>
      <c r="B113" s="565"/>
      <c r="C113" s="565"/>
      <c r="D113" s="565"/>
      <c r="E113" s="1926"/>
      <c r="F113" s="1927"/>
      <c r="G113" s="1927"/>
      <c r="H113" s="1927"/>
      <c r="I113" s="1927"/>
      <c r="J113" s="1927"/>
      <c r="K113" s="1927"/>
      <c r="L113" s="1927"/>
      <c r="M113" s="1927"/>
      <c r="N113" s="1927"/>
      <c r="O113" s="1927"/>
      <c r="P113" s="1927"/>
      <c r="Q113" s="1927"/>
      <c r="R113" s="1927"/>
      <c r="S113" s="1927"/>
      <c r="T113" s="1927"/>
      <c r="U113" s="1927"/>
      <c r="V113" s="1927"/>
      <c r="W113" s="1927"/>
      <c r="X113" s="1927"/>
      <c r="Y113" s="1927"/>
      <c r="Z113" s="1927"/>
      <c r="AA113" s="1927"/>
      <c r="AB113" s="1927"/>
      <c r="AC113" s="1927"/>
      <c r="AD113" s="1927"/>
      <c r="AE113" s="1927"/>
      <c r="AF113" s="1927"/>
      <c r="AG113" s="1927"/>
      <c r="AH113" s="1927"/>
      <c r="AI113" s="1927"/>
      <c r="AJ113" s="1928"/>
      <c r="AK113" s="566"/>
      <c r="AL113" s="566"/>
      <c r="AM113" s="566"/>
      <c r="AN113" s="561"/>
      <c r="AO113" s="562" t="str">
        <f>Application!B721</f>
        <v>4 Bedrooms</v>
      </c>
      <c r="AQ113" s="562">
        <f>Application!O721</f>
        <v>1337</v>
      </c>
      <c r="AU113" s="883" t="str">
        <f>T118</f>
        <v>3-bedroom</v>
      </c>
      <c r="AV113" s="562">
        <f t="array" ref="AV113">SUM(IF(Application!B714:F738="3 Bedrooms",Application!G714:J738))</f>
        <v>27</v>
      </c>
      <c r="AW113" s="1030">
        <f>AV113/AV116</f>
        <v>0.2</v>
      </c>
    </row>
    <row r="114" spans="1:52" s="562" customFormat="1" ht="12.75" customHeight="1">
      <c r="A114" s="566"/>
      <c r="B114" s="565"/>
      <c r="C114" s="565"/>
      <c r="D114" s="565"/>
      <c r="E114" s="1926"/>
      <c r="F114" s="1927"/>
      <c r="G114" s="1927"/>
      <c r="H114" s="1927"/>
      <c r="I114" s="1927"/>
      <c r="J114" s="1927"/>
      <c r="K114" s="1927"/>
      <c r="L114" s="1927"/>
      <c r="M114" s="1927"/>
      <c r="N114" s="1927"/>
      <c r="O114" s="1927"/>
      <c r="P114" s="1927"/>
      <c r="Q114" s="1927"/>
      <c r="R114" s="1927"/>
      <c r="S114" s="1927"/>
      <c r="T114" s="1927"/>
      <c r="U114" s="1927"/>
      <c r="V114" s="1927"/>
      <c r="W114" s="1927"/>
      <c r="X114" s="1927"/>
      <c r="Y114" s="1927"/>
      <c r="Z114" s="1927"/>
      <c r="AA114" s="1927"/>
      <c r="AB114" s="1927"/>
      <c r="AC114" s="1927"/>
      <c r="AD114" s="1927"/>
      <c r="AE114" s="1927"/>
      <c r="AF114" s="1927"/>
      <c r="AG114" s="1927"/>
      <c r="AH114" s="1927"/>
      <c r="AI114" s="1927"/>
      <c r="AJ114" s="1928"/>
      <c r="AK114" s="566"/>
      <c r="AL114" s="566"/>
      <c r="AM114" s="566"/>
      <c r="AN114" s="561"/>
      <c r="AO114" s="562" t="str">
        <f>Application!B722</f>
        <v>4 Bedrooms</v>
      </c>
      <c r="AQ114" s="562">
        <f>Application!O722</f>
        <v>1337</v>
      </c>
      <c r="AU114" s="883" t="str">
        <f>Y118</f>
        <v>4-bedroom</v>
      </c>
      <c r="AV114" s="562">
        <f t="array" ref="AV114">SUM(IF(Application!B714:F738="4 Bedrooms",Application!G714:J738))</f>
        <v>7</v>
      </c>
      <c r="AW114" s="1030">
        <f>AV114/AV116</f>
        <v>5.185185185185185E-2</v>
      </c>
    </row>
    <row r="115" spans="1:52" s="562" customFormat="1" ht="12.75" customHeight="1">
      <c r="A115" s="566"/>
      <c r="B115" s="565"/>
      <c r="C115" s="565"/>
      <c r="D115" s="565"/>
      <c r="E115" s="1926"/>
      <c r="F115" s="1927"/>
      <c r="G115" s="1927"/>
      <c r="H115" s="1927"/>
      <c r="I115" s="1927"/>
      <c r="J115" s="1927"/>
      <c r="K115" s="1927"/>
      <c r="L115" s="1927"/>
      <c r="M115" s="1927"/>
      <c r="N115" s="1927"/>
      <c r="O115" s="1927"/>
      <c r="P115" s="1927"/>
      <c r="Q115" s="1927"/>
      <c r="R115" s="1927"/>
      <c r="S115" s="1927"/>
      <c r="T115" s="1927"/>
      <c r="U115" s="1927"/>
      <c r="V115" s="1927"/>
      <c r="W115" s="1927"/>
      <c r="X115" s="1927"/>
      <c r="Y115" s="1927"/>
      <c r="Z115" s="1927"/>
      <c r="AA115" s="1927"/>
      <c r="AB115" s="1927"/>
      <c r="AC115" s="1927"/>
      <c r="AD115" s="1927"/>
      <c r="AE115" s="1927"/>
      <c r="AF115" s="1927"/>
      <c r="AG115" s="1927"/>
      <c r="AH115" s="1927"/>
      <c r="AI115" s="1927"/>
      <c r="AJ115" s="1928"/>
      <c r="AK115" s="566"/>
      <c r="AL115" s="566"/>
      <c r="AM115" s="566"/>
      <c r="AN115" s="561"/>
      <c r="AO115" s="562" t="str">
        <f>Application!B723</f>
        <v>SRO/Studio</v>
      </c>
      <c r="AQ115" s="562">
        <f>Application!O723</f>
        <v>1177</v>
      </c>
      <c r="AU115" s="883" t="str">
        <f>AD118</f>
        <v>5-bedroom</v>
      </c>
      <c r="AV115" s="562">
        <f t="array" ref="AV115">SUM(IF(Application!B714:F738="5 Bedrooms",Application!G714:J738))</f>
        <v>0</v>
      </c>
      <c r="AW115" s="1030">
        <f>AV115/AV116</f>
        <v>0</v>
      </c>
    </row>
    <row r="116" spans="1:52" s="562" customFormat="1" ht="12.75" customHeight="1">
      <c r="A116" s="566"/>
      <c r="B116" s="565"/>
      <c r="C116" s="565"/>
      <c r="D116" s="565"/>
      <c r="E116" s="1926"/>
      <c r="F116" s="1927"/>
      <c r="G116" s="1927"/>
      <c r="H116" s="1927"/>
      <c r="I116" s="1927"/>
      <c r="J116" s="1927"/>
      <c r="K116" s="1927"/>
      <c r="L116" s="1927"/>
      <c r="M116" s="1927"/>
      <c r="N116" s="1927"/>
      <c r="O116" s="1927"/>
      <c r="P116" s="1927"/>
      <c r="Q116" s="1927"/>
      <c r="R116" s="1927"/>
      <c r="S116" s="1927"/>
      <c r="T116" s="1927"/>
      <c r="U116" s="1927"/>
      <c r="V116" s="1927"/>
      <c r="W116" s="1927"/>
      <c r="X116" s="1927"/>
      <c r="Y116" s="1927"/>
      <c r="Z116" s="1927"/>
      <c r="AA116" s="1927"/>
      <c r="AB116" s="1927"/>
      <c r="AC116" s="1927"/>
      <c r="AD116" s="1927"/>
      <c r="AE116" s="1927"/>
      <c r="AF116" s="1927"/>
      <c r="AG116" s="1927"/>
      <c r="AH116" s="1927"/>
      <c r="AI116" s="1927"/>
      <c r="AJ116" s="1928"/>
      <c r="AK116" s="566"/>
      <c r="AL116" s="566"/>
      <c r="AM116" s="566"/>
      <c r="AN116" s="561"/>
      <c r="AO116" s="562" t="str">
        <f>Application!B724</f>
        <v>1 Bedroom</v>
      </c>
      <c r="AQ116" s="562">
        <f>Application!O724</f>
        <v>1257</v>
      </c>
      <c r="AV116" s="562">
        <f>SUM(AV110:AV115)</f>
        <v>135</v>
      </c>
      <c r="AW116" s="1030">
        <f>SUM(AW110:AW115)</f>
        <v>1</v>
      </c>
    </row>
    <row r="117" spans="1:52" s="562" customFormat="1" ht="12.75" customHeight="1">
      <c r="A117" s="566"/>
      <c r="B117" s="565"/>
      <c r="C117" s="565"/>
      <c r="D117" s="565"/>
      <c r="E117" s="612"/>
      <c r="F117" s="579"/>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580"/>
      <c r="AK117" s="566"/>
      <c r="AL117" s="566"/>
      <c r="AM117" s="566"/>
      <c r="AN117" s="561"/>
      <c r="AO117" s="562" t="str">
        <f>Application!B725</f>
        <v>2 Bedrooms</v>
      </c>
      <c r="AQ117" s="562">
        <f>Application!O725</f>
        <v>1494</v>
      </c>
    </row>
    <row r="118" spans="1:52" s="562" customFormat="1" ht="12.75" customHeight="1">
      <c r="A118" s="566"/>
      <c r="B118" s="565"/>
      <c r="C118" s="566"/>
      <c r="D118" s="566"/>
      <c r="E118" s="1906" t="s">
        <v>1766</v>
      </c>
      <c r="F118" s="1907"/>
      <c r="G118" s="1907"/>
      <c r="H118" s="1907"/>
      <c r="I118" s="603"/>
      <c r="J118" s="1907" t="s">
        <v>1811</v>
      </c>
      <c r="K118" s="1907"/>
      <c r="L118" s="1907"/>
      <c r="M118" s="1907"/>
      <c r="N118" s="603"/>
      <c r="O118" s="1907" t="s">
        <v>1812</v>
      </c>
      <c r="P118" s="1907"/>
      <c r="Q118" s="1907"/>
      <c r="R118" s="1907"/>
      <c r="S118" s="603"/>
      <c r="T118" s="1907" t="s">
        <v>1507</v>
      </c>
      <c r="U118" s="1907"/>
      <c r="V118" s="1907"/>
      <c r="W118" s="1907"/>
      <c r="X118" s="603"/>
      <c r="Y118" s="1907" t="s">
        <v>1813</v>
      </c>
      <c r="Z118" s="1907"/>
      <c r="AA118" s="1907"/>
      <c r="AB118" s="1907"/>
      <c r="AC118" s="603"/>
      <c r="AD118" s="1907" t="s">
        <v>1814</v>
      </c>
      <c r="AE118" s="1907"/>
      <c r="AF118" s="1907"/>
      <c r="AG118" s="1907"/>
      <c r="AH118" s="603"/>
      <c r="AI118" s="603"/>
      <c r="AJ118" s="605"/>
      <c r="AK118" s="566"/>
      <c r="AL118" s="566"/>
      <c r="AM118" s="566"/>
      <c r="AN118" s="561"/>
      <c r="AO118" s="562" t="str">
        <f>Application!B726</f>
        <v>3 Bedrooms</v>
      </c>
      <c r="AQ118" s="562">
        <f>Application!O726</f>
        <v>1705</v>
      </c>
    </row>
    <row r="119" spans="1:52" s="562" customFormat="1" ht="12.75" customHeight="1">
      <c r="A119" s="566"/>
      <c r="B119" s="565"/>
      <c r="C119" s="566"/>
      <c r="D119" s="566"/>
      <c r="E119" s="892"/>
      <c r="F119" s="890"/>
      <c r="G119" s="890"/>
      <c r="H119" s="890"/>
      <c r="I119" s="603"/>
      <c r="J119" s="890"/>
      <c r="K119" s="890"/>
      <c r="L119" s="890"/>
      <c r="M119" s="890"/>
      <c r="N119" s="603"/>
      <c r="O119" s="890"/>
      <c r="P119" s="890"/>
      <c r="Q119" s="890"/>
      <c r="R119" s="890"/>
      <c r="S119" s="603"/>
      <c r="T119" s="890"/>
      <c r="U119" s="890"/>
      <c r="V119" s="890"/>
      <c r="W119" s="890"/>
      <c r="X119" s="603"/>
      <c r="Y119" s="890"/>
      <c r="Z119" s="890"/>
      <c r="AA119" s="890"/>
      <c r="AB119" s="890"/>
      <c r="AC119" s="603"/>
      <c r="AD119" s="890"/>
      <c r="AE119" s="890"/>
      <c r="AF119" s="890"/>
      <c r="AG119" s="890"/>
      <c r="AH119" s="603"/>
      <c r="AI119" s="603"/>
      <c r="AJ119" s="605"/>
      <c r="AK119" s="566"/>
      <c r="AL119" s="566"/>
      <c r="AM119" s="566"/>
      <c r="AN119" s="561"/>
      <c r="AO119" s="562" t="str">
        <f>Application!B727</f>
        <v>1 Bedroom</v>
      </c>
      <c r="AQ119" s="562">
        <f>Application!O727</f>
        <v>1607</v>
      </c>
    </row>
    <row r="120" spans="1:52" s="562" customFormat="1" ht="12.75" customHeight="1">
      <c r="A120" s="566"/>
      <c r="B120" s="565"/>
      <c r="C120" s="566"/>
      <c r="D120" s="566"/>
      <c r="E120" s="893" t="s">
        <v>1815</v>
      </c>
      <c r="F120" s="890"/>
      <c r="G120" s="890"/>
      <c r="H120" s="890"/>
      <c r="I120" s="603"/>
      <c r="J120" s="890"/>
      <c r="K120" s="890"/>
      <c r="L120" s="890"/>
      <c r="M120" s="890"/>
      <c r="N120" s="603"/>
      <c r="O120" s="890"/>
      <c r="P120" s="890"/>
      <c r="Q120" s="890"/>
      <c r="R120" s="890"/>
      <c r="S120" s="603"/>
      <c r="T120" s="890"/>
      <c r="U120" s="890"/>
      <c r="V120" s="890"/>
      <c r="W120" s="890"/>
      <c r="X120" s="603"/>
      <c r="Y120" s="890"/>
      <c r="Z120" s="890"/>
      <c r="AA120" s="890"/>
      <c r="AB120" s="890"/>
      <c r="AC120" s="603"/>
      <c r="AD120" s="890"/>
      <c r="AE120" s="890"/>
      <c r="AF120" s="890"/>
      <c r="AG120" s="890"/>
      <c r="AH120" s="603"/>
      <c r="AI120" s="603"/>
      <c r="AJ120" s="605"/>
      <c r="AK120" s="566"/>
      <c r="AL120" s="566"/>
      <c r="AM120" s="566"/>
      <c r="AN120" s="561"/>
      <c r="AO120" s="562" t="str">
        <f>Application!B728</f>
        <v>1 Bedroom</v>
      </c>
      <c r="AQ120" s="562">
        <f>Application!O728</f>
        <v>1607</v>
      </c>
    </row>
    <row r="121" spans="1:52" s="562" customFormat="1" ht="12.75" customHeight="1">
      <c r="A121" s="566"/>
      <c r="B121" s="565"/>
      <c r="C121" s="566"/>
      <c r="D121" s="566"/>
      <c r="E121" s="1963">
        <v>1832</v>
      </c>
      <c r="F121" s="1964"/>
      <c r="G121" s="1964"/>
      <c r="H121" s="1964"/>
      <c r="I121" s="891"/>
      <c r="J121" s="1964">
        <v>2221</v>
      </c>
      <c r="K121" s="1964"/>
      <c r="L121" s="1964"/>
      <c r="M121" s="1964"/>
      <c r="N121" s="891"/>
      <c r="O121" s="1964">
        <v>2430</v>
      </c>
      <c r="P121" s="1964"/>
      <c r="Q121" s="1964"/>
      <c r="R121" s="1964"/>
      <c r="S121" s="891"/>
      <c r="T121" s="1964">
        <v>3197</v>
      </c>
      <c r="U121" s="1964"/>
      <c r="V121" s="1964"/>
      <c r="W121" s="1964"/>
      <c r="X121" s="891"/>
      <c r="Y121" s="1964">
        <v>5017</v>
      </c>
      <c r="Z121" s="1964"/>
      <c r="AA121" s="1964"/>
      <c r="AB121" s="1964"/>
      <c r="AC121" s="891"/>
      <c r="AD121" s="1964"/>
      <c r="AE121" s="1964"/>
      <c r="AF121" s="1964"/>
      <c r="AG121" s="1964"/>
      <c r="AH121" s="603"/>
      <c r="AI121" s="603"/>
      <c r="AJ121" s="605"/>
      <c r="AK121" s="566"/>
      <c r="AL121" s="566"/>
      <c r="AM121" s="566"/>
      <c r="AN121" s="561"/>
      <c r="AO121" s="562" t="str">
        <f>Application!B729</f>
        <v>2 Bedrooms</v>
      </c>
      <c r="AQ121" s="562">
        <f>Application!O729</f>
        <v>1913</v>
      </c>
    </row>
    <row r="122" spans="1:52" s="562" customFormat="1" ht="12.75" customHeight="1">
      <c r="A122" s="566"/>
      <c r="B122" s="565"/>
      <c r="C122" s="566"/>
      <c r="D122" s="566"/>
      <c r="E122" s="892"/>
      <c r="F122" s="890"/>
      <c r="G122" s="890"/>
      <c r="H122" s="890"/>
      <c r="I122" s="603"/>
      <c r="J122" s="890"/>
      <c r="K122" s="890"/>
      <c r="L122" s="890"/>
      <c r="M122" s="890"/>
      <c r="N122" s="603"/>
      <c r="O122" s="890"/>
      <c r="P122" s="890"/>
      <c r="Q122" s="890"/>
      <c r="R122" s="890"/>
      <c r="S122" s="603"/>
      <c r="T122" s="890"/>
      <c r="U122" s="890"/>
      <c r="V122" s="890"/>
      <c r="W122" s="890"/>
      <c r="X122" s="603"/>
      <c r="Y122" s="890"/>
      <c r="Z122" s="890"/>
      <c r="AA122" s="890"/>
      <c r="AB122" s="890"/>
      <c r="AC122" s="603"/>
      <c r="AD122" s="890"/>
      <c r="AE122" s="890"/>
      <c r="AF122" s="890"/>
      <c r="AG122" s="890"/>
      <c r="AH122" s="603"/>
      <c r="AI122" s="603"/>
      <c r="AJ122" s="605"/>
      <c r="AK122" s="566"/>
      <c r="AL122" s="566"/>
      <c r="AM122" s="566"/>
      <c r="AN122" s="561"/>
      <c r="AO122" s="562" t="str">
        <f>Application!B730</f>
        <v>2 Bedrooms</v>
      </c>
      <c r="AQ122" s="562">
        <f>Application!O730</f>
        <v>1913</v>
      </c>
      <c r="AU122" s="1028"/>
      <c r="AV122" s="1028"/>
      <c r="AW122" s="1028"/>
      <c r="AX122" s="1028"/>
      <c r="AY122" s="1028"/>
      <c r="AZ122" s="1028"/>
    </row>
    <row r="123" spans="1:52" s="562" customFormat="1" ht="12.75" customHeight="1">
      <c r="A123" s="566"/>
      <c r="B123" s="565"/>
      <c r="C123" s="566"/>
      <c r="D123" s="566"/>
      <c r="E123" s="893" t="s">
        <v>2107</v>
      </c>
      <c r="F123" s="890"/>
      <c r="G123" s="890"/>
      <c r="H123" s="890"/>
      <c r="I123" s="603"/>
      <c r="J123" s="890"/>
      <c r="K123" s="890"/>
      <c r="L123" s="890"/>
      <c r="M123" s="890"/>
      <c r="N123" s="603"/>
      <c r="O123" s="890"/>
      <c r="P123" s="890"/>
      <c r="Q123" s="890"/>
      <c r="R123" s="890"/>
      <c r="S123" s="603"/>
      <c r="T123" s="890"/>
      <c r="U123" s="890"/>
      <c r="V123" s="890"/>
      <c r="W123" s="890"/>
      <c r="X123" s="603"/>
      <c r="Y123" s="890"/>
      <c r="Z123" s="890"/>
      <c r="AA123" s="890"/>
      <c r="AB123" s="890"/>
      <c r="AC123" s="603"/>
      <c r="AD123" s="890"/>
      <c r="AE123" s="890"/>
      <c r="AF123" s="890"/>
      <c r="AG123" s="890"/>
      <c r="AH123" s="603"/>
      <c r="AI123" s="603"/>
      <c r="AJ123" s="605"/>
      <c r="AK123" s="566"/>
      <c r="AL123" s="566"/>
      <c r="AM123" s="566"/>
      <c r="AN123" s="561"/>
      <c r="AO123" s="562" t="str">
        <f>Application!B731</f>
        <v>3 Bedrooms</v>
      </c>
      <c r="AQ123" s="562">
        <f>Application!O731</f>
        <v>2189</v>
      </c>
      <c r="AU123" s="1028"/>
      <c r="AV123" s="1028"/>
      <c r="AW123" s="1028"/>
      <c r="AX123" s="1028"/>
      <c r="AY123" s="1028"/>
      <c r="AZ123" s="1028"/>
    </row>
    <row r="124" spans="1:52" s="562" customFormat="1" ht="12.75" customHeight="1">
      <c r="A124" s="566"/>
      <c r="B124" s="565"/>
      <c r="C124" s="566"/>
      <c r="D124" s="566"/>
      <c r="E124" s="1956">
        <f>Application!DX649</f>
        <v>1013.5</v>
      </c>
      <c r="F124" s="1957"/>
      <c r="G124" s="1957"/>
      <c r="H124" s="1957"/>
      <c r="I124" s="891"/>
      <c r="J124" s="1957">
        <f>Application!EC649</f>
        <v>1348.8947368421052</v>
      </c>
      <c r="K124" s="1957"/>
      <c r="L124" s="1957"/>
      <c r="M124" s="1957"/>
      <c r="N124" s="891"/>
      <c r="O124" s="1957">
        <f>Application!EH649</f>
        <v>1661.2162162162163</v>
      </c>
      <c r="P124" s="1957"/>
      <c r="Q124" s="1957"/>
      <c r="R124" s="1957"/>
      <c r="S124" s="895"/>
      <c r="T124" s="1957">
        <f>Application!EM649</f>
        <v>1997.2592592592591</v>
      </c>
      <c r="U124" s="1957"/>
      <c r="V124" s="1957"/>
      <c r="W124" s="1957"/>
      <c r="X124" s="895"/>
      <c r="Y124" s="1957">
        <f>Application!ER649</f>
        <v>2109.2857142857138</v>
      </c>
      <c r="Z124" s="1957"/>
      <c r="AA124" s="1957"/>
      <c r="AB124" s="1957"/>
      <c r="AC124" s="895"/>
      <c r="AD124" s="1957">
        <f>Application!EW649</f>
        <v>0</v>
      </c>
      <c r="AE124" s="1957"/>
      <c r="AF124" s="1957"/>
      <c r="AG124" s="1957"/>
      <c r="AH124" s="603"/>
      <c r="AI124" s="603"/>
      <c r="AJ124" s="605"/>
      <c r="AK124" s="566"/>
      <c r="AL124" s="566"/>
      <c r="AM124" s="566"/>
      <c r="AN124" s="561"/>
      <c r="AO124" s="562" t="str">
        <f>Application!B732</f>
        <v>3 Bedrooms</v>
      </c>
      <c r="AQ124" s="562">
        <f>Application!O732</f>
        <v>2189</v>
      </c>
      <c r="AU124" s="1028"/>
      <c r="AV124" s="1028"/>
      <c r="AW124" s="1029"/>
      <c r="AX124" s="1029"/>
      <c r="AY124" s="1028"/>
      <c r="AZ124" s="1028"/>
    </row>
    <row r="125" spans="1:52" s="562" customFormat="1" ht="12.75" customHeight="1">
      <c r="A125" s="566"/>
      <c r="B125" s="565"/>
      <c r="C125" s="566"/>
      <c r="D125" s="566"/>
      <c r="E125" s="894"/>
      <c r="F125" s="890"/>
      <c r="G125" s="890"/>
      <c r="H125" s="890"/>
      <c r="I125" s="603"/>
      <c r="J125" s="606"/>
      <c r="K125" s="603"/>
      <c r="L125" s="603"/>
      <c r="M125" s="603"/>
      <c r="N125" s="603"/>
      <c r="O125" s="603"/>
      <c r="P125" s="603"/>
      <c r="Q125" s="603"/>
      <c r="R125" s="603"/>
      <c r="S125" s="603"/>
      <c r="T125" s="603"/>
      <c r="U125" s="603"/>
      <c r="V125" s="603"/>
      <c r="W125" s="603"/>
      <c r="X125" s="603"/>
      <c r="Y125" s="603"/>
      <c r="Z125" s="603"/>
      <c r="AA125" s="603"/>
      <c r="AB125" s="603"/>
      <c r="AC125" s="603"/>
      <c r="AD125" s="603"/>
      <c r="AE125" s="603"/>
      <c r="AF125" s="603"/>
      <c r="AG125" s="603"/>
      <c r="AH125" s="603"/>
      <c r="AI125" s="603"/>
      <c r="AJ125" s="605"/>
      <c r="AK125" s="566"/>
      <c r="AL125" s="566"/>
      <c r="AM125" s="566"/>
      <c r="AN125" s="561"/>
      <c r="AO125" s="562" t="str">
        <f>Application!B733</f>
        <v>4 Bedrooms</v>
      </c>
      <c r="AQ125" s="562">
        <f>Application!O733</f>
        <v>2418</v>
      </c>
      <c r="AU125" s="1028"/>
      <c r="AV125" s="1028"/>
      <c r="AW125" s="1029"/>
      <c r="AX125" s="1029"/>
      <c r="AY125" s="1028"/>
      <c r="AZ125" s="1028"/>
    </row>
    <row r="126" spans="1:52" s="562" customFormat="1" ht="12.75" customHeight="1">
      <c r="A126" s="566"/>
      <c r="B126" s="565"/>
      <c r="C126" s="566"/>
      <c r="D126" s="566"/>
      <c r="E126" s="893" t="s">
        <v>2108</v>
      </c>
      <c r="F126" s="890"/>
      <c r="G126" s="890"/>
      <c r="H126" s="890"/>
      <c r="I126" s="603"/>
      <c r="J126" s="606"/>
      <c r="K126" s="603"/>
      <c r="L126" s="603"/>
      <c r="M126" s="603"/>
      <c r="N126" s="603"/>
      <c r="O126" s="603"/>
      <c r="P126" s="603"/>
      <c r="Q126" s="603"/>
      <c r="R126" s="603"/>
      <c r="S126" s="603"/>
      <c r="T126" s="603"/>
      <c r="U126" s="603"/>
      <c r="V126" s="603"/>
      <c r="W126" s="603"/>
      <c r="X126" s="603"/>
      <c r="Y126" s="603"/>
      <c r="Z126" s="603"/>
      <c r="AA126" s="603"/>
      <c r="AB126" s="603"/>
      <c r="AC126" s="603"/>
      <c r="AD126" s="603"/>
      <c r="AE126" s="603"/>
      <c r="AF126" s="603"/>
      <c r="AG126" s="603"/>
      <c r="AH126" s="603"/>
      <c r="AI126" s="603"/>
      <c r="AJ126" s="605"/>
      <c r="AK126" s="566"/>
      <c r="AL126" s="566"/>
      <c r="AM126" s="566"/>
      <c r="AN126" s="561"/>
      <c r="AO126" s="562" t="str">
        <f>Application!B734</f>
        <v>1 Bedroom</v>
      </c>
      <c r="AQ126" s="562">
        <f>Application!O734</f>
        <v>1956</v>
      </c>
      <c r="AU126" s="1028"/>
      <c r="AV126" s="1028"/>
      <c r="AW126" s="1029"/>
      <c r="AX126" s="1029"/>
      <c r="AY126" s="1028"/>
      <c r="AZ126" s="1028"/>
    </row>
    <row r="127" spans="1:52" s="562" customFormat="1" ht="12.75" customHeight="1">
      <c r="A127" s="566"/>
      <c r="B127" s="565"/>
      <c r="C127" s="566"/>
      <c r="D127" s="566"/>
      <c r="E127" s="2149">
        <f>(E121-E124)/E121</f>
        <v>0.44677947598253276</v>
      </c>
      <c r="F127" s="1909"/>
      <c r="G127" s="1909"/>
      <c r="H127" s="2150"/>
      <c r="I127" s="603"/>
      <c r="J127" s="2149">
        <f>(J121-J124)/J121</f>
        <v>0.39266333325434255</v>
      </c>
      <c r="K127" s="1909"/>
      <c r="L127" s="1909"/>
      <c r="M127" s="2150"/>
      <c r="N127" s="603"/>
      <c r="O127" s="2149">
        <f>(O121-O124)/O121</f>
        <v>0.31637192748303861</v>
      </c>
      <c r="P127" s="1909"/>
      <c r="Q127" s="1909"/>
      <c r="R127" s="2150"/>
      <c r="S127" s="603"/>
      <c r="T127" s="2149">
        <f>(T121-T124)/T121</f>
        <v>0.3752707978544701</v>
      </c>
      <c r="U127" s="1909"/>
      <c r="V127" s="1909"/>
      <c r="W127" s="2150"/>
      <c r="X127" s="603"/>
      <c r="Y127" s="2149">
        <f>(Y121-Y124)/Y121</f>
        <v>0.57957231128448994</v>
      </c>
      <c r="Z127" s="1909"/>
      <c r="AA127" s="1909"/>
      <c r="AB127" s="2150"/>
      <c r="AC127" s="603"/>
      <c r="AD127" s="2149" t="e">
        <f>(AD121-AD124)/AD121</f>
        <v>#DIV/0!</v>
      </c>
      <c r="AE127" s="1909"/>
      <c r="AF127" s="1909"/>
      <c r="AG127" s="2150"/>
      <c r="AH127" s="603"/>
      <c r="AI127" s="603"/>
      <c r="AJ127" s="605"/>
      <c r="AK127" s="566"/>
      <c r="AL127" s="566"/>
      <c r="AM127" s="566"/>
      <c r="AN127" s="561"/>
      <c r="AO127" s="562" t="str">
        <f>Application!B735</f>
        <v>2 Bedrooms</v>
      </c>
      <c r="AQ127" s="562">
        <f>Application!O735</f>
        <v>2028</v>
      </c>
      <c r="AU127" s="1028"/>
      <c r="AV127" s="1028"/>
      <c r="AW127" s="1029"/>
      <c r="AX127" s="1029"/>
      <c r="AY127" s="1028"/>
      <c r="AZ127" s="1028"/>
    </row>
    <row r="128" spans="1:52" s="562" customFormat="1" ht="12.75" customHeight="1">
      <c r="A128" s="566"/>
      <c r="B128" s="565"/>
      <c r="C128" s="566"/>
      <c r="D128" s="566"/>
      <c r="E128" s="1023"/>
      <c r="F128" s="1022"/>
      <c r="G128" s="1022"/>
      <c r="H128" s="1022"/>
      <c r="I128" s="603"/>
      <c r="J128" s="1022"/>
      <c r="K128" s="1022"/>
      <c r="L128" s="1022"/>
      <c r="M128" s="1022"/>
      <c r="N128" s="603"/>
      <c r="O128" s="1022"/>
      <c r="P128" s="1022"/>
      <c r="Q128" s="1022"/>
      <c r="R128" s="1022"/>
      <c r="S128" s="603"/>
      <c r="T128" s="1022"/>
      <c r="U128" s="1022"/>
      <c r="V128" s="1022"/>
      <c r="W128" s="1022"/>
      <c r="X128" s="603"/>
      <c r="Y128" s="1022"/>
      <c r="Z128" s="1022"/>
      <c r="AA128" s="1022"/>
      <c r="AB128" s="1022"/>
      <c r="AC128" s="603"/>
      <c r="AD128" s="1022"/>
      <c r="AE128" s="1022"/>
      <c r="AF128" s="1022"/>
      <c r="AG128" s="1022"/>
      <c r="AH128" s="603"/>
      <c r="AI128" s="603"/>
      <c r="AJ128" s="605"/>
      <c r="AK128" s="566"/>
      <c r="AL128" s="566"/>
      <c r="AM128" s="566"/>
      <c r="AN128" s="561"/>
      <c r="AO128" s="562" t="str">
        <f>Application!B736</f>
        <v>3 Bedrooms</v>
      </c>
      <c r="AQ128" s="562">
        <f>Application!O736</f>
        <v>2565</v>
      </c>
      <c r="AU128" s="1028"/>
      <c r="AV128" s="1028"/>
      <c r="AW128" s="1029"/>
      <c r="AX128" s="1029"/>
      <c r="AY128" s="1028"/>
      <c r="AZ128" s="1028"/>
    </row>
    <row r="129" spans="1:52" s="562" customFormat="1" ht="12.75" customHeight="1">
      <c r="A129" s="566"/>
      <c r="B129" s="565"/>
      <c r="C129" s="566"/>
      <c r="D129" s="566"/>
      <c r="E129" s="1024" t="s">
        <v>2109</v>
      </c>
      <c r="F129" s="1022"/>
      <c r="G129" s="1022"/>
      <c r="H129" s="1022"/>
      <c r="I129" s="603"/>
      <c r="J129" s="1022"/>
      <c r="K129" s="1022"/>
      <c r="L129" s="1022"/>
      <c r="M129" s="1022"/>
      <c r="N129" s="603"/>
      <c r="O129" s="1022"/>
      <c r="P129" s="1022"/>
      <c r="Q129" s="1022"/>
      <c r="R129" s="1022"/>
      <c r="S129" s="603"/>
      <c r="T129" s="1022"/>
      <c r="U129" s="1022"/>
      <c r="V129" s="1022"/>
      <c r="W129" s="1022"/>
      <c r="X129" s="603"/>
      <c r="Y129" s="1022"/>
      <c r="Z129" s="1022"/>
      <c r="AA129" s="1022"/>
      <c r="AB129" s="1022"/>
      <c r="AC129" s="603"/>
      <c r="AD129" s="1022"/>
      <c r="AE129" s="1022"/>
      <c r="AF129" s="1022"/>
      <c r="AG129" s="1022"/>
      <c r="AH129" s="603"/>
      <c r="AI129" s="603"/>
      <c r="AJ129" s="605"/>
      <c r="AK129" s="566"/>
      <c r="AL129" s="566"/>
      <c r="AM129" s="566"/>
      <c r="AN129" s="561"/>
      <c r="AO129" s="562" t="str">
        <f>Application!B737</f>
        <v>4 Bedrooms</v>
      </c>
      <c r="AQ129" s="562">
        <f>Application!O737</f>
        <v>2959</v>
      </c>
      <c r="AU129" s="1029"/>
      <c r="AV129" s="1028"/>
      <c r="AW129" s="1029"/>
      <c r="AX129" s="1029"/>
      <c r="AY129" s="1028"/>
      <c r="AZ129" s="1028"/>
    </row>
    <row r="130" spans="1:52" s="562" customFormat="1" ht="12.75" customHeight="1">
      <c r="A130" s="566"/>
      <c r="B130" s="565"/>
      <c r="C130" s="566"/>
      <c r="D130" s="566"/>
      <c r="E130" s="1958">
        <f>IF(((E127-0.1)*AW110)&gt;0,((E127-0.1)*AW110),0)</f>
        <v>2.054989487303898E-2</v>
      </c>
      <c r="F130" s="1959"/>
      <c r="G130" s="1959"/>
      <c r="H130" s="1960"/>
      <c r="I130" s="603"/>
      <c r="J130" s="1958">
        <f>IF(((J127-0.1)*AW111)&gt;0,((J127-0.1)*AW111),0)</f>
        <v>4.1189654309870441E-2</v>
      </c>
      <c r="K130" s="1959"/>
      <c r="L130" s="1959"/>
      <c r="M130" s="1960"/>
      <c r="N130" s="603"/>
      <c r="O130" s="1958">
        <f>IF(((O127-0.1)*AW112)&gt;0,((O127-0.1)*AW112),0)</f>
        <v>0.11860387136107302</v>
      </c>
      <c r="P130" s="1959"/>
      <c r="Q130" s="1959"/>
      <c r="R130" s="1960"/>
      <c r="S130" s="603"/>
      <c r="T130" s="1958">
        <f>IF(((T127-0.1)*AW113)&gt;0,((T127-0.1)*AW113),0)</f>
        <v>5.5054159570894018E-2</v>
      </c>
      <c r="U130" s="1959"/>
      <c r="V130" s="1959"/>
      <c r="W130" s="1960"/>
      <c r="X130" s="603"/>
      <c r="Y130" s="1958">
        <f>IF(((Y127-0.1)*AW114)&gt;0,((Y127-0.1)*AW114),0)</f>
        <v>2.4866712436973554E-2</v>
      </c>
      <c r="Z130" s="1959"/>
      <c r="AA130" s="1959"/>
      <c r="AB130" s="1960"/>
      <c r="AC130" s="603"/>
      <c r="AD130" s="1958" t="e">
        <f>IF(((AD127-0.1)*AW115)&gt;0,((AD127-0.1)*AW115),0)</f>
        <v>#DIV/0!</v>
      </c>
      <c r="AE130" s="1959"/>
      <c r="AF130" s="1959"/>
      <c r="AG130" s="1960"/>
      <c r="AH130" s="603"/>
      <c r="AI130" s="603"/>
      <c r="AJ130" s="605"/>
      <c r="AK130" s="566"/>
      <c r="AL130" s="566"/>
      <c r="AM130" s="566"/>
      <c r="AN130" s="561"/>
      <c r="AO130" s="562">
        <f>Application!B738</f>
        <v>0</v>
      </c>
      <c r="AQ130" s="562">
        <f>Application!O738</f>
        <v>0</v>
      </c>
      <c r="AU130" s="1028"/>
      <c r="AV130" s="1028"/>
      <c r="AW130" s="1028"/>
      <c r="AX130" s="1029"/>
      <c r="AY130" s="1028"/>
      <c r="AZ130" s="1028"/>
    </row>
    <row r="131" spans="1:52" s="562" customFormat="1" ht="12.75" customHeight="1">
      <c r="A131" s="566"/>
      <c r="B131" s="565"/>
      <c r="C131" s="566"/>
      <c r="D131" s="566"/>
      <c r="E131" s="894"/>
      <c r="F131" s="890"/>
      <c r="G131" s="890"/>
      <c r="H131" s="890"/>
      <c r="I131" s="603"/>
      <c r="J131" s="606"/>
      <c r="K131" s="603"/>
      <c r="L131" s="603"/>
      <c r="M131" s="603"/>
      <c r="N131" s="603"/>
      <c r="O131" s="603"/>
      <c r="P131" s="603"/>
      <c r="Q131" s="603"/>
      <c r="R131" s="603"/>
      <c r="S131" s="603"/>
      <c r="T131" s="603"/>
      <c r="U131" s="603"/>
      <c r="V131" s="603"/>
      <c r="W131" s="603"/>
      <c r="X131" s="603"/>
      <c r="Y131" s="603"/>
      <c r="Z131" s="603"/>
      <c r="AA131" s="603"/>
      <c r="AB131" s="603"/>
      <c r="AC131" s="603"/>
      <c r="AD131" s="603"/>
      <c r="AE131" s="603"/>
      <c r="AF131" s="603"/>
      <c r="AG131" s="603"/>
      <c r="AH131" s="603"/>
      <c r="AI131" s="603"/>
      <c r="AJ131" s="605"/>
      <c r="AK131" s="566"/>
      <c r="AL131" s="566"/>
      <c r="AM131" s="566"/>
      <c r="AN131" s="561"/>
      <c r="AU131" s="1028"/>
      <c r="AV131" s="1028"/>
      <c r="AW131" s="1028"/>
      <c r="AX131" s="1028"/>
      <c r="AY131" s="1028"/>
      <c r="AZ131" s="1028"/>
    </row>
    <row r="132" spans="1:52" s="562" customFormat="1" ht="12.75" customHeight="1">
      <c r="A132" s="566"/>
      <c r="B132" s="565"/>
      <c r="C132" s="566"/>
      <c r="D132" s="566"/>
      <c r="E132" s="2149">
        <f>ROUNDDOWN(SUMIF(E130:AG130,"&gt;0"),2)</f>
        <v>0.26</v>
      </c>
      <c r="F132" s="1909"/>
      <c r="G132" s="1909"/>
      <c r="H132" s="2150"/>
      <c r="I132" s="603"/>
      <c r="J132" s="606" t="s">
        <v>2110</v>
      </c>
      <c r="K132" s="603"/>
      <c r="L132" s="603"/>
      <c r="M132" s="603"/>
      <c r="N132" s="603"/>
      <c r="O132" s="603"/>
      <c r="P132" s="603"/>
      <c r="Q132" s="603"/>
      <c r="R132" s="603"/>
      <c r="S132" s="603"/>
      <c r="T132" s="603"/>
      <c r="U132" s="603"/>
      <c r="V132" s="603"/>
      <c r="W132" s="603"/>
      <c r="X132" s="603"/>
      <c r="Y132" s="603"/>
      <c r="Z132" s="603"/>
      <c r="AA132" s="603"/>
      <c r="AB132" s="603"/>
      <c r="AC132" s="603"/>
      <c r="AD132" s="896"/>
      <c r="AE132" s="896"/>
      <c r="AF132" s="896"/>
      <c r="AG132" s="896"/>
      <c r="AH132" s="603"/>
      <c r="AI132" s="603"/>
      <c r="AJ132" s="605"/>
      <c r="AK132" s="566"/>
      <c r="AL132" s="566"/>
      <c r="AM132" s="566"/>
      <c r="AN132" s="561"/>
      <c r="AU132" s="1028"/>
      <c r="AV132" s="1028"/>
      <c r="AW132" s="1028"/>
      <c r="AX132" s="1029"/>
      <c r="AY132" s="1028"/>
      <c r="AZ132" s="1028"/>
    </row>
    <row r="133" spans="1:52" s="562" customFormat="1" ht="12.75" customHeight="1">
      <c r="A133" s="566"/>
      <c r="B133" s="565"/>
      <c r="C133" s="566"/>
      <c r="D133" s="566"/>
      <c r="E133" s="1942">
        <f>IF((E132*100)&gt;10,10,E132*100)</f>
        <v>10</v>
      </c>
      <c r="F133" s="1943"/>
      <c r="G133" s="1943"/>
      <c r="H133" s="1944"/>
      <c r="I133" s="603"/>
      <c r="J133" s="606" t="s">
        <v>1501</v>
      </c>
      <c r="K133" s="603"/>
      <c r="L133" s="603"/>
      <c r="M133" s="603"/>
      <c r="N133" s="603"/>
      <c r="O133" s="603"/>
      <c r="P133" s="603"/>
      <c r="Q133" s="603"/>
      <c r="R133" s="603"/>
      <c r="S133" s="603"/>
      <c r="T133" s="603"/>
      <c r="U133" s="603"/>
      <c r="V133" s="603"/>
      <c r="W133" s="603"/>
      <c r="X133" s="603"/>
      <c r="Y133" s="603"/>
      <c r="Z133" s="603"/>
      <c r="AA133" s="603"/>
      <c r="AB133" s="603"/>
      <c r="AC133" s="603"/>
      <c r="AD133" s="603"/>
      <c r="AE133" s="603"/>
      <c r="AF133" s="603"/>
      <c r="AG133" s="603"/>
      <c r="AH133" s="603"/>
      <c r="AI133" s="603"/>
      <c r="AJ133" s="605"/>
      <c r="AK133" s="566"/>
      <c r="AL133" s="566"/>
      <c r="AM133" s="566"/>
      <c r="AN133" s="561"/>
      <c r="AU133" s="1028"/>
      <c r="AV133" s="1028"/>
      <c r="AW133" s="1028"/>
      <c r="AX133" s="1028"/>
      <c r="AY133" s="1028"/>
      <c r="AZ133" s="1028"/>
    </row>
    <row r="134" spans="1:52" s="562" customFormat="1" ht="12.75" customHeight="1">
      <c r="A134" s="566"/>
      <c r="B134" s="566"/>
      <c r="C134" s="566"/>
      <c r="D134" s="566"/>
      <c r="E134" s="614"/>
      <c r="F134" s="615"/>
      <c r="G134" s="615"/>
      <c r="H134" s="615"/>
      <c r="I134" s="615"/>
      <c r="J134" s="615"/>
      <c r="K134" s="615"/>
      <c r="L134" s="615"/>
      <c r="M134" s="615"/>
      <c r="N134" s="615"/>
      <c r="O134" s="615"/>
      <c r="P134" s="615"/>
      <c r="Q134" s="615"/>
      <c r="R134" s="615"/>
      <c r="S134" s="615"/>
      <c r="T134" s="615"/>
      <c r="U134" s="615"/>
      <c r="V134" s="615"/>
      <c r="W134" s="615"/>
      <c r="X134" s="615"/>
      <c r="Y134" s="615"/>
      <c r="Z134" s="615"/>
      <c r="AA134" s="615"/>
      <c r="AB134" s="615"/>
      <c r="AC134" s="615"/>
      <c r="AD134" s="615"/>
      <c r="AE134" s="615"/>
      <c r="AF134" s="615"/>
      <c r="AG134" s="615"/>
      <c r="AH134" s="615"/>
      <c r="AI134" s="615"/>
      <c r="AJ134" s="616"/>
      <c r="AK134" s="566"/>
      <c r="AL134" s="566"/>
      <c r="AM134" s="566"/>
      <c r="AN134" s="561"/>
      <c r="AT134" s="1021"/>
      <c r="AU134" s="1028"/>
      <c r="AV134" s="1028"/>
      <c r="AW134" s="1029"/>
      <c r="AX134" s="1028"/>
      <c r="AY134" s="1028"/>
      <c r="AZ134" s="1028"/>
    </row>
    <row r="135" spans="1:52" s="562" customFormat="1" ht="12.75" customHeight="1">
      <c r="A135" s="566"/>
      <c r="B135" s="566"/>
      <c r="C135" s="566"/>
      <c r="D135" s="566"/>
      <c r="E135" s="566"/>
      <c r="F135" s="566"/>
      <c r="G135" s="566"/>
      <c r="H135" s="566"/>
      <c r="I135" s="566"/>
      <c r="J135" s="566"/>
      <c r="K135" s="566"/>
      <c r="L135" s="566"/>
      <c r="M135" s="566"/>
      <c r="N135" s="566"/>
      <c r="O135" s="566"/>
      <c r="P135" s="566"/>
      <c r="Q135" s="566"/>
      <c r="R135" s="566"/>
      <c r="S135" s="566"/>
      <c r="T135" s="566"/>
      <c r="U135" s="566"/>
      <c r="V135" s="566"/>
      <c r="W135" s="566"/>
      <c r="X135" s="566"/>
      <c r="Y135" s="566"/>
      <c r="Z135" s="566"/>
      <c r="AA135" s="566"/>
      <c r="AB135" s="566"/>
      <c r="AC135" s="566"/>
      <c r="AD135" s="566"/>
      <c r="AE135" s="566"/>
      <c r="AF135" s="566"/>
      <c r="AG135" s="566"/>
      <c r="AH135" s="566"/>
      <c r="AI135" s="566"/>
      <c r="AJ135" s="566"/>
      <c r="AK135" s="566"/>
      <c r="AL135" s="566"/>
      <c r="AM135" s="566"/>
      <c r="AN135" s="561"/>
      <c r="AU135" s="1028"/>
      <c r="AV135" s="1028"/>
      <c r="AW135" s="1028"/>
      <c r="AX135" s="1028"/>
      <c r="AY135" s="1028"/>
      <c r="AZ135" s="1028"/>
    </row>
    <row r="136" spans="1:52" s="562" customFormat="1" ht="12.75" customHeight="1">
      <c r="A136" s="566"/>
      <c r="B136" s="566"/>
      <c r="C136" s="566"/>
      <c r="D136" s="566"/>
      <c r="E136" s="566"/>
      <c r="F136" s="566"/>
      <c r="G136" s="566"/>
      <c r="H136" s="566"/>
      <c r="I136" s="566"/>
      <c r="J136" s="566"/>
      <c r="K136" s="566"/>
      <c r="L136" s="566"/>
      <c r="M136" s="566"/>
      <c r="N136" s="566"/>
      <c r="O136" s="566"/>
      <c r="P136" s="566"/>
      <c r="Q136" s="566"/>
      <c r="R136" s="566"/>
      <c r="S136" s="566"/>
      <c r="T136" s="566"/>
      <c r="U136" s="566"/>
      <c r="V136" s="566"/>
      <c r="W136" s="566"/>
      <c r="X136" s="566"/>
      <c r="Y136" s="566"/>
      <c r="Z136" s="566"/>
      <c r="AA136" s="566"/>
      <c r="AB136" s="566"/>
      <c r="AC136" s="566"/>
      <c r="AD136" s="566"/>
      <c r="AE136" s="566"/>
      <c r="AF136" s="566"/>
      <c r="AG136" s="566"/>
      <c r="AH136" s="566"/>
      <c r="AI136" s="566"/>
      <c r="AJ136" s="566"/>
      <c r="AK136" s="566"/>
      <c r="AL136" s="566"/>
      <c r="AM136" s="566"/>
      <c r="AN136" s="561"/>
    </row>
    <row r="137" spans="1:52" s="562" customFormat="1" ht="12.75" customHeight="1">
      <c r="A137" s="587"/>
      <c r="B137" s="588"/>
      <c r="C137" s="588"/>
      <c r="D137" s="588"/>
      <c r="E137" s="588"/>
      <c r="F137" s="588"/>
      <c r="G137" s="589"/>
      <c r="H137" s="590"/>
      <c r="I137" s="590"/>
      <c r="J137" s="590"/>
      <c r="K137" s="590"/>
      <c r="L137" s="590"/>
      <c r="M137" s="590"/>
      <c r="N137" s="590"/>
      <c r="O137" s="590"/>
      <c r="P137" s="590"/>
      <c r="Q137" s="590"/>
      <c r="R137" s="590"/>
      <c r="S137" s="590"/>
      <c r="T137" s="590"/>
      <c r="U137" s="590"/>
      <c r="V137" s="590"/>
      <c r="W137" s="590"/>
      <c r="X137" s="590"/>
      <c r="Y137" s="590"/>
      <c r="Z137" s="590"/>
      <c r="AA137" s="590"/>
      <c r="AB137" s="590"/>
      <c r="AC137" s="590"/>
      <c r="AD137" s="590"/>
      <c r="AE137" s="590"/>
      <c r="AF137" s="590"/>
      <c r="AG137" s="590"/>
      <c r="AH137" s="590"/>
      <c r="AI137" s="591"/>
      <c r="AJ137" s="591" t="s">
        <v>1508</v>
      </c>
      <c r="AK137" s="1942">
        <f>E133</f>
        <v>10</v>
      </c>
      <c r="AL137" s="1943"/>
      <c r="AM137" s="1944"/>
      <c r="AN137" s="561"/>
    </row>
    <row r="138" spans="1:52" s="562" customFormat="1" ht="12.75" customHeight="1" thickBot="1">
      <c r="A138" s="592"/>
      <c r="B138" s="593"/>
      <c r="C138" s="594"/>
      <c r="D138" s="594"/>
      <c r="E138" s="594"/>
      <c r="F138" s="594"/>
      <c r="G138" s="594"/>
      <c r="H138" s="594"/>
      <c r="I138" s="594"/>
      <c r="J138" s="594"/>
      <c r="K138" s="594"/>
      <c r="L138" s="594"/>
      <c r="M138" s="594"/>
      <c r="N138" s="594"/>
      <c r="O138" s="594"/>
      <c r="P138" s="594"/>
      <c r="Q138" s="594"/>
      <c r="R138" s="594"/>
      <c r="S138" s="594"/>
      <c r="T138" s="594"/>
      <c r="U138" s="594"/>
      <c r="V138" s="594"/>
      <c r="W138" s="594"/>
      <c r="X138" s="594"/>
      <c r="Y138" s="594"/>
      <c r="Z138" s="594"/>
      <c r="AA138" s="594"/>
      <c r="AB138" s="594"/>
      <c r="AC138" s="594"/>
      <c r="AD138" s="594"/>
      <c r="AE138" s="594"/>
      <c r="AF138" s="594"/>
      <c r="AG138" s="594"/>
      <c r="AH138" s="594"/>
      <c r="AI138" s="594"/>
      <c r="AJ138" s="594"/>
      <c r="AK138" s="594"/>
      <c r="AL138" s="594"/>
      <c r="AM138" s="595"/>
      <c r="AN138" s="561"/>
    </row>
    <row r="139" spans="1:52" s="562" customFormat="1" ht="12.75" customHeight="1" thickTop="1">
      <c r="A139" s="596"/>
      <c r="B139" s="597"/>
      <c r="C139" s="598"/>
      <c r="D139" s="598"/>
      <c r="E139" s="598"/>
      <c r="F139" s="598"/>
      <c r="G139" s="598"/>
      <c r="H139" s="598"/>
      <c r="I139" s="599"/>
      <c r="J139" s="599"/>
      <c r="K139" s="599"/>
      <c r="L139" s="599"/>
      <c r="M139" s="599"/>
      <c r="N139" s="599"/>
      <c r="O139" s="599"/>
      <c r="P139" s="599"/>
      <c r="Q139" s="599"/>
      <c r="R139" s="596"/>
      <c r="S139" s="565"/>
      <c r="T139" s="565"/>
      <c r="U139" s="565"/>
      <c r="V139" s="565"/>
      <c r="W139" s="565"/>
      <c r="X139" s="565"/>
      <c r="Y139" s="565"/>
      <c r="Z139" s="565"/>
      <c r="AA139" s="565"/>
      <c r="AB139" s="565"/>
      <c r="AC139" s="565"/>
      <c r="AD139" s="565"/>
      <c r="AE139" s="565"/>
      <c r="AF139" s="596"/>
      <c r="AG139" s="565"/>
      <c r="AH139" s="565"/>
      <c r="AI139" s="565"/>
      <c r="AJ139" s="565"/>
      <c r="AK139" s="576"/>
      <c r="AL139" s="576"/>
      <c r="AM139" s="576"/>
      <c r="AN139" s="561"/>
    </row>
    <row r="140" spans="1:52" s="565" customFormat="1" ht="12.75" customHeight="1">
      <c r="A140" s="564" t="s">
        <v>1509</v>
      </c>
      <c r="AE140" s="1922" t="s">
        <v>1487</v>
      </c>
      <c r="AF140" s="1922"/>
      <c r="AG140" s="1922"/>
      <c r="AH140" s="1922"/>
      <c r="AI140" s="1922"/>
      <c r="AJ140" s="1922"/>
      <c r="AK140" s="1922"/>
      <c r="AL140" s="617"/>
      <c r="AN140" s="618"/>
      <c r="AO140" s="562"/>
    </row>
    <row r="141" spans="1:52" s="565" customFormat="1" ht="13.25" customHeight="1">
      <c r="A141" s="564"/>
      <c r="AE141" s="617"/>
      <c r="AF141" s="617"/>
      <c r="AG141" s="617"/>
      <c r="AH141" s="617"/>
      <c r="AI141" s="617"/>
      <c r="AJ141" s="617"/>
      <c r="AK141" s="617"/>
      <c r="AL141" s="617"/>
      <c r="AN141" s="618"/>
    </row>
    <row r="142" spans="1:52" s="562" customFormat="1" ht="12.75" customHeight="1">
      <c r="A142" s="564"/>
      <c r="B142" s="564" t="s">
        <v>1510</v>
      </c>
      <c r="C142" s="565"/>
      <c r="D142" s="565"/>
      <c r="E142" s="565"/>
      <c r="F142" s="565"/>
      <c r="G142" s="565"/>
      <c r="H142" s="565"/>
      <c r="I142" s="565"/>
      <c r="J142" s="565"/>
      <c r="K142" s="565"/>
      <c r="L142" s="565"/>
      <c r="M142" s="565"/>
      <c r="N142" s="565"/>
      <c r="O142" s="565"/>
      <c r="P142" s="565"/>
      <c r="Q142" s="565"/>
      <c r="R142" s="565"/>
      <c r="S142" s="565"/>
      <c r="T142" s="565"/>
      <c r="U142" s="565"/>
      <c r="V142" s="565"/>
      <c r="W142" s="565"/>
      <c r="X142" s="565"/>
      <c r="Y142" s="565"/>
      <c r="Z142" s="565"/>
      <c r="AA142" s="565"/>
      <c r="AB142" s="565"/>
      <c r="AC142" s="565"/>
      <c r="AD142" s="565"/>
      <c r="AF142" s="1954" t="s">
        <v>1511</v>
      </c>
      <c r="AG142" s="1954"/>
      <c r="AH142" s="1954"/>
      <c r="AI142" s="1954"/>
      <c r="AJ142" s="1954"/>
      <c r="AK142" s="1954"/>
      <c r="AL142" s="1954"/>
      <c r="AM142" s="565"/>
      <c r="AN142" s="561"/>
    </row>
    <row r="143" spans="1:52" s="562" customFormat="1" ht="12.75" customHeight="1">
      <c r="A143" s="564"/>
      <c r="B143" s="564" t="s">
        <v>542</v>
      </c>
      <c r="C143" s="631"/>
      <c r="D143" s="631"/>
      <c r="E143" s="631"/>
      <c r="F143" s="631"/>
      <c r="G143" s="631"/>
      <c r="H143" s="631"/>
      <c r="I143" s="631"/>
      <c r="J143" s="631"/>
      <c r="K143" s="631"/>
      <c r="L143" s="631"/>
      <c r="M143" s="631"/>
      <c r="N143" s="631"/>
      <c r="O143" s="631"/>
      <c r="P143" s="631"/>
      <c r="Q143" s="631"/>
      <c r="R143" s="631"/>
      <c r="S143" s="631"/>
      <c r="T143" s="631"/>
      <c r="U143" s="631"/>
      <c r="V143" s="631"/>
      <c r="W143" s="631"/>
      <c r="X143" s="631"/>
      <c r="Y143" s="631"/>
      <c r="Z143" s="631"/>
      <c r="AA143" s="631"/>
      <c r="AB143" s="631"/>
      <c r="AC143" s="631"/>
      <c r="AD143" s="565"/>
      <c r="AL143" s="620"/>
      <c r="AM143" s="565"/>
      <c r="AN143" s="561"/>
    </row>
    <row r="144" spans="1:52" s="562" customFormat="1" ht="15" customHeight="1">
      <c r="A144" s="564"/>
      <c r="B144" s="1955" t="s">
        <v>2644</v>
      </c>
      <c r="C144" s="1955"/>
      <c r="D144" s="1955"/>
      <c r="E144" s="1955"/>
      <c r="F144" s="1955"/>
      <c r="G144" s="1955"/>
      <c r="H144" s="1955"/>
      <c r="I144" s="1955"/>
      <c r="J144" s="1955"/>
      <c r="K144" s="1955"/>
      <c r="L144" s="1955"/>
      <c r="M144" s="1955"/>
      <c r="N144" s="1955"/>
      <c r="O144" s="1955"/>
      <c r="P144" s="1955"/>
      <c r="Q144" s="1955"/>
      <c r="R144" s="1955"/>
      <c r="S144" s="1955"/>
      <c r="T144" s="1955"/>
      <c r="U144" s="1955"/>
      <c r="V144" s="1955"/>
      <c r="W144" s="1955"/>
      <c r="X144" s="1955"/>
      <c r="Y144" s="1955"/>
      <c r="Z144" s="1955"/>
      <c r="AA144" s="1955"/>
      <c r="AB144" s="1955"/>
      <c r="AC144" s="1955"/>
      <c r="AD144" s="565"/>
      <c r="AE144" s="620"/>
      <c r="AF144" s="620"/>
      <c r="AG144" s="620"/>
      <c r="AH144" s="620"/>
      <c r="AI144" s="620"/>
      <c r="AJ144" s="620"/>
      <c r="AK144" s="620"/>
      <c r="AL144" s="620"/>
      <c r="AM144" s="565"/>
      <c r="AN144" s="561"/>
      <c r="AP144" s="621"/>
    </row>
    <row r="145" spans="1:42" s="562" customFormat="1" ht="12.75" customHeight="1">
      <c r="A145" s="564"/>
      <c r="B145" s="564"/>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620"/>
      <c r="AF145" s="620"/>
      <c r="AG145" s="620"/>
      <c r="AH145" s="620"/>
      <c r="AI145" s="620"/>
      <c r="AJ145" s="620"/>
      <c r="AK145" s="620"/>
      <c r="AL145" s="620"/>
      <c r="AM145" s="565"/>
      <c r="AN145" s="561"/>
      <c r="AO145" s="473" t="s">
        <v>309</v>
      </c>
      <c r="AP145" s="571"/>
    </row>
    <row r="146" spans="1:42" s="562" customFormat="1" ht="12.75" customHeight="1">
      <c r="A146" s="564"/>
      <c r="B146" s="565" t="s">
        <v>1512</v>
      </c>
      <c r="C146" s="565"/>
      <c r="D146" s="565"/>
      <c r="E146" s="565"/>
      <c r="F146" s="565"/>
      <c r="G146" s="565"/>
      <c r="H146" s="565"/>
      <c r="I146" s="565"/>
      <c r="J146" s="565"/>
      <c r="K146" s="565"/>
      <c r="L146" s="565"/>
      <c r="M146" s="565"/>
      <c r="N146" s="565"/>
      <c r="O146" s="565"/>
      <c r="P146" s="565"/>
      <c r="Q146" s="565"/>
      <c r="R146" s="565"/>
      <c r="S146" s="565"/>
      <c r="T146" s="565"/>
      <c r="U146" s="565"/>
      <c r="V146" s="565"/>
      <c r="W146" s="565"/>
      <c r="X146" s="565"/>
      <c r="Y146" s="565"/>
      <c r="Z146" s="565"/>
      <c r="AA146" s="565"/>
      <c r="AB146" s="565"/>
      <c r="AC146" s="565"/>
      <c r="AD146" s="565"/>
      <c r="AE146" s="565"/>
      <c r="AF146" s="565"/>
      <c r="AG146" s="565"/>
      <c r="AH146" s="565"/>
      <c r="AI146" s="565"/>
      <c r="AJ146" s="565"/>
      <c r="AK146" s="565"/>
      <c r="AL146" s="565"/>
      <c r="AM146" s="565"/>
      <c r="AN146" s="561"/>
      <c r="AO146" s="502" t="s">
        <v>1513</v>
      </c>
      <c r="AP146" s="515">
        <v>5</v>
      </c>
    </row>
    <row r="147" spans="1:42" s="562" customFormat="1" ht="12.75" customHeight="1">
      <c r="A147" s="564"/>
      <c r="B147" s="1980" t="s">
        <v>1514</v>
      </c>
      <c r="C147" s="1980"/>
      <c r="D147" s="1980"/>
      <c r="E147" s="1980"/>
      <c r="F147" s="1980"/>
      <c r="G147" s="1980"/>
      <c r="H147" s="1980"/>
      <c r="I147" s="1980"/>
      <c r="J147" s="1980"/>
      <c r="K147" s="1980"/>
      <c r="L147" s="1980"/>
      <c r="M147" s="1980"/>
      <c r="N147" s="1980"/>
      <c r="O147" s="1980"/>
      <c r="P147" s="1980"/>
      <c r="Q147" s="1980"/>
      <c r="R147" s="1980"/>
      <c r="S147" s="1980"/>
      <c r="T147" s="1980"/>
      <c r="U147" s="1980"/>
      <c r="V147" s="1980"/>
      <c r="W147" s="1980"/>
      <c r="X147" s="1980"/>
      <c r="Y147" s="1980"/>
      <c r="Z147" s="1980"/>
      <c r="AA147" s="1980"/>
      <c r="AB147" s="1980"/>
      <c r="AC147" s="1980"/>
      <c r="AD147" s="1980"/>
      <c r="AE147" s="1980"/>
      <c r="AF147" s="1980"/>
      <c r="AG147" s="1980"/>
      <c r="AH147" s="1980"/>
      <c r="AI147" s="1980"/>
      <c r="AM147" s="565"/>
      <c r="AN147" s="561"/>
      <c r="AO147" s="502" t="s">
        <v>1514</v>
      </c>
      <c r="AP147" s="515">
        <v>7</v>
      </c>
    </row>
    <row r="148" spans="1:42" s="562" customFormat="1" ht="13.25" customHeight="1">
      <c r="A148" s="564"/>
      <c r="B148" s="631"/>
      <c r="C148" s="631"/>
      <c r="D148" s="631"/>
      <c r="E148" s="631"/>
      <c r="F148" s="631"/>
      <c r="G148" s="631"/>
      <c r="H148" s="631"/>
      <c r="I148" s="631"/>
      <c r="J148" s="631"/>
      <c r="K148" s="631"/>
      <c r="L148" s="631"/>
      <c r="M148" s="631"/>
      <c r="N148" s="631"/>
      <c r="O148" s="631"/>
      <c r="P148" s="631"/>
      <c r="Q148" s="631"/>
      <c r="R148" s="631"/>
      <c r="S148" s="631"/>
      <c r="T148" s="631"/>
      <c r="U148" s="631"/>
      <c r="V148" s="631"/>
      <c r="W148" s="631"/>
      <c r="X148" s="631"/>
      <c r="Y148" s="631"/>
      <c r="Z148" s="631"/>
      <c r="AA148" s="631"/>
      <c r="AB148" s="631"/>
      <c r="AC148" s="631"/>
      <c r="AD148" s="617"/>
      <c r="AM148" s="565"/>
      <c r="AN148" s="561"/>
      <c r="AO148" s="502" t="s">
        <v>2415</v>
      </c>
      <c r="AP148" s="515">
        <v>7</v>
      </c>
    </row>
    <row r="149" spans="1:42" s="562" customFormat="1" ht="12.75" customHeight="1">
      <c r="A149" s="564"/>
      <c r="B149" s="565" t="s">
        <v>1515</v>
      </c>
      <c r="AB149" s="1981" t="s">
        <v>601</v>
      </c>
      <c r="AC149" s="1981"/>
      <c r="AD149" s="617"/>
      <c r="AM149" s="565"/>
      <c r="AN149" s="561"/>
      <c r="AO149" s="502"/>
      <c r="AP149" s="502"/>
    </row>
    <row r="150" spans="1:42" s="562" customFormat="1" ht="9" customHeight="1">
      <c r="A150" s="564"/>
      <c r="B150" s="631"/>
      <c r="C150" s="631"/>
      <c r="D150" s="631"/>
      <c r="E150" s="631"/>
      <c r="F150" s="631"/>
      <c r="G150" s="631"/>
      <c r="H150" s="631"/>
      <c r="I150" s="631"/>
      <c r="J150" s="631"/>
      <c r="K150" s="631"/>
      <c r="L150" s="631"/>
      <c r="M150" s="631"/>
      <c r="N150" s="631"/>
      <c r="O150" s="631"/>
      <c r="P150" s="631"/>
      <c r="Q150" s="631"/>
      <c r="R150" s="631"/>
      <c r="S150" s="631"/>
      <c r="T150" s="631"/>
      <c r="U150" s="631"/>
      <c r="V150" s="631"/>
      <c r="W150" s="631"/>
      <c r="X150" s="631"/>
      <c r="Y150" s="631"/>
      <c r="Z150" s="631"/>
      <c r="AA150" s="631"/>
      <c r="AB150" s="631"/>
      <c r="AC150" s="631"/>
      <c r="AD150" s="617"/>
      <c r="AM150" s="565"/>
      <c r="AN150" s="561"/>
      <c r="AO150" s="473" t="s">
        <v>1516</v>
      </c>
      <c r="AP150" s="515"/>
    </row>
    <row r="151" spans="1:42" s="562" customFormat="1" ht="12.75" customHeight="1">
      <c r="A151" s="564"/>
      <c r="B151" s="564" t="s">
        <v>1517</v>
      </c>
      <c r="C151" s="631"/>
      <c r="D151" s="631"/>
      <c r="E151" s="631"/>
      <c r="F151" s="631"/>
      <c r="G151" s="631"/>
      <c r="H151" s="631"/>
      <c r="I151" s="631"/>
      <c r="J151" s="631"/>
      <c r="K151" s="631"/>
      <c r="L151" s="631"/>
      <c r="M151" s="631"/>
      <c r="N151" s="631"/>
      <c r="O151" s="631"/>
      <c r="P151" s="631"/>
      <c r="Q151" s="631"/>
      <c r="R151" s="631"/>
      <c r="S151" s="631"/>
      <c r="T151" s="631"/>
      <c r="U151" s="631"/>
      <c r="V151" s="631"/>
      <c r="W151" s="631"/>
      <c r="X151" s="631"/>
      <c r="Y151" s="631"/>
      <c r="Z151" s="631"/>
      <c r="AA151" s="631"/>
      <c r="AB151" s="631"/>
      <c r="AC151" s="631"/>
      <c r="AD151" s="617"/>
      <c r="AM151" s="565"/>
      <c r="AN151" s="561"/>
      <c r="AO151" s="502" t="s">
        <v>1518</v>
      </c>
      <c r="AP151" s="515">
        <v>5</v>
      </c>
    </row>
    <row r="152" spans="1:42" s="562" customFormat="1" ht="12.75" customHeight="1">
      <c r="A152" s="564"/>
      <c r="B152" s="1980" t="s">
        <v>1516</v>
      </c>
      <c r="C152" s="1980"/>
      <c r="D152" s="1980"/>
      <c r="E152" s="1980"/>
      <c r="F152" s="1980"/>
      <c r="G152" s="1980"/>
      <c r="H152" s="1980"/>
      <c r="I152" s="1980"/>
      <c r="J152" s="1980"/>
      <c r="K152" s="1980"/>
      <c r="L152" s="1980"/>
      <c r="M152" s="1980"/>
      <c r="N152" s="1980"/>
      <c r="O152" s="1980"/>
      <c r="P152" s="1980"/>
      <c r="Q152" s="1980"/>
      <c r="R152" s="1980"/>
      <c r="S152" s="1980"/>
      <c r="T152" s="1980"/>
      <c r="U152" s="1980"/>
      <c r="V152" s="1980"/>
      <c r="W152" s="1980"/>
      <c r="X152" s="1980"/>
      <c r="Y152" s="1980"/>
      <c r="Z152" s="1980"/>
      <c r="AA152" s="1980"/>
      <c r="AB152" s="1980"/>
      <c r="AC152" s="1980"/>
      <c r="AD152" s="1980"/>
      <c r="AE152" s="1980"/>
      <c r="AF152" s="1980"/>
      <c r="AG152" s="1980"/>
      <c r="AH152" s="1980"/>
      <c r="AI152" s="1980"/>
      <c r="AJ152" s="1980"/>
      <c r="AN152" s="561"/>
      <c r="AO152" s="502" t="s">
        <v>1519</v>
      </c>
      <c r="AP152" s="515">
        <v>7</v>
      </c>
    </row>
    <row r="153" spans="1:42" s="562" customFormat="1" ht="12.75" customHeight="1">
      <c r="B153" s="565" t="s">
        <v>1520</v>
      </c>
      <c r="C153" s="631"/>
      <c r="D153" s="631"/>
      <c r="E153" s="631"/>
      <c r="F153" s="631"/>
      <c r="G153" s="631"/>
      <c r="H153" s="631"/>
      <c r="I153" s="631"/>
      <c r="J153" s="631"/>
      <c r="K153" s="631"/>
      <c r="L153" s="631"/>
      <c r="M153" s="631"/>
      <c r="N153" s="631"/>
      <c r="O153" s="631"/>
      <c r="P153" s="631"/>
      <c r="Q153" s="631"/>
      <c r="R153" s="631"/>
      <c r="S153" s="631"/>
      <c r="T153" s="631"/>
      <c r="U153" s="631"/>
      <c r="AM153" s="565"/>
      <c r="AN153" s="561"/>
      <c r="AO153" s="502"/>
      <c r="AP153" s="515"/>
    </row>
    <row r="154" spans="1:42" s="562" customFormat="1" ht="12.75" customHeight="1">
      <c r="AM154" s="565"/>
      <c r="AN154" s="561"/>
    </row>
    <row r="155" spans="1:42" s="576" customFormat="1" ht="12.75" customHeight="1">
      <c r="A155" s="626"/>
      <c r="B155" s="627"/>
      <c r="C155" s="627"/>
      <c r="D155" s="627"/>
      <c r="E155" s="627"/>
      <c r="F155" s="627"/>
      <c r="G155" s="627"/>
      <c r="H155" s="627"/>
      <c r="I155" s="627"/>
      <c r="J155" s="627"/>
      <c r="K155" s="627"/>
      <c r="L155" s="627"/>
      <c r="M155" s="627"/>
      <c r="N155" s="627"/>
      <c r="O155" s="627"/>
      <c r="P155" s="627"/>
      <c r="Q155" s="627"/>
      <c r="R155" s="627"/>
      <c r="S155" s="627"/>
      <c r="T155" s="627"/>
      <c r="U155" s="627"/>
      <c r="V155" s="627"/>
      <c r="W155" s="627"/>
      <c r="X155" s="627"/>
      <c r="Y155" s="627"/>
      <c r="Z155" s="627"/>
      <c r="AA155" s="627"/>
      <c r="AB155" s="627"/>
      <c r="AC155" s="627"/>
      <c r="AD155" s="627"/>
      <c r="AE155" s="627"/>
      <c r="AF155" s="627"/>
      <c r="AG155" s="627"/>
      <c r="AH155" s="627"/>
      <c r="AI155" s="591" t="s">
        <v>1522</v>
      </c>
      <c r="AJ155" s="1983">
        <f>IF($AB$149="N/A",VLOOKUP($B$147,$AO$145:$AP$148,2,FALSE),VLOOKUP($B$152,$AO$150:$AP$153,2,FALSE))</f>
        <v>7</v>
      </c>
      <c r="AK155" s="1983"/>
      <c r="AL155" s="621"/>
      <c r="AM155" s="562"/>
      <c r="AN155" s="624"/>
    </row>
    <row r="156" spans="1:42" s="576" customFormat="1" ht="12.75" customHeight="1">
      <c r="A156" s="621"/>
      <c r="B156" s="621"/>
      <c r="C156" s="562"/>
      <c r="D156" s="562"/>
      <c r="E156" s="562"/>
      <c r="F156" s="562"/>
      <c r="G156" s="562"/>
      <c r="H156" s="562"/>
      <c r="I156" s="562"/>
      <c r="J156" s="562"/>
      <c r="K156" s="562"/>
      <c r="L156" s="562"/>
      <c r="M156" s="562"/>
      <c r="N156" s="562"/>
      <c r="O156" s="562"/>
      <c r="P156" s="562"/>
      <c r="Q156" s="562"/>
      <c r="R156" s="562"/>
      <c r="S156" s="562"/>
      <c r="T156" s="562"/>
      <c r="U156" s="562"/>
      <c r="V156" s="562"/>
      <c r="W156" s="562"/>
      <c r="X156" s="562"/>
      <c r="Y156" s="562"/>
      <c r="Z156" s="562"/>
      <c r="AA156" s="562"/>
      <c r="AB156" s="562"/>
      <c r="AC156" s="562"/>
      <c r="AD156" s="562"/>
      <c r="AE156" s="562"/>
      <c r="AF156" s="562"/>
      <c r="AG156" s="562"/>
      <c r="AH156" s="562"/>
      <c r="AI156" s="562"/>
      <c r="AJ156" s="562"/>
      <c r="AK156" s="562"/>
      <c r="AL156" s="562"/>
      <c r="AM156" s="562"/>
      <c r="AN156" s="624"/>
    </row>
    <row r="157" spans="1:42" s="576" customFormat="1" ht="12.75" customHeight="1">
      <c r="A157" s="562"/>
      <c r="B157" s="564" t="s">
        <v>1524</v>
      </c>
      <c r="C157" s="565"/>
      <c r="D157" s="562"/>
      <c r="E157" s="668"/>
      <c r="F157" s="668"/>
      <c r="G157" s="668"/>
      <c r="H157" s="668"/>
      <c r="I157" s="668"/>
      <c r="J157" s="668"/>
      <c r="K157" s="668"/>
      <c r="L157" s="668"/>
      <c r="M157" s="668"/>
      <c r="N157" s="668"/>
      <c r="O157" s="668"/>
      <c r="P157" s="668"/>
      <c r="Q157" s="668"/>
      <c r="R157" s="668"/>
      <c r="S157" s="668"/>
      <c r="T157" s="668"/>
      <c r="U157" s="668"/>
      <c r="V157" s="668"/>
      <c r="W157" s="668"/>
      <c r="X157" s="668"/>
      <c r="Y157" s="668"/>
      <c r="Z157" s="668"/>
      <c r="AA157" s="668"/>
      <c r="AB157" s="668"/>
      <c r="AC157" s="668"/>
      <c r="AD157" s="668"/>
      <c r="AE157" s="562"/>
      <c r="AF157" s="1954" t="s">
        <v>1525</v>
      </c>
      <c r="AG157" s="1954"/>
      <c r="AH157" s="1954"/>
      <c r="AI157" s="1954"/>
      <c r="AJ157" s="1954"/>
      <c r="AK157" s="1954"/>
      <c r="AL157" s="1954"/>
      <c r="AM157" s="629"/>
      <c r="AN157" s="624"/>
    </row>
    <row r="158" spans="1:42" s="576" customFormat="1" ht="12.75" customHeight="1">
      <c r="A158" s="562"/>
      <c r="B158" s="565" t="s">
        <v>1526</v>
      </c>
      <c r="C158" s="562"/>
      <c r="D158" s="562"/>
      <c r="E158" s="562"/>
      <c r="F158" s="562"/>
      <c r="G158" s="562"/>
      <c r="H158" s="562"/>
      <c r="I158" s="562"/>
      <c r="J158" s="562"/>
      <c r="K158" s="562"/>
      <c r="L158" s="562"/>
      <c r="M158" s="562"/>
      <c r="N158" s="562"/>
      <c r="O158" s="562"/>
      <c r="P158" s="562"/>
      <c r="Q158" s="562"/>
      <c r="R158" s="562"/>
      <c r="S158" s="562"/>
      <c r="T158" s="562"/>
      <c r="U158" s="562"/>
      <c r="V158" s="562"/>
      <c r="W158" s="562"/>
      <c r="X158" s="562"/>
      <c r="Y158" s="562"/>
      <c r="Z158" s="562"/>
      <c r="AA158" s="565"/>
      <c r="AB158" s="565"/>
      <c r="AC158" s="565"/>
      <c r="AD158" s="565"/>
      <c r="AE158" s="562"/>
      <c r="AF158" s="562"/>
      <c r="AG158" s="562"/>
      <c r="AH158" s="562"/>
      <c r="AI158" s="562"/>
      <c r="AJ158" s="562"/>
      <c r="AK158" s="562"/>
      <c r="AL158" s="562"/>
      <c r="AM158" s="629"/>
      <c r="AN158" s="624"/>
    </row>
    <row r="159" spans="1:42" s="576" customFormat="1" ht="12.75" customHeight="1">
      <c r="A159" s="562"/>
      <c r="B159" s="562"/>
      <c r="C159" s="1980" t="s">
        <v>1523</v>
      </c>
      <c r="D159" s="1980"/>
      <c r="E159" s="1980"/>
      <c r="F159" s="1980"/>
      <c r="G159" s="1980"/>
      <c r="H159" s="1980"/>
      <c r="I159" s="1980"/>
      <c r="J159" s="1980"/>
      <c r="K159" s="1980"/>
      <c r="L159" s="1980"/>
      <c r="M159" s="1980"/>
      <c r="N159" s="1980"/>
      <c r="O159" s="1980"/>
      <c r="P159" s="1980"/>
      <c r="Q159" s="1980"/>
      <c r="R159" s="1980"/>
      <c r="S159" s="1980"/>
      <c r="T159" s="1980"/>
      <c r="U159" s="1980"/>
      <c r="V159" s="1980"/>
      <c r="W159" s="1980"/>
      <c r="X159" s="1980"/>
      <c r="Y159" s="1980"/>
      <c r="Z159" s="1980"/>
      <c r="AA159" s="1980"/>
      <c r="AB159" s="1980"/>
      <c r="AC159" s="1980"/>
      <c r="AD159" s="1980"/>
      <c r="AE159" s="1980"/>
      <c r="AF159" s="1980"/>
      <c r="AG159" s="1980"/>
      <c r="AH159" s="1980"/>
      <c r="AI159" s="1980"/>
      <c r="AJ159" s="562"/>
      <c r="AK159" s="562"/>
      <c r="AL159" s="562"/>
      <c r="AM159" s="629"/>
      <c r="AN159" s="623"/>
      <c r="AO159" s="502" t="s">
        <v>309</v>
      </c>
      <c r="AP159" s="502"/>
    </row>
    <row r="160" spans="1:42" s="576" customFormat="1" ht="13.25" customHeight="1">
      <c r="A160" s="562"/>
      <c r="B160" s="562"/>
      <c r="C160" s="631"/>
      <c r="D160" s="631"/>
      <c r="E160" s="631"/>
      <c r="F160" s="631"/>
      <c r="G160" s="631"/>
      <c r="H160" s="631"/>
      <c r="I160" s="631"/>
      <c r="J160" s="631"/>
      <c r="K160" s="631"/>
      <c r="L160" s="631"/>
      <c r="M160" s="631"/>
      <c r="N160" s="631"/>
      <c r="O160" s="631"/>
      <c r="P160" s="631"/>
      <c r="Q160" s="631"/>
      <c r="R160" s="631"/>
      <c r="S160" s="631"/>
      <c r="T160" s="631"/>
      <c r="U160" s="631"/>
      <c r="V160" s="631"/>
      <c r="W160" s="631"/>
      <c r="X160" s="631"/>
      <c r="Y160" s="631"/>
      <c r="Z160" s="631"/>
      <c r="AA160" s="631"/>
      <c r="AB160" s="631"/>
      <c r="AC160" s="631"/>
      <c r="AD160" s="631"/>
      <c r="AE160" s="562"/>
      <c r="AF160" s="562"/>
      <c r="AG160" s="562"/>
      <c r="AH160" s="562"/>
      <c r="AI160" s="562"/>
      <c r="AJ160" s="562"/>
      <c r="AK160" s="562"/>
      <c r="AL160" s="562"/>
      <c r="AM160" s="629"/>
      <c r="AN160" s="623"/>
      <c r="AO160" s="502" t="s">
        <v>1521</v>
      </c>
      <c r="AP160" s="625">
        <v>2</v>
      </c>
    </row>
    <row r="161" spans="1:73" s="576" customFormat="1" ht="12.75" customHeight="1">
      <c r="A161" s="562"/>
      <c r="B161" s="562"/>
      <c r="C161" s="565" t="s">
        <v>1528</v>
      </c>
      <c r="D161" s="562"/>
      <c r="E161" s="562"/>
      <c r="F161" s="562"/>
      <c r="G161" s="562"/>
      <c r="H161" s="562"/>
      <c r="I161" s="562"/>
      <c r="J161" s="562"/>
      <c r="K161" s="562"/>
      <c r="L161" s="562"/>
      <c r="M161" s="562"/>
      <c r="N161" s="562"/>
      <c r="O161" s="562"/>
      <c r="P161" s="562"/>
      <c r="Q161" s="562"/>
      <c r="R161" s="562"/>
      <c r="S161" s="562"/>
      <c r="T161" s="562"/>
      <c r="U161" s="562"/>
      <c r="V161" s="562"/>
      <c r="W161" s="562"/>
      <c r="X161" s="562"/>
      <c r="Y161" s="562"/>
      <c r="Z161" s="562"/>
      <c r="AA161" s="562"/>
      <c r="AB161" s="562"/>
      <c r="AC161" s="1981" t="s">
        <v>601</v>
      </c>
      <c r="AD161" s="1981"/>
      <c r="AE161" s="562"/>
      <c r="AF161" s="562"/>
      <c r="AG161" s="562"/>
      <c r="AH161" s="562"/>
      <c r="AI161" s="562"/>
      <c r="AJ161" s="562"/>
      <c r="AK161" s="562"/>
      <c r="AL161" s="562"/>
      <c r="AM161" s="629"/>
      <c r="AN161" s="623"/>
      <c r="AO161" s="502" t="s">
        <v>1523</v>
      </c>
      <c r="AP161" s="625">
        <v>3</v>
      </c>
    </row>
    <row r="162" spans="1:73" s="576" customFormat="1" ht="9" customHeight="1">
      <c r="A162" s="562"/>
      <c r="B162" s="562"/>
      <c r="C162" s="631"/>
      <c r="D162" s="631"/>
      <c r="E162" s="631"/>
      <c r="F162" s="631"/>
      <c r="G162" s="631"/>
      <c r="H162" s="631"/>
      <c r="I162" s="631"/>
      <c r="J162" s="631"/>
      <c r="K162" s="631"/>
      <c r="L162" s="631"/>
      <c r="M162" s="631"/>
      <c r="N162" s="631"/>
      <c r="O162" s="631"/>
      <c r="P162" s="631"/>
      <c r="Q162" s="631"/>
      <c r="R162" s="631"/>
      <c r="S162" s="631"/>
      <c r="T162" s="631"/>
      <c r="U162" s="631"/>
      <c r="V162" s="631"/>
      <c r="W162" s="631"/>
      <c r="X162" s="631"/>
      <c r="Y162" s="631"/>
      <c r="Z162" s="631"/>
      <c r="AA162" s="631"/>
      <c r="AB162" s="631"/>
      <c r="AC162" s="631"/>
      <c r="AD162" s="631"/>
      <c r="AE162" s="562"/>
      <c r="AF162" s="562"/>
      <c r="AG162" s="562"/>
      <c r="AH162" s="562"/>
      <c r="AI162" s="562"/>
      <c r="AJ162" s="562"/>
      <c r="AK162" s="562"/>
      <c r="AL162" s="562"/>
      <c r="AM162" s="629"/>
      <c r="AN162" s="623"/>
      <c r="AO162" s="628" t="s">
        <v>1817</v>
      </c>
      <c r="AP162" s="625">
        <v>3</v>
      </c>
    </row>
    <row r="163" spans="1:73" s="576" customFormat="1" ht="12.75" customHeight="1">
      <c r="A163" s="562"/>
      <c r="B163" s="562"/>
      <c r="C163" s="1980" t="s">
        <v>1516</v>
      </c>
      <c r="D163" s="1980"/>
      <c r="E163" s="1980"/>
      <c r="F163" s="1980"/>
      <c r="G163" s="1980"/>
      <c r="H163" s="1980"/>
      <c r="I163" s="1980"/>
      <c r="J163" s="1980"/>
      <c r="K163" s="1980"/>
      <c r="L163" s="1980"/>
      <c r="M163" s="1980"/>
      <c r="N163" s="1980"/>
      <c r="O163" s="1980"/>
      <c r="P163" s="1980"/>
      <c r="Q163" s="1980"/>
      <c r="R163" s="1980"/>
      <c r="S163" s="1980"/>
      <c r="T163" s="1980"/>
      <c r="U163" s="1980"/>
      <c r="V163" s="1980"/>
      <c r="W163" s="1980"/>
      <c r="X163" s="1980"/>
      <c r="Y163" s="1980"/>
      <c r="Z163" s="1980"/>
      <c r="AA163" s="1980"/>
      <c r="AB163" s="1980"/>
      <c r="AC163" s="1980"/>
      <c r="AD163" s="1980"/>
      <c r="AE163" s="562"/>
      <c r="AF163" s="562"/>
      <c r="AG163" s="562"/>
      <c r="AH163" s="562"/>
      <c r="AI163" s="562"/>
      <c r="AJ163" s="562"/>
      <c r="AK163" s="562"/>
      <c r="AL163" s="562"/>
      <c r="AM163" s="629"/>
      <c r="AN163" s="623"/>
      <c r="AO163" s="628"/>
      <c r="AP163" s="625"/>
    </row>
    <row r="164" spans="1:73" s="576" customFormat="1" ht="12.75" customHeight="1">
      <c r="A164" s="562"/>
      <c r="B164" s="562"/>
      <c r="C164" s="565" t="s">
        <v>1520</v>
      </c>
      <c r="D164" s="565"/>
      <c r="E164" s="565"/>
      <c r="F164" s="565"/>
      <c r="G164" s="565"/>
      <c r="H164" s="565"/>
      <c r="I164" s="565"/>
      <c r="J164" s="565"/>
      <c r="K164" s="565"/>
      <c r="L164" s="565"/>
      <c r="M164" s="565"/>
      <c r="N164" s="565"/>
      <c r="O164" s="565"/>
      <c r="P164" s="565"/>
      <c r="Q164" s="565"/>
      <c r="R164" s="565"/>
      <c r="S164" s="565"/>
      <c r="T164" s="565"/>
      <c r="U164" s="565"/>
      <c r="V164" s="565"/>
      <c r="W164" s="565"/>
      <c r="X164" s="565"/>
      <c r="Y164" s="565"/>
      <c r="Z164" s="565"/>
      <c r="AA164" s="565"/>
      <c r="AB164" s="565"/>
      <c r="AC164" s="565"/>
      <c r="AD164" s="565"/>
      <c r="AE164" s="565"/>
      <c r="AF164" s="565"/>
      <c r="AG164" s="565"/>
      <c r="AH164" s="565"/>
      <c r="AI164" s="565"/>
      <c r="AJ164" s="565"/>
      <c r="AK164" s="565"/>
      <c r="AL164" s="562"/>
      <c r="AM164" s="629"/>
      <c r="AN164" s="623"/>
      <c r="AO164" s="630"/>
      <c r="AP164" s="630"/>
    </row>
    <row r="165" spans="1:73" s="576" customFormat="1" ht="12.75" customHeight="1">
      <c r="A165" s="562"/>
      <c r="B165" s="562"/>
      <c r="C165" s="562"/>
      <c r="D165" s="562"/>
      <c r="E165" s="562"/>
      <c r="F165" s="562"/>
      <c r="G165" s="562"/>
      <c r="H165" s="562"/>
      <c r="I165" s="562"/>
      <c r="J165" s="562"/>
      <c r="K165" s="562"/>
      <c r="L165" s="562"/>
      <c r="M165" s="562"/>
      <c r="N165" s="562"/>
      <c r="O165" s="562"/>
      <c r="P165" s="562"/>
      <c r="Q165" s="562"/>
      <c r="R165" s="562"/>
      <c r="S165" s="562"/>
      <c r="T165" s="562"/>
      <c r="U165" s="562"/>
      <c r="V165" s="562"/>
      <c r="W165" s="562"/>
      <c r="X165" s="562"/>
      <c r="Y165" s="562"/>
      <c r="Z165" s="562"/>
      <c r="AA165" s="562"/>
      <c r="AB165" s="562"/>
      <c r="AC165" s="562"/>
      <c r="AD165" s="562"/>
      <c r="AE165" s="562"/>
      <c r="AF165" s="562"/>
      <c r="AG165" s="562"/>
      <c r="AH165" s="562"/>
      <c r="AI165" s="562"/>
      <c r="AJ165" s="562"/>
      <c r="AK165" s="562"/>
      <c r="AL165" s="562"/>
      <c r="AM165" s="629"/>
      <c r="AN165" s="623"/>
    </row>
    <row r="166" spans="1:73" s="576" customFormat="1" ht="12.75" customHeight="1">
      <c r="A166" s="562"/>
      <c r="B166" s="562"/>
      <c r="C166" s="564" t="s">
        <v>1530</v>
      </c>
      <c r="D166" s="631"/>
      <c r="E166" s="631"/>
      <c r="F166" s="631"/>
      <c r="G166" s="631"/>
      <c r="H166" s="631"/>
      <c r="I166" s="631"/>
      <c r="J166" s="631"/>
      <c r="K166" s="631"/>
      <c r="L166" s="631"/>
      <c r="M166" s="631"/>
      <c r="N166" s="631"/>
      <c r="O166" s="631"/>
      <c r="P166" s="631"/>
      <c r="Q166" s="631"/>
      <c r="R166" s="631"/>
      <c r="S166" s="631"/>
      <c r="T166" s="631"/>
      <c r="U166" s="631"/>
      <c r="V166" s="631"/>
      <c r="W166" s="631"/>
      <c r="X166" s="631"/>
      <c r="Y166" s="631"/>
      <c r="Z166" s="631"/>
      <c r="AA166" s="631"/>
      <c r="AB166" s="631"/>
      <c r="AC166" s="631"/>
      <c r="AD166" s="631"/>
      <c r="AE166" s="562"/>
      <c r="AF166" s="562"/>
      <c r="AG166" s="562"/>
      <c r="AH166" s="562"/>
      <c r="AI166" s="562"/>
      <c r="AJ166" s="562"/>
      <c r="AK166" s="562"/>
      <c r="AL166" s="562"/>
      <c r="AM166" s="629"/>
      <c r="AN166" s="623"/>
      <c r="AO166" s="502" t="s">
        <v>1516</v>
      </c>
      <c r="AP166" s="502"/>
    </row>
    <row r="167" spans="1:73" s="576" customFormat="1" ht="12.75" customHeight="1">
      <c r="A167" s="562"/>
      <c r="B167" s="562"/>
      <c r="C167" s="1955" t="s">
        <v>2706</v>
      </c>
      <c r="D167" s="1955"/>
      <c r="E167" s="1955"/>
      <c r="F167" s="1955"/>
      <c r="G167" s="1955"/>
      <c r="H167" s="1955"/>
      <c r="I167" s="1955"/>
      <c r="J167" s="1955"/>
      <c r="K167" s="1955"/>
      <c r="L167" s="1955"/>
      <c r="M167" s="1955"/>
      <c r="N167" s="1955"/>
      <c r="O167" s="1955"/>
      <c r="P167" s="1955"/>
      <c r="Q167" s="1955"/>
      <c r="R167" s="1955"/>
      <c r="S167" s="1955"/>
      <c r="T167" s="1955"/>
      <c r="U167" s="1955"/>
      <c r="V167" s="1955"/>
      <c r="W167" s="1955"/>
      <c r="X167" s="1955"/>
      <c r="Y167" s="1955"/>
      <c r="Z167" s="1955"/>
      <c r="AA167" s="1955"/>
      <c r="AB167" s="1955"/>
      <c r="AC167" s="1955"/>
      <c r="AD167" s="1955"/>
      <c r="AE167" s="562"/>
      <c r="AF167" s="562"/>
      <c r="AG167" s="562"/>
      <c r="AH167" s="562"/>
      <c r="AI167" s="562"/>
      <c r="AJ167" s="562"/>
      <c r="AK167" s="562"/>
      <c r="AL167" s="562"/>
      <c r="AM167" s="629"/>
      <c r="AN167" s="623"/>
      <c r="AO167" s="502" t="s">
        <v>1527</v>
      </c>
      <c r="AP167" s="625">
        <v>2</v>
      </c>
    </row>
    <row r="168" spans="1:73" s="576" customFormat="1" ht="12.75" customHeight="1">
      <c r="A168" s="562"/>
      <c r="B168" s="562"/>
      <c r="C168" s="631"/>
      <c r="D168" s="631"/>
      <c r="E168" s="631"/>
      <c r="F168" s="631"/>
      <c r="G168" s="631"/>
      <c r="H168" s="631"/>
      <c r="I168" s="631"/>
      <c r="J168" s="631"/>
      <c r="K168" s="631"/>
      <c r="L168" s="631"/>
      <c r="M168" s="631"/>
      <c r="N168" s="631"/>
      <c r="O168" s="631"/>
      <c r="P168" s="631"/>
      <c r="Q168" s="631"/>
      <c r="R168" s="631"/>
      <c r="S168" s="631"/>
      <c r="T168" s="631"/>
      <c r="U168" s="631"/>
      <c r="V168" s="631"/>
      <c r="W168" s="631"/>
      <c r="X168" s="631"/>
      <c r="Y168" s="631"/>
      <c r="Z168" s="631"/>
      <c r="AA168" s="631"/>
      <c r="AB168" s="631"/>
      <c r="AC168" s="631"/>
      <c r="AD168" s="631"/>
      <c r="AE168" s="562"/>
      <c r="AF168" s="562"/>
      <c r="AG168" s="562"/>
      <c r="AH168" s="562"/>
      <c r="AI168" s="562"/>
      <c r="AJ168" s="562"/>
      <c r="AK168" s="562"/>
      <c r="AL168" s="562"/>
      <c r="AM168" s="629"/>
      <c r="AN168" s="623"/>
      <c r="AO168" s="502" t="s">
        <v>1529</v>
      </c>
      <c r="AP168" s="625">
        <v>3</v>
      </c>
    </row>
    <row r="169" spans="1:73" s="576" customFormat="1" ht="12.75" customHeight="1">
      <c r="A169" s="632"/>
      <c r="B169" s="590"/>
      <c r="C169" s="590"/>
      <c r="D169" s="589"/>
      <c r="E169" s="590"/>
      <c r="F169" s="590"/>
      <c r="G169" s="590"/>
      <c r="H169" s="590"/>
      <c r="I169" s="590"/>
      <c r="J169" s="590"/>
      <c r="K169" s="590"/>
      <c r="L169" s="590"/>
      <c r="M169" s="590"/>
      <c r="N169" s="590"/>
      <c r="O169" s="590"/>
      <c r="P169" s="590"/>
      <c r="Q169" s="627"/>
      <c r="R169" s="633"/>
      <c r="S169" s="590"/>
      <c r="T169" s="590"/>
      <c r="U169" s="590"/>
      <c r="V169" s="590"/>
      <c r="W169" s="590"/>
      <c r="X169" s="590"/>
      <c r="Y169" s="590"/>
      <c r="Z169" s="590"/>
      <c r="AA169" s="590"/>
      <c r="AB169" s="590"/>
      <c r="AC169" s="590"/>
      <c r="AD169" s="590"/>
      <c r="AE169" s="590"/>
      <c r="AF169" s="590"/>
      <c r="AG169" s="590"/>
      <c r="AH169" s="590"/>
      <c r="AI169" s="591" t="s">
        <v>1531</v>
      </c>
      <c r="AJ169" s="1982">
        <f>IF($AC$161="N/A",VLOOKUP($C$159,$AO$159:$AP$162,2,FALSE),VLOOKUP($C$163,$AO$166:$AP$168,2,FALSE))</f>
        <v>3</v>
      </c>
      <c r="AK169" s="1982"/>
      <c r="AL169" s="634"/>
      <c r="AM169" s="635"/>
      <c r="AN169" s="623"/>
      <c r="AO169" s="628"/>
      <c r="AP169" s="625"/>
    </row>
    <row r="170" spans="1:73" s="576" customFormat="1" ht="12.75" customHeight="1">
      <c r="A170" s="562"/>
      <c r="B170" s="636"/>
      <c r="R170" s="562"/>
      <c r="S170" s="636"/>
      <c r="AN170" s="623"/>
    </row>
    <row r="171" spans="1:73" s="576" customFormat="1" ht="12.75" customHeight="1">
      <c r="A171" s="637"/>
      <c r="B171" s="629"/>
      <c r="C171" s="629"/>
      <c r="D171" s="629"/>
      <c r="E171" s="629"/>
      <c r="F171" s="629"/>
      <c r="G171" s="629"/>
      <c r="H171" s="629"/>
      <c r="I171" s="629"/>
      <c r="J171" s="629"/>
      <c r="K171" s="629"/>
      <c r="L171" s="629"/>
      <c r="M171" s="629"/>
      <c r="N171" s="629"/>
      <c r="O171" s="629"/>
      <c r="P171" s="629"/>
      <c r="Q171" s="629"/>
      <c r="R171" s="629"/>
      <c r="S171" s="629"/>
      <c r="T171" s="629"/>
      <c r="U171" s="629"/>
      <c r="V171" s="629"/>
      <c r="W171" s="629"/>
      <c r="X171" s="629"/>
      <c r="Y171" s="629"/>
      <c r="Z171" s="629"/>
      <c r="AA171" s="629"/>
      <c r="AB171" s="629"/>
      <c r="AC171" s="629"/>
      <c r="AD171" s="629"/>
      <c r="AE171" s="629"/>
      <c r="AF171" s="629"/>
      <c r="AG171" s="629"/>
      <c r="AH171" s="629"/>
      <c r="AI171" s="629"/>
      <c r="AJ171" s="629"/>
      <c r="AK171" s="629"/>
      <c r="AL171" s="629"/>
      <c r="AM171" s="629"/>
      <c r="AN171" s="623"/>
    </row>
    <row r="172" spans="1:73" s="576" customFormat="1" ht="12.75" customHeight="1">
      <c r="A172" s="587"/>
      <c r="B172" s="588"/>
      <c r="C172" s="588"/>
      <c r="D172" s="588"/>
      <c r="E172" s="588"/>
      <c r="F172" s="588"/>
      <c r="G172" s="589"/>
      <c r="H172" s="590"/>
      <c r="I172" s="590"/>
      <c r="J172" s="590"/>
      <c r="K172" s="590"/>
      <c r="L172" s="590"/>
      <c r="M172" s="590"/>
      <c r="N172" s="590"/>
      <c r="O172" s="590"/>
      <c r="P172" s="590"/>
      <c r="Q172" s="590"/>
      <c r="R172" s="590"/>
      <c r="S172" s="590"/>
      <c r="T172" s="590"/>
      <c r="U172" s="590"/>
      <c r="V172" s="590"/>
      <c r="W172" s="590"/>
      <c r="X172" s="590"/>
      <c r="Y172" s="590"/>
      <c r="Z172" s="590"/>
      <c r="AA172" s="590"/>
      <c r="AB172" s="590"/>
      <c r="AC172" s="590"/>
      <c r="AD172" s="590"/>
      <c r="AE172" s="590"/>
      <c r="AF172" s="590"/>
      <c r="AG172" s="590"/>
      <c r="AH172" s="590"/>
      <c r="AI172" s="591"/>
      <c r="AJ172" s="591" t="s">
        <v>1532</v>
      </c>
      <c r="AK172" s="1942">
        <f>$AJ$155+$AJ$169</f>
        <v>10</v>
      </c>
      <c r="AL172" s="1943"/>
      <c r="AM172" s="1944"/>
      <c r="AN172" s="623"/>
    </row>
    <row r="173" spans="1:73" s="576" customFormat="1" ht="12.75" customHeight="1" thickBot="1">
      <c r="A173" s="592"/>
      <c r="B173" s="593"/>
      <c r="C173" s="594"/>
      <c r="D173" s="594"/>
      <c r="E173" s="594"/>
      <c r="F173" s="594"/>
      <c r="G173" s="594"/>
      <c r="H173" s="594"/>
      <c r="I173" s="594"/>
      <c r="J173" s="594"/>
      <c r="K173" s="594"/>
      <c r="L173" s="594"/>
      <c r="M173" s="594"/>
      <c r="N173" s="594"/>
      <c r="O173" s="594"/>
      <c r="P173" s="594"/>
      <c r="Q173" s="594"/>
      <c r="R173" s="594"/>
      <c r="S173" s="594"/>
      <c r="T173" s="594"/>
      <c r="U173" s="594"/>
      <c r="V173" s="594"/>
      <c r="W173" s="594"/>
      <c r="X173" s="594"/>
      <c r="Y173" s="594"/>
      <c r="Z173" s="594"/>
      <c r="AA173" s="594"/>
      <c r="AB173" s="594"/>
      <c r="AC173" s="594"/>
      <c r="AD173" s="594"/>
      <c r="AE173" s="594"/>
      <c r="AF173" s="594"/>
      <c r="AG173" s="594"/>
      <c r="AH173" s="594"/>
      <c r="AI173" s="594"/>
      <c r="AJ173" s="594"/>
      <c r="AK173" s="594"/>
      <c r="AL173" s="594"/>
      <c r="AM173" s="595"/>
      <c r="AN173" s="623"/>
      <c r="AO173" s="594"/>
      <c r="AR173" s="594"/>
      <c r="AS173" s="594"/>
      <c r="AT173" s="594"/>
      <c r="AU173" s="594"/>
      <c r="AV173" s="594"/>
      <c r="AW173" s="594"/>
      <c r="AX173" s="594"/>
      <c r="AY173" s="594"/>
      <c r="AZ173" s="594"/>
      <c r="BA173" s="594"/>
      <c r="BB173" s="594"/>
      <c r="BC173" s="594"/>
      <c r="BD173" s="594"/>
      <c r="BE173" s="594"/>
      <c r="BF173" s="594"/>
      <c r="BG173" s="594"/>
      <c r="BH173" s="594"/>
      <c r="BI173" s="594"/>
      <c r="BJ173" s="594"/>
      <c r="BK173" s="594"/>
      <c r="BL173" s="594"/>
      <c r="BM173" s="594"/>
      <c r="BN173" s="594"/>
      <c r="BO173" s="594"/>
      <c r="BP173" s="594"/>
      <c r="BQ173" s="594"/>
      <c r="BR173" s="594"/>
      <c r="BS173" s="594"/>
      <c r="BT173" s="594"/>
      <c r="BU173" s="594"/>
    </row>
    <row r="174" spans="1:73" s="576" customFormat="1" ht="12.75" customHeight="1" thickTop="1">
      <c r="A174" s="596"/>
      <c r="B174" s="597"/>
      <c r="C174" s="598"/>
      <c r="D174" s="598"/>
      <c r="E174" s="598"/>
      <c r="F174" s="598"/>
      <c r="G174" s="598"/>
      <c r="H174" s="598"/>
      <c r="I174" s="599"/>
      <c r="J174" s="599"/>
      <c r="K174" s="599"/>
      <c r="L174" s="599"/>
      <c r="M174" s="599"/>
      <c r="N174" s="599"/>
      <c r="O174" s="599"/>
      <c r="P174" s="599"/>
      <c r="Q174" s="599"/>
      <c r="R174" s="596"/>
      <c r="S174" s="565"/>
      <c r="T174" s="565"/>
      <c r="U174" s="565"/>
      <c r="V174" s="565"/>
      <c r="W174" s="565"/>
      <c r="X174" s="565"/>
      <c r="Y174" s="565"/>
      <c r="Z174" s="565"/>
      <c r="AA174" s="565"/>
      <c r="AB174" s="565"/>
      <c r="AC174" s="565"/>
      <c r="AD174" s="565"/>
      <c r="AE174" s="565"/>
      <c r="AF174" s="596"/>
      <c r="AG174" s="565"/>
      <c r="AH174" s="565"/>
      <c r="AI174" s="565"/>
      <c r="AJ174" s="565"/>
      <c r="AN174" s="623"/>
      <c r="AP174" s="638" t="s">
        <v>1533</v>
      </c>
      <c r="AQ174" s="638">
        <v>0</v>
      </c>
    </row>
    <row r="175" spans="1:73" s="576" customFormat="1" ht="12.75" customHeight="1">
      <c r="A175" s="564" t="s">
        <v>1534</v>
      </c>
      <c r="B175" s="564" t="s">
        <v>1988</v>
      </c>
      <c r="C175" s="639"/>
      <c r="D175" s="640"/>
      <c r="E175" s="640"/>
      <c r="F175" s="640"/>
      <c r="G175" s="640"/>
      <c r="H175" s="640"/>
      <c r="I175" s="640"/>
      <c r="J175" s="640"/>
      <c r="K175" s="562"/>
      <c r="L175" s="562"/>
      <c r="M175" s="562"/>
      <c r="N175" s="562"/>
      <c r="O175" s="562"/>
      <c r="P175" s="562"/>
      <c r="Q175" s="562"/>
      <c r="R175" s="562"/>
      <c r="S175" s="562"/>
      <c r="T175" s="562"/>
      <c r="U175" s="562"/>
      <c r="V175" s="562"/>
      <c r="W175" s="562"/>
      <c r="X175" s="562"/>
      <c r="Y175" s="641"/>
      <c r="Z175" s="641"/>
      <c r="AA175" s="641"/>
      <c r="AB175" s="641"/>
      <c r="AC175" s="562"/>
      <c r="AD175" s="562"/>
      <c r="AE175" s="1922" t="s">
        <v>1487</v>
      </c>
      <c r="AF175" s="1922"/>
      <c r="AG175" s="1922"/>
      <c r="AH175" s="1922"/>
      <c r="AI175" s="1922"/>
      <c r="AJ175" s="1922"/>
      <c r="AK175" s="1922"/>
      <c r="AL175" s="617"/>
      <c r="AN175" s="623"/>
      <c r="AP175" s="576" t="s">
        <v>1102</v>
      </c>
      <c r="AQ175" s="576">
        <v>10</v>
      </c>
    </row>
    <row r="176" spans="1:73" s="576" customFormat="1" ht="12.75" customHeight="1">
      <c r="A176" s="564"/>
      <c r="B176" s="642"/>
      <c r="C176" s="643"/>
      <c r="D176" s="640"/>
      <c r="E176" s="640"/>
      <c r="F176" s="640"/>
      <c r="G176" s="640"/>
      <c r="H176" s="562"/>
      <c r="I176" s="562"/>
      <c r="J176" s="562"/>
      <c r="K176" s="562"/>
      <c r="L176" s="562"/>
      <c r="M176" s="562"/>
      <c r="N176" s="562"/>
      <c r="O176" s="562"/>
      <c r="P176" s="562"/>
      <c r="Q176" s="562"/>
      <c r="R176" s="641"/>
      <c r="S176" s="641"/>
      <c r="T176" s="641"/>
      <c r="U176" s="641"/>
      <c r="V176" s="641"/>
      <c r="W176" s="641"/>
      <c r="X176" s="641"/>
      <c r="Y176" s="641"/>
      <c r="Z176" s="641"/>
      <c r="AA176" s="641"/>
      <c r="AB176" s="641"/>
      <c r="AC176" s="617"/>
      <c r="AD176" s="617"/>
      <c r="AE176" s="562"/>
      <c r="AF176" s="562"/>
      <c r="AG176" s="562"/>
      <c r="AH176" s="562"/>
      <c r="AI176" s="562"/>
      <c r="AJ176" s="562"/>
      <c r="AK176" s="562"/>
      <c r="AL176" s="562"/>
      <c r="AN176" s="623"/>
      <c r="AP176" s="576" t="s">
        <v>1535</v>
      </c>
      <c r="AQ176" s="576">
        <v>10</v>
      </c>
    </row>
    <row r="177" spans="1:45" s="576" customFormat="1" ht="12.75" customHeight="1">
      <c r="A177" s="562"/>
      <c r="B177" s="1978" t="s">
        <v>1102</v>
      </c>
      <c r="C177" s="1978"/>
      <c r="D177" s="1978"/>
      <c r="E177" s="1978"/>
      <c r="F177" s="1978"/>
      <c r="G177" s="1978"/>
      <c r="H177" s="1978"/>
      <c r="I177" s="1978"/>
      <c r="J177" s="1978"/>
      <c r="K177" s="1978"/>
      <c r="L177" s="1978"/>
      <c r="M177" s="1978"/>
      <c r="N177" s="1978"/>
      <c r="O177" s="1978"/>
      <c r="P177" s="1978"/>
      <c r="Q177" s="1978"/>
      <c r="R177" s="1978"/>
      <c r="S177" s="1978"/>
      <c r="T177" s="1978"/>
      <c r="U177" s="1978"/>
      <c r="V177" s="1978"/>
      <c r="W177" s="1978"/>
      <c r="X177" s="1978"/>
      <c r="Y177" s="1978"/>
      <c r="Z177" s="1978"/>
      <c r="AA177" s="1978"/>
      <c r="AB177" s="1978"/>
      <c r="AC177" s="1978"/>
      <c r="AD177" s="562"/>
      <c r="AE177" s="562"/>
      <c r="AF177" s="1954" t="s">
        <v>1536</v>
      </c>
      <c r="AG177" s="1954"/>
      <c r="AH177" s="1954"/>
      <c r="AI177" s="1954"/>
      <c r="AJ177" s="1954"/>
      <c r="AK177" s="1954"/>
      <c r="AL177" s="1954"/>
      <c r="AN177" s="623"/>
      <c r="AP177" s="576" t="s">
        <v>1104</v>
      </c>
      <c r="AQ177" s="576">
        <v>10</v>
      </c>
    </row>
    <row r="178" spans="1:45" s="576" customFormat="1" ht="12.75" customHeight="1">
      <c r="A178" s="562"/>
      <c r="B178" s="1979" t="s">
        <v>1987</v>
      </c>
      <c r="C178" s="1979"/>
      <c r="D178" s="1979"/>
      <c r="E178" s="1979"/>
      <c r="F178" s="1979"/>
      <c r="G178" s="1979"/>
      <c r="H178" s="1979"/>
      <c r="I178" s="1979"/>
      <c r="J178" s="1979"/>
      <c r="K178" s="1979"/>
      <c r="L178" s="1979"/>
      <c r="M178" s="1979"/>
      <c r="N178" s="1979"/>
      <c r="O178" s="1979"/>
      <c r="P178" s="1979"/>
      <c r="Q178" s="1979"/>
      <c r="R178" s="1979"/>
      <c r="S178" s="1979"/>
      <c r="T178" s="1955" t="s">
        <v>601</v>
      </c>
      <c r="U178" s="1955"/>
      <c r="V178" s="1955"/>
      <c r="W178" s="1955"/>
      <c r="X178" s="1955"/>
      <c r="Y178" s="1955"/>
      <c r="Z178" s="1955"/>
      <c r="AA178" s="1955"/>
      <c r="AB178" s="1955"/>
      <c r="AC178" s="1955"/>
      <c r="AD178" s="562"/>
      <c r="AE178" s="562"/>
      <c r="AF178" s="562"/>
      <c r="AG178" s="562"/>
      <c r="AH178" s="562"/>
      <c r="AI178" s="562"/>
      <c r="AJ178" s="569"/>
      <c r="AK178" s="621"/>
      <c r="AL178" s="621"/>
      <c r="AM178" s="621"/>
      <c r="AN178" s="623"/>
      <c r="AP178" s="576" t="s">
        <v>1537</v>
      </c>
      <c r="AQ178" s="576">
        <v>10</v>
      </c>
      <c r="AS178" s="576" t="s">
        <v>601</v>
      </c>
    </row>
    <row r="179" spans="1:45" s="576" customFormat="1" ht="12.75" customHeight="1">
      <c r="A179" s="562"/>
      <c r="B179" s="631"/>
      <c r="C179" s="631"/>
      <c r="D179" s="631"/>
      <c r="E179" s="631"/>
      <c r="F179" s="631"/>
      <c r="G179" s="631"/>
      <c r="H179" s="631"/>
      <c r="I179" s="631"/>
      <c r="J179" s="631"/>
      <c r="K179" s="631"/>
      <c r="L179" s="631"/>
      <c r="M179" s="631"/>
      <c r="N179" s="631"/>
      <c r="O179" s="631"/>
      <c r="P179" s="631"/>
      <c r="Q179" s="631"/>
      <c r="R179" s="631"/>
      <c r="S179" s="631"/>
      <c r="T179" s="631"/>
      <c r="U179" s="631"/>
      <c r="V179" s="631"/>
      <c r="W179" s="631"/>
      <c r="X179" s="631"/>
      <c r="Y179" s="631"/>
      <c r="Z179" s="631"/>
      <c r="AA179" s="631"/>
      <c r="AB179" s="631"/>
      <c r="AC179" s="631"/>
      <c r="AD179" s="631"/>
      <c r="AE179" s="562"/>
      <c r="AF179" s="562"/>
      <c r="AG179" s="562"/>
      <c r="AH179" s="562"/>
      <c r="AI179" s="562"/>
      <c r="AJ179" s="569"/>
      <c r="AK179" s="621"/>
      <c r="AL179" s="621"/>
      <c r="AM179" s="644"/>
      <c r="AP179" s="576" t="s">
        <v>1540</v>
      </c>
      <c r="AQ179" s="576">
        <v>10</v>
      </c>
      <c r="AS179" s="576" t="s">
        <v>1538</v>
      </c>
    </row>
    <row r="180" spans="1:45" s="576" customFormat="1" ht="12.75" customHeight="1">
      <c r="A180" s="632"/>
      <c r="B180" s="590"/>
      <c r="C180" s="590"/>
      <c r="D180" s="590"/>
      <c r="E180" s="590"/>
      <c r="F180" s="590"/>
      <c r="G180" s="590"/>
      <c r="H180" s="590"/>
      <c r="I180" s="590"/>
      <c r="J180" s="590"/>
      <c r="K180" s="590"/>
      <c r="L180" s="590"/>
      <c r="M180" s="590"/>
      <c r="N180" s="590"/>
      <c r="O180" s="590"/>
      <c r="P180" s="590"/>
      <c r="Q180" s="590"/>
      <c r="R180" s="590"/>
      <c r="S180" s="590"/>
      <c r="T180" s="590"/>
      <c r="U180" s="590"/>
      <c r="V180" s="590"/>
      <c r="W180" s="590"/>
      <c r="X180" s="590"/>
      <c r="Y180" s="590"/>
      <c r="Z180" s="590"/>
      <c r="AA180" s="590"/>
      <c r="AB180" s="590"/>
      <c r="AC180" s="590"/>
      <c r="AD180" s="590"/>
      <c r="AE180" s="590"/>
      <c r="AF180" s="590"/>
      <c r="AG180" s="590"/>
      <c r="AH180" s="590"/>
      <c r="AI180" s="591"/>
      <c r="AJ180" s="591" t="s">
        <v>1539</v>
      </c>
      <c r="AK180" s="1987">
        <f>IF(AK78&gt;0,VLOOKUP($B$177,AP174:AQ180,2,FALSE),0)</f>
        <v>10</v>
      </c>
      <c r="AL180" s="1988"/>
      <c r="AM180" s="1989"/>
      <c r="AN180" s="561"/>
      <c r="AP180" s="576" t="s">
        <v>1542</v>
      </c>
      <c r="AQ180" s="576">
        <v>10</v>
      </c>
      <c r="AS180" s="576" t="s">
        <v>1541</v>
      </c>
    </row>
    <row r="181" spans="1:45" s="576" customFormat="1" ht="12.75" customHeight="1" thickBot="1">
      <c r="A181" s="645"/>
      <c r="B181" s="645"/>
      <c r="C181" s="646"/>
      <c r="D181" s="647"/>
      <c r="E181" s="647"/>
      <c r="F181" s="647"/>
      <c r="G181" s="647"/>
      <c r="H181" s="647"/>
      <c r="I181" s="647"/>
      <c r="J181" s="647"/>
      <c r="K181" s="647"/>
      <c r="L181" s="647"/>
      <c r="M181" s="647"/>
      <c r="N181" s="647"/>
      <c r="O181" s="647"/>
      <c r="P181" s="647"/>
      <c r="Q181" s="647"/>
      <c r="R181" s="647"/>
      <c r="S181" s="647"/>
      <c r="T181" s="647"/>
      <c r="U181" s="647"/>
      <c r="V181" s="647"/>
      <c r="W181" s="647"/>
      <c r="X181" s="647"/>
      <c r="Y181" s="647"/>
      <c r="Z181" s="647"/>
      <c r="AA181" s="647"/>
      <c r="AB181" s="647"/>
      <c r="AC181" s="647"/>
      <c r="AD181" s="647"/>
      <c r="AE181" s="647"/>
      <c r="AF181" s="647"/>
      <c r="AG181" s="647"/>
      <c r="AH181" s="647"/>
      <c r="AI181" s="647"/>
      <c r="AJ181" s="647"/>
      <c r="AK181" s="647"/>
      <c r="AL181" s="647"/>
      <c r="AM181" s="647"/>
      <c r="AN181" s="623"/>
    </row>
    <row r="182" spans="1:45" s="576" customFormat="1" ht="12.75" customHeight="1" thickTop="1">
      <c r="A182" s="596"/>
      <c r="B182" s="597"/>
      <c r="C182" s="598"/>
      <c r="D182" s="598"/>
      <c r="E182" s="598"/>
      <c r="F182" s="598"/>
      <c r="G182" s="598"/>
      <c r="H182" s="598"/>
      <c r="I182" s="599"/>
      <c r="J182" s="599"/>
      <c r="K182" s="599"/>
      <c r="L182" s="599"/>
      <c r="M182" s="599"/>
      <c r="N182" s="599"/>
      <c r="O182" s="599"/>
      <c r="P182" s="599"/>
      <c r="Q182" s="599"/>
      <c r="R182" s="596"/>
      <c r="S182" s="565"/>
      <c r="T182" s="565"/>
      <c r="U182" s="565"/>
      <c r="V182" s="565"/>
      <c r="W182" s="565"/>
      <c r="X182" s="565"/>
      <c r="Y182" s="565"/>
      <c r="Z182" s="565"/>
      <c r="AA182" s="565"/>
      <c r="AB182" s="565"/>
      <c r="AC182" s="565"/>
      <c r="AD182" s="565"/>
      <c r="AE182" s="565"/>
      <c r="AF182" s="596"/>
      <c r="AG182" s="565"/>
      <c r="AH182" s="565"/>
      <c r="AI182" s="565"/>
      <c r="AJ182" s="565"/>
      <c r="AN182" s="623"/>
    </row>
    <row r="183" spans="1:45" ht="13">
      <c r="A183" s="564" t="s">
        <v>1543</v>
      </c>
      <c r="B183" s="564" t="s">
        <v>1544</v>
      </c>
      <c r="C183" s="639"/>
      <c r="D183" s="640"/>
      <c r="E183" s="640"/>
      <c r="F183" s="640"/>
      <c r="G183" s="640"/>
      <c r="H183" s="640"/>
      <c r="I183" s="640"/>
      <c r="J183" s="640"/>
      <c r="K183" s="576"/>
      <c r="L183" s="576"/>
      <c r="M183" s="576"/>
      <c r="N183" s="576"/>
      <c r="O183" s="576"/>
      <c r="P183" s="576"/>
      <c r="Q183" s="576"/>
      <c r="R183" s="576"/>
      <c r="S183" s="576"/>
      <c r="T183" s="576"/>
      <c r="U183" s="576"/>
      <c r="V183" s="576"/>
      <c r="W183" s="576"/>
      <c r="X183" s="576"/>
      <c r="Y183" s="641"/>
      <c r="Z183" s="641"/>
      <c r="AA183" s="641"/>
      <c r="AB183" s="641"/>
      <c r="AC183" s="576"/>
      <c r="AD183" s="576"/>
      <c r="AE183" s="1922" t="s">
        <v>1545</v>
      </c>
      <c r="AF183" s="1922"/>
      <c r="AG183" s="1922"/>
      <c r="AH183" s="1922"/>
      <c r="AI183" s="1922"/>
      <c r="AJ183" s="1922"/>
      <c r="AK183" s="1922"/>
    </row>
    <row r="184" spans="1:45" ht="13">
      <c r="A184" s="564"/>
      <c r="B184" s="564"/>
      <c r="C184" s="639"/>
      <c r="D184" s="640"/>
      <c r="E184" s="640"/>
      <c r="F184" s="640"/>
      <c r="G184" s="640"/>
      <c r="H184" s="640"/>
      <c r="I184" s="640"/>
      <c r="J184" s="640"/>
      <c r="K184" s="562"/>
      <c r="L184" s="562"/>
      <c r="M184" s="562"/>
      <c r="N184" s="562"/>
      <c r="O184" s="562"/>
      <c r="P184" s="562"/>
      <c r="Q184" s="562"/>
      <c r="R184" s="562"/>
      <c r="S184" s="562"/>
      <c r="T184" s="562"/>
      <c r="U184" s="562"/>
      <c r="V184" s="562"/>
      <c r="W184" s="562"/>
      <c r="X184" s="562"/>
      <c r="Y184" s="641"/>
      <c r="Z184" s="641"/>
      <c r="AA184" s="641"/>
      <c r="AB184" s="641"/>
      <c r="AC184" s="562"/>
      <c r="AD184" s="562"/>
      <c r="AE184" s="569"/>
      <c r="AF184" s="569"/>
      <c r="AG184" s="569"/>
      <c r="AH184" s="569"/>
      <c r="AI184" s="569"/>
      <c r="AJ184" s="569"/>
      <c r="AK184" s="569"/>
    </row>
    <row r="185" spans="1:45" ht="13">
      <c r="A185" s="564"/>
      <c r="B185" s="871" t="s">
        <v>1767</v>
      </c>
      <c r="C185" s="639"/>
      <c r="D185" s="640"/>
      <c r="E185" s="640"/>
      <c r="F185" s="640"/>
      <c r="G185" s="640"/>
      <c r="H185" s="640"/>
      <c r="I185" s="640"/>
      <c r="J185" s="640"/>
      <c r="K185" s="562"/>
      <c r="L185" s="562"/>
      <c r="M185" s="562"/>
      <c r="N185" s="562"/>
      <c r="O185" s="562"/>
      <c r="P185" s="562"/>
      <c r="Q185" s="562"/>
      <c r="R185" s="562"/>
      <c r="S185" s="562"/>
      <c r="T185" s="562"/>
      <c r="U185" s="562"/>
      <c r="V185" s="562"/>
      <c r="W185" s="562"/>
      <c r="X185" s="562"/>
      <c r="Y185" s="641"/>
      <c r="Z185" s="641"/>
      <c r="AA185" s="641"/>
      <c r="AB185" s="641"/>
      <c r="AC185" s="562"/>
      <c r="AD185" s="562"/>
      <c r="AE185" s="569"/>
      <c r="AF185" s="569"/>
      <c r="AG185" s="569"/>
      <c r="AH185" s="569"/>
      <c r="AI185" s="569"/>
      <c r="AJ185" s="569"/>
      <c r="AK185" s="569"/>
    </row>
    <row r="186" spans="1:45">
      <c r="A186" s="631"/>
      <c r="C186" s="689"/>
      <c r="D186" s="854"/>
      <c r="E186" s="854"/>
      <c r="F186" s="854"/>
      <c r="G186" s="854"/>
      <c r="H186" s="854"/>
      <c r="I186" s="854"/>
      <c r="J186" s="854"/>
      <c r="K186" s="562"/>
      <c r="L186" s="562"/>
      <c r="M186" s="562"/>
      <c r="N186" s="562"/>
      <c r="O186" s="562"/>
      <c r="P186" s="562"/>
      <c r="Q186" s="562"/>
      <c r="R186" s="562"/>
      <c r="S186" s="562"/>
      <c r="T186" s="562"/>
      <c r="U186" s="562"/>
      <c r="V186" s="562"/>
      <c r="W186" s="562"/>
      <c r="X186" s="562"/>
      <c r="Y186" s="669"/>
      <c r="Z186" s="669"/>
      <c r="AA186" s="669"/>
      <c r="AB186" s="669"/>
      <c r="AC186" s="562"/>
      <c r="AD186" s="562"/>
      <c r="AE186" s="636"/>
      <c r="AF186" s="636"/>
      <c r="AG186" s="636"/>
      <c r="AH186" s="636"/>
      <c r="AI186" s="636"/>
      <c r="AJ186" s="636"/>
      <c r="AK186" s="636"/>
    </row>
    <row r="187" spans="1:45">
      <c r="A187" s="631"/>
      <c r="B187" s="872" t="s">
        <v>1803</v>
      </c>
      <c r="C187" s="689"/>
      <c r="D187" s="854"/>
      <c r="E187" s="854"/>
      <c r="F187" s="854"/>
      <c r="G187" s="854"/>
      <c r="H187" s="854"/>
      <c r="I187" s="854"/>
      <c r="J187" s="854"/>
      <c r="K187" s="562"/>
      <c r="L187" s="562"/>
      <c r="M187" s="562"/>
      <c r="N187" s="562"/>
      <c r="O187" s="562"/>
      <c r="P187" s="562"/>
      <c r="Q187" s="562"/>
      <c r="R187" s="562"/>
      <c r="S187" s="562"/>
      <c r="T187" s="562"/>
      <c r="U187" s="562"/>
      <c r="V187" s="562"/>
      <c r="W187" s="562"/>
      <c r="X187" s="562"/>
      <c r="Y187" s="669"/>
      <c r="Z187" s="669"/>
      <c r="AA187" s="669"/>
      <c r="AB187" s="669"/>
      <c r="AC187" s="562"/>
      <c r="AD187" s="562"/>
      <c r="AE187" s="636"/>
      <c r="AF187" s="636"/>
      <c r="AG187" s="636"/>
      <c r="AH187" s="636"/>
      <c r="AI187" s="636"/>
      <c r="AJ187" s="636"/>
      <c r="AK187" s="636"/>
    </row>
    <row r="188" spans="1:45">
      <c r="A188" s="631"/>
      <c r="B188" s="1966" t="str">
        <f>+Application!C625</f>
        <v>HCD - AHSC</v>
      </c>
      <c r="C188" s="1966"/>
      <c r="D188" s="1966"/>
      <c r="E188" s="1966"/>
      <c r="F188" s="1966"/>
      <c r="G188" s="1966"/>
      <c r="H188" s="1966"/>
      <c r="I188" s="1966"/>
      <c r="J188" s="1966"/>
      <c r="K188" s="1966"/>
      <c r="L188" s="1966"/>
      <c r="M188" s="1966"/>
      <c r="N188" s="1966"/>
      <c r="O188" s="1966"/>
      <c r="P188" s="1966"/>
      <c r="Q188" s="1966"/>
      <c r="R188" s="1966"/>
      <c r="S188" s="1966"/>
      <c r="T188" s="1966"/>
      <c r="U188" s="1966"/>
      <c r="V188" s="1966"/>
      <c r="W188" s="1966"/>
      <c r="X188" s="1966"/>
      <c r="Y188" s="1966"/>
      <c r="Z188" s="1966"/>
      <c r="AA188" s="1966"/>
      <c r="AB188" s="1966"/>
      <c r="AC188" s="873"/>
      <c r="AD188" s="1967">
        <f>+Application!AO625</f>
        <v>11700000</v>
      </c>
      <c r="AE188" s="1967"/>
      <c r="AF188" s="1967"/>
      <c r="AG188" s="1967"/>
      <c r="AH188" s="1967"/>
      <c r="AI188" s="1967"/>
      <c r="AJ188" s="1967"/>
      <c r="AK188" s="636"/>
    </row>
    <row r="189" spans="1:45">
      <c r="A189" s="631"/>
      <c r="B189" s="1966" t="str">
        <f>+Application!C626</f>
        <v>San Mateo County Loans</v>
      </c>
      <c r="C189" s="1966"/>
      <c r="D189" s="1966"/>
      <c r="E189" s="1966"/>
      <c r="F189" s="1966"/>
      <c r="G189" s="1966"/>
      <c r="H189" s="1966"/>
      <c r="I189" s="1966"/>
      <c r="J189" s="1966"/>
      <c r="K189" s="1966"/>
      <c r="L189" s="1966"/>
      <c r="M189" s="1966"/>
      <c r="N189" s="1966"/>
      <c r="O189" s="1966"/>
      <c r="P189" s="1966"/>
      <c r="Q189" s="1966"/>
      <c r="R189" s="1966"/>
      <c r="S189" s="1966"/>
      <c r="T189" s="1966"/>
      <c r="U189" s="1966"/>
      <c r="V189" s="1966"/>
      <c r="W189" s="1966"/>
      <c r="X189" s="1966"/>
      <c r="Y189" s="1966"/>
      <c r="Z189" s="1966"/>
      <c r="AA189" s="1966"/>
      <c r="AB189" s="1966"/>
      <c r="AC189" s="873"/>
      <c r="AD189" s="1967">
        <f>+Application!AO626</f>
        <v>21425087</v>
      </c>
      <c r="AE189" s="1967"/>
      <c r="AF189" s="1967"/>
      <c r="AG189" s="1967"/>
      <c r="AH189" s="1967"/>
      <c r="AI189" s="1967"/>
      <c r="AJ189" s="1967"/>
      <c r="AK189" s="636"/>
    </row>
    <row r="190" spans="1:45">
      <c r="A190" s="631"/>
      <c r="B190" s="1966"/>
      <c r="C190" s="1966"/>
      <c r="D190" s="1966"/>
      <c r="E190" s="1966"/>
      <c r="F190" s="1966"/>
      <c r="G190" s="1966"/>
      <c r="H190" s="1966"/>
      <c r="I190" s="1966"/>
      <c r="J190" s="1966"/>
      <c r="K190" s="1966"/>
      <c r="L190" s="1966"/>
      <c r="M190" s="1966"/>
      <c r="N190" s="1966"/>
      <c r="O190" s="1966"/>
      <c r="P190" s="1966"/>
      <c r="Q190" s="1966"/>
      <c r="R190" s="1966"/>
      <c r="S190" s="1966"/>
      <c r="T190" s="1966"/>
      <c r="U190" s="1966"/>
      <c r="V190" s="1966"/>
      <c r="W190" s="1966"/>
      <c r="X190" s="1966"/>
      <c r="Y190" s="1966"/>
      <c r="Z190" s="1966"/>
      <c r="AA190" s="1966"/>
      <c r="AB190" s="1966"/>
      <c r="AC190" s="873"/>
      <c r="AD190" s="1967"/>
      <c r="AE190" s="1967"/>
      <c r="AF190" s="1967"/>
      <c r="AG190" s="1967"/>
      <c r="AH190" s="1967"/>
      <c r="AI190" s="1967"/>
      <c r="AJ190" s="1967"/>
      <c r="AK190" s="636"/>
    </row>
    <row r="191" spans="1:45">
      <c r="A191" s="631"/>
      <c r="B191" s="1966"/>
      <c r="C191" s="1966"/>
      <c r="D191" s="1966"/>
      <c r="E191" s="1966"/>
      <c r="F191" s="1966"/>
      <c r="G191" s="1966"/>
      <c r="H191" s="1966"/>
      <c r="I191" s="1966"/>
      <c r="J191" s="1966"/>
      <c r="K191" s="1966"/>
      <c r="L191" s="1966"/>
      <c r="M191" s="1966"/>
      <c r="N191" s="1966"/>
      <c r="O191" s="1966"/>
      <c r="P191" s="1966"/>
      <c r="Q191" s="1966"/>
      <c r="R191" s="1966"/>
      <c r="S191" s="1966"/>
      <c r="T191" s="1966"/>
      <c r="U191" s="1966"/>
      <c r="V191" s="1966"/>
      <c r="W191" s="1966"/>
      <c r="X191" s="1966"/>
      <c r="Y191" s="1966"/>
      <c r="Z191" s="1966"/>
      <c r="AA191" s="1966"/>
      <c r="AB191" s="1966"/>
      <c r="AC191" s="873"/>
      <c r="AD191" s="1967"/>
      <c r="AE191" s="1967"/>
      <c r="AF191" s="1967"/>
      <c r="AG191" s="1967"/>
      <c r="AH191" s="1967"/>
      <c r="AI191" s="1967"/>
      <c r="AJ191" s="1967"/>
      <c r="AK191" s="636"/>
    </row>
    <row r="192" spans="1:45">
      <c r="A192" s="631"/>
      <c r="B192" s="1966"/>
      <c r="C192" s="1966"/>
      <c r="D192" s="1966"/>
      <c r="E192" s="1966"/>
      <c r="F192" s="1966"/>
      <c r="G192" s="1966"/>
      <c r="H192" s="1966"/>
      <c r="I192" s="1966"/>
      <c r="J192" s="1966"/>
      <c r="K192" s="1966"/>
      <c r="L192" s="1966"/>
      <c r="M192" s="1966"/>
      <c r="N192" s="1966"/>
      <c r="O192" s="1966"/>
      <c r="P192" s="1966"/>
      <c r="Q192" s="1966"/>
      <c r="R192" s="1966"/>
      <c r="S192" s="1966"/>
      <c r="T192" s="1966"/>
      <c r="U192" s="1966"/>
      <c r="V192" s="1966"/>
      <c r="W192" s="1966"/>
      <c r="X192" s="1966"/>
      <c r="Y192" s="1966"/>
      <c r="Z192" s="1966"/>
      <c r="AA192" s="1966"/>
      <c r="AB192" s="1966"/>
      <c r="AC192" s="873"/>
      <c r="AD192" s="1967"/>
      <c r="AE192" s="1967"/>
      <c r="AF192" s="1967"/>
      <c r="AG192" s="1967"/>
      <c r="AH192" s="1967"/>
      <c r="AI192" s="1967"/>
      <c r="AJ192" s="1967"/>
      <c r="AK192" s="636"/>
    </row>
    <row r="193" spans="1:37">
      <c r="A193" s="631"/>
      <c r="B193" s="1966"/>
      <c r="C193" s="1966"/>
      <c r="D193" s="1966"/>
      <c r="E193" s="1966"/>
      <c r="F193" s="1966"/>
      <c r="G193" s="1966"/>
      <c r="H193" s="1966"/>
      <c r="I193" s="1966"/>
      <c r="J193" s="1966"/>
      <c r="K193" s="1966"/>
      <c r="L193" s="1966"/>
      <c r="M193" s="1966"/>
      <c r="N193" s="1966"/>
      <c r="O193" s="1966"/>
      <c r="P193" s="1966"/>
      <c r="Q193" s="1966"/>
      <c r="R193" s="1966"/>
      <c r="S193" s="1966"/>
      <c r="T193" s="1966"/>
      <c r="U193" s="1966"/>
      <c r="V193" s="1966"/>
      <c r="W193" s="1966"/>
      <c r="X193" s="1966"/>
      <c r="Y193" s="1966"/>
      <c r="Z193" s="1966"/>
      <c r="AA193" s="1966"/>
      <c r="AB193" s="1966"/>
      <c r="AC193" s="873"/>
      <c r="AD193" s="1967"/>
      <c r="AE193" s="1967"/>
      <c r="AF193" s="1967"/>
      <c r="AG193" s="1967"/>
      <c r="AH193" s="1967"/>
      <c r="AI193" s="1967"/>
      <c r="AJ193" s="1967"/>
      <c r="AK193" s="636"/>
    </row>
    <row r="194" spans="1:37">
      <c r="A194" s="631"/>
      <c r="B194" s="1966"/>
      <c r="C194" s="1966"/>
      <c r="D194" s="1966"/>
      <c r="E194" s="1966"/>
      <c r="F194" s="1966"/>
      <c r="G194" s="1966"/>
      <c r="H194" s="1966"/>
      <c r="I194" s="1966"/>
      <c r="J194" s="1966"/>
      <c r="K194" s="1966"/>
      <c r="L194" s="1966"/>
      <c r="M194" s="1966"/>
      <c r="N194" s="1966"/>
      <c r="O194" s="1966"/>
      <c r="P194" s="1966"/>
      <c r="Q194" s="1966"/>
      <c r="R194" s="1966"/>
      <c r="S194" s="1966"/>
      <c r="T194" s="1966"/>
      <c r="U194" s="1966"/>
      <c r="V194" s="1966"/>
      <c r="W194" s="1966"/>
      <c r="X194" s="1966"/>
      <c r="Y194" s="1966"/>
      <c r="Z194" s="1966"/>
      <c r="AA194" s="1966"/>
      <c r="AB194" s="1966"/>
      <c r="AC194" s="873"/>
      <c r="AD194" s="1967"/>
      <c r="AE194" s="1967"/>
      <c r="AF194" s="1967"/>
      <c r="AG194" s="1967"/>
      <c r="AH194" s="1967"/>
      <c r="AI194" s="1967"/>
      <c r="AJ194" s="1967"/>
      <c r="AK194" s="636"/>
    </row>
    <row r="195" spans="1:37">
      <c r="A195" s="631"/>
      <c r="B195" s="1966"/>
      <c r="C195" s="1966"/>
      <c r="D195" s="1966"/>
      <c r="E195" s="1966"/>
      <c r="F195" s="1966"/>
      <c r="G195" s="1966"/>
      <c r="H195" s="1966"/>
      <c r="I195" s="1966"/>
      <c r="J195" s="1966"/>
      <c r="K195" s="1966"/>
      <c r="L195" s="1966"/>
      <c r="M195" s="1966"/>
      <c r="N195" s="1966"/>
      <c r="O195" s="1966"/>
      <c r="P195" s="1966"/>
      <c r="Q195" s="1966"/>
      <c r="R195" s="1966"/>
      <c r="S195" s="1966"/>
      <c r="T195" s="1966"/>
      <c r="U195" s="1966"/>
      <c r="V195" s="1966"/>
      <c r="W195" s="1966"/>
      <c r="X195" s="1966"/>
      <c r="Y195" s="1966"/>
      <c r="Z195" s="1966"/>
      <c r="AA195" s="1966"/>
      <c r="AB195" s="1966"/>
      <c r="AC195" s="873"/>
      <c r="AD195" s="1967"/>
      <c r="AE195" s="1967"/>
      <c r="AF195" s="1967"/>
      <c r="AG195" s="1967"/>
      <c r="AH195" s="1967"/>
      <c r="AI195" s="1967"/>
      <c r="AJ195" s="1967"/>
      <c r="AK195" s="636"/>
    </row>
    <row r="196" spans="1:37">
      <c r="A196" s="631"/>
      <c r="B196" s="1966"/>
      <c r="C196" s="1966"/>
      <c r="D196" s="1966"/>
      <c r="E196" s="1966"/>
      <c r="F196" s="1966"/>
      <c r="G196" s="1966"/>
      <c r="H196" s="1966"/>
      <c r="I196" s="1966"/>
      <c r="J196" s="1966"/>
      <c r="K196" s="1966"/>
      <c r="L196" s="1966"/>
      <c r="M196" s="1966"/>
      <c r="N196" s="1966"/>
      <c r="O196" s="1966"/>
      <c r="P196" s="1966"/>
      <c r="Q196" s="1966"/>
      <c r="R196" s="1966"/>
      <c r="S196" s="1966"/>
      <c r="T196" s="1966"/>
      <c r="U196" s="1966"/>
      <c r="V196" s="1966"/>
      <c r="W196" s="1966"/>
      <c r="X196" s="1966"/>
      <c r="Y196" s="1966"/>
      <c r="Z196" s="1966"/>
      <c r="AA196" s="1966"/>
      <c r="AB196" s="1966"/>
      <c r="AC196" s="873"/>
      <c r="AD196" s="1967"/>
      <c r="AE196" s="1967"/>
      <c r="AF196" s="1967"/>
      <c r="AG196" s="1967"/>
      <c r="AH196" s="1967"/>
      <c r="AI196" s="1967"/>
      <c r="AJ196" s="1967"/>
      <c r="AK196" s="636"/>
    </row>
    <row r="197" spans="1:37">
      <c r="A197" s="631"/>
      <c r="B197" s="1966"/>
      <c r="C197" s="1966"/>
      <c r="D197" s="1966"/>
      <c r="E197" s="1966"/>
      <c r="F197" s="1966"/>
      <c r="G197" s="1966"/>
      <c r="H197" s="1966"/>
      <c r="I197" s="1966"/>
      <c r="J197" s="1966"/>
      <c r="K197" s="1966"/>
      <c r="L197" s="1966"/>
      <c r="M197" s="1966"/>
      <c r="N197" s="1966"/>
      <c r="O197" s="1966"/>
      <c r="P197" s="1966"/>
      <c r="Q197" s="1966"/>
      <c r="R197" s="1966"/>
      <c r="S197" s="1966"/>
      <c r="T197" s="1966"/>
      <c r="U197" s="1966"/>
      <c r="V197" s="1966"/>
      <c r="W197" s="1966"/>
      <c r="X197" s="1966"/>
      <c r="Y197" s="1966"/>
      <c r="Z197" s="1966"/>
      <c r="AA197" s="1966"/>
      <c r="AB197" s="1966"/>
      <c r="AC197" s="873"/>
      <c r="AD197" s="1967"/>
      <c r="AE197" s="1967"/>
      <c r="AF197" s="1967"/>
      <c r="AG197" s="1967"/>
      <c r="AH197" s="1967"/>
      <c r="AI197" s="1967"/>
      <c r="AJ197" s="1967"/>
      <c r="AK197" s="636"/>
    </row>
    <row r="198" spans="1:37">
      <c r="A198" s="631"/>
      <c r="B198" s="2126" t="s">
        <v>1805</v>
      </c>
      <c r="C198" s="2126"/>
      <c r="D198" s="2126"/>
      <c r="E198" s="2126"/>
      <c r="F198" s="2126"/>
      <c r="G198" s="2126"/>
      <c r="H198" s="2126"/>
      <c r="I198" s="2126"/>
      <c r="J198" s="2126"/>
      <c r="K198" s="2126"/>
      <c r="L198" s="2126"/>
      <c r="M198" s="2126"/>
      <c r="N198" s="2126"/>
      <c r="O198" s="2126"/>
      <c r="P198" s="2126"/>
      <c r="Q198" s="2126"/>
      <c r="R198" s="2126"/>
      <c r="S198" s="2126"/>
      <c r="T198" s="2126"/>
      <c r="U198" s="2126"/>
      <c r="V198" s="2126"/>
      <c r="W198" s="2126"/>
      <c r="X198" s="2126"/>
      <c r="Y198" s="2126"/>
      <c r="Z198" s="2126"/>
      <c r="AA198" s="2126"/>
      <c r="AB198" s="2126"/>
      <c r="AC198" s="562"/>
      <c r="AD198" s="1994">
        <f>AB249</f>
        <v>0</v>
      </c>
      <c r="AE198" s="1994"/>
      <c r="AF198" s="1994"/>
      <c r="AG198" s="1994"/>
      <c r="AH198" s="1994"/>
      <c r="AI198" s="1994"/>
      <c r="AJ198" s="1994"/>
      <c r="AK198" s="636"/>
    </row>
    <row r="199" spans="1:37">
      <c r="A199" s="631"/>
      <c r="B199" s="2124" t="s">
        <v>1768</v>
      </c>
      <c r="C199" s="2124"/>
      <c r="D199" s="2124"/>
      <c r="E199" s="2124"/>
      <c r="F199" s="2124"/>
      <c r="G199" s="2124"/>
      <c r="H199" s="2124"/>
      <c r="I199" s="2124"/>
      <c r="J199" s="2124"/>
      <c r="K199" s="2124"/>
      <c r="L199" s="2124"/>
      <c r="M199" s="2124"/>
      <c r="N199" s="2124"/>
      <c r="O199" s="2124"/>
      <c r="P199" s="2124"/>
      <c r="Q199" s="2124"/>
      <c r="R199" s="2124"/>
      <c r="S199" s="2124"/>
      <c r="T199" s="2124"/>
      <c r="U199" s="2124"/>
      <c r="V199" s="2124"/>
      <c r="W199" s="2124"/>
      <c r="X199" s="2124"/>
      <c r="Y199" s="2124"/>
      <c r="Z199" s="2124"/>
      <c r="AA199" s="2124"/>
      <c r="AB199" s="2124"/>
      <c r="AC199" s="873"/>
      <c r="AD199" s="1995">
        <f>'Sources and Uses Budget'!B15</f>
        <v>0</v>
      </c>
      <c r="AE199" s="1995"/>
      <c r="AF199" s="1995"/>
      <c r="AG199" s="1995"/>
      <c r="AH199" s="1995"/>
      <c r="AI199" s="1995"/>
      <c r="AJ199" s="1995"/>
      <c r="AK199" s="636"/>
    </row>
    <row r="200" spans="1:37" ht="13">
      <c r="A200" s="631"/>
      <c r="B200" s="473"/>
      <c r="C200" s="473"/>
      <c r="D200" s="473"/>
      <c r="E200" s="473"/>
      <c r="F200" s="473"/>
      <c r="G200" s="473"/>
      <c r="H200" s="473"/>
      <c r="I200" s="473"/>
      <c r="J200" s="473"/>
      <c r="K200" s="473"/>
      <c r="L200" s="473"/>
      <c r="M200" s="473"/>
      <c r="N200" s="473"/>
      <c r="O200" s="473"/>
      <c r="P200" s="473"/>
      <c r="Q200" s="473"/>
      <c r="R200" s="473"/>
      <c r="S200" s="473"/>
      <c r="T200" s="473"/>
      <c r="U200" s="473"/>
      <c r="V200" s="473"/>
      <c r="W200" s="473"/>
      <c r="X200" s="473"/>
      <c r="Y200" s="473"/>
      <c r="Z200" s="473"/>
      <c r="AA200" s="473"/>
      <c r="AB200" s="649" t="s">
        <v>933</v>
      </c>
      <c r="AC200" s="562"/>
      <c r="AD200" s="1999">
        <f>SUM(AD188:AJ198)-AD199</f>
        <v>33125087</v>
      </c>
      <c r="AE200" s="1999"/>
      <c r="AF200" s="1999"/>
      <c r="AG200" s="1999"/>
      <c r="AH200" s="1999"/>
      <c r="AI200" s="1999"/>
      <c r="AJ200" s="1999"/>
      <c r="AK200" s="636"/>
    </row>
    <row r="201" spans="1:37">
      <c r="A201" s="631"/>
      <c r="B201" s="631"/>
      <c r="C201" s="689"/>
      <c r="D201" s="854"/>
      <c r="E201" s="854"/>
      <c r="F201" s="854"/>
      <c r="G201" s="854"/>
      <c r="H201" s="854"/>
      <c r="I201" s="854"/>
      <c r="J201" s="854"/>
      <c r="K201" s="562"/>
      <c r="L201" s="562"/>
      <c r="M201" s="562"/>
      <c r="N201" s="562"/>
      <c r="O201" s="562"/>
      <c r="P201" s="562"/>
      <c r="Q201" s="562"/>
      <c r="R201" s="562"/>
      <c r="S201" s="562"/>
      <c r="T201" s="562"/>
      <c r="U201" s="562"/>
      <c r="V201" s="562"/>
      <c r="W201" s="562"/>
      <c r="X201" s="562"/>
      <c r="Y201" s="669"/>
      <c r="Z201" s="669"/>
      <c r="AA201" s="669"/>
      <c r="AB201" s="669"/>
      <c r="AC201" s="562"/>
      <c r="AD201" s="562"/>
      <c r="AE201" s="636"/>
      <c r="AF201" s="636"/>
      <c r="AG201" s="636"/>
      <c r="AH201" s="636"/>
      <c r="AI201" s="636"/>
      <c r="AJ201" s="636"/>
      <c r="AK201" s="636"/>
    </row>
    <row r="202" spans="1:37" ht="13">
      <c r="A202" s="631"/>
      <c r="B202" s="524" t="s">
        <v>1773</v>
      </c>
      <c r="C202" s="689"/>
      <c r="D202" s="854"/>
      <c r="E202" s="854"/>
      <c r="F202" s="854"/>
      <c r="G202" s="854"/>
      <c r="H202" s="854"/>
      <c r="I202" s="854"/>
      <c r="J202" s="854"/>
      <c r="K202" s="562"/>
      <c r="L202" s="562"/>
      <c r="M202" s="562"/>
      <c r="N202" s="562"/>
      <c r="O202" s="562"/>
      <c r="P202" s="562"/>
      <c r="Q202" s="562"/>
      <c r="R202" s="562"/>
      <c r="S202" s="562"/>
      <c r="T202" s="562"/>
      <c r="U202" s="562"/>
      <c r="V202" s="562"/>
      <c r="W202" s="562"/>
      <c r="X202" s="562"/>
      <c r="Y202" s="669"/>
      <c r="Z202" s="669"/>
      <c r="AA202" s="669"/>
      <c r="AB202" s="669"/>
      <c r="AC202" s="562"/>
      <c r="AD202" s="562"/>
      <c r="AE202" s="636"/>
      <c r="AF202" s="636"/>
      <c r="AG202" s="636"/>
      <c r="AH202" s="636"/>
      <c r="AI202" s="636"/>
      <c r="AJ202" s="636"/>
      <c r="AK202" s="636"/>
    </row>
    <row r="203" spans="1:37">
      <c r="A203" s="631"/>
      <c r="B203" s="502" t="s">
        <v>1804</v>
      </c>
      <c r="C203" s="689"/>
      <c r="D203" s="854"/>
      <c r="E203" s="854"/>
      <c r="F203" s="854"/>
      <c r="G203" s="854"/>
      <c r="H203" s="854"/>
      <c r="I203" s="854"/>
      <c r="J203" s="854"/>
      <c r="K203" s="562"/>
      <c r="L203" s="562"/>
      <c r="M203" s="562"/>
      <c r="N203" s="562"/>
      <c r="O203" s="562"/>
      <c r="P203" s="562"/>
      <c r="Q203" s="562"/>
      <c r="R203" s="562"/>
      <c r="S203" s="562"/>
      <c r="T203" s="562"/>
      <c r="U203" s="562"/>
      <c r="V203" s="562"/>
      <c r="W203" s="562"/>
      <c r="X203" s="562"/>
      <c r="Y203" s="669"/>
      <c r="Z203" s="669"/>
      <c r="AA203" s="669"/>
      <c r="AB203" s="669"/>
      <c r="AC203" s="562"/>
      <c r="AD203" s="562"/>
      <c r="AE203" s="636"/>
      <c r="AF203" s="636"/>
      <c r="AG203" s="636"/>
      <c r="AH203" s="636"/>
      <c r="AI203" s="636"/>
      <c r="AJ203" s="636"/>
      <c r="AK203" s="636"/>
    </row>
    <row r="204" spans="1:37">
      <c r="A204" s="881"/>
      <c r="B204" s="904" t="s">
        <v>1775</v>
      </c>
      <c r="C204" s="905"/>
      <c r="D204" s="906"/>
      <c r="E204" s="906"/>
      <c r="F204" s="906"/>
      <c r="G204" s="906"/>
      <c r="H204" s="906"/>
      <c r="I204" s="906"/>
      <c r="J204" s="906"/>
      <c r="K204" s="907"/>
      <c r="L204" s="907"/>
      <c r="M204" s="907"/>
      <c r="N204" s="907"/>
      <c r="O204" s="907"/>
      <c r="P204" s="907"/>
      <c r="Q204" s="907"/>
      <c r="R204" s="907"/>
      <c r="S204" s="770"/>
      <c r="T204" s="770"/>
      <c r="U204" s="770"/>
      <c r="V204" s="770"/>
      <c r="W204" s="770"/>
      <c r="X204" s="770"/>
      <c r="Y204" s="855"/>
      <c r="Z204" s="855"/>
      <c r="AA204" s="855"/>
      <c r="AB204" s="855"/>
      <c r="AC204" s="770"/>
      <c r="AD204" s="770"/>
      <c r="AE204" s="856"/>
      <c r="AF204" s="856"/>
      <c r="AG204" s="856"/>
      <c r="AH204" s="856"/>
      <c r="AI204" s="856"/>
      <c r="AJ204" s="857"/>
      <c r="AK204" s="636"/>
    </row>
    <row r="205" spans="1:37">
      <c r="A205" s="881"/>
      <c r="B205" s="908" t="s">
        <v>1776</v>
      </c>
      <c r="C205" s="909"/>
      <c r="D205" s="910"/>
      <c r="E205" s="910"/>
      <c r="F205" s="910"/>
      <c r="G205" s="910"/>
      <c r="H205" s="910"/>
      <c r="I205" s="910"/>
      <c r="J205" s="910"/>
      <c r="K205" s="911"/>
      <c r="L205" s="911"/>
      <c r="M205" s="911"/>
      <c r="N205" s="911"/>
      <c r="O205" s="911"/>
      <c r="P205" s="911"/>
      <c r="Q205" s="911"/>
      <c r="R205" s="911"/>
      <c r="S205" s="562"/>
      <c r="T205" s="562"/>
      <c r="U205" s="562"/>
      <c r="V205" s="562"/>
      <c r="W205" s="562"/>
      <c r="X205" s="562"/>
      <c r="Y205" s="669"/>
      <c r="Z205" s="669"/>
      <c r="AA205" s="669"/>
      <c r="AB205" s="669"/>
      <c r="AC205" s="562"/>
      <c r="AD205" s="562"/>
      <c r="AE205" s="636"/>
      <c r="AF205" s="636"/>
      <c r="AG205" s="636"/>
      <c r="AH205" s="636"/>
      <c r="AI205" s="636"/>
      <c r="AJ205" s="858"/>
      <c r="AK205" s="636"/>
    </row>
    <row r="206" spans="1:37">
      <c r="A206" s="881"/>
      <c r="B206" s="908" t="s">
        <v>2422</v>
      </c>
      <c r="C206" s="909"/>
      <c r="D206" s="910"/>
      <c r="E206" s="910"/>
      <c r="F206" s="910"/>
      <c r="G206" s="910"/>
      <c r="H206" s="910"/>
      <c r="I206" s="910"/>
      <c r="J206" s="910"/>
      <c r="K206" s="911"/>
      <c r="L206" s="911"/>
      <c r="M206" s="911"/>
      <c r="N206" s="911"/>
      <c r="O206" s="911"/>
      <c r="P206" s="911"/>
      <c r="Q206" s="911"/>
      <c r="R206" s="911"/>
      <c r="S206" s="562"/>
      <c r="T206" s="562"/>
      <c r="U206" s="562"/>
      <c r="V206" s="562"/>
      <c r="W206" s="562"/>
      <c r="X206" s="562"/>
      <c r="Y206" s="669"/>
      <c r="Z206" s="669"/>
      <c r="AA206" s="669"/>
      <c r="AB206" s="669"/>
      <c r="AC206" s="562"/>
      <c r="AD206" s="562"/>
      <c r="AE206" s="636"/>
      <c r="AF206" s="636"/>
      <c r="AG206" s="636"/>
      <c r="AH206" s="636"/>
      <c r="AI206" s="636"/>
      <c r="AJ206" s="858"/>
      <c r="AK206" s="636"/>
    </row>
    <row r="207" spans="1:37">
      <c r="A207" s="881"/>
      <c r="B207" s="908" t="s">
        <v>1777</v>
      </c>
      <c r="C207" s="909"/>
      <c r="D207" s="910"/>
      <c r="E207" s="910"/>
      <c r="F207" s="910"/>
      <c r="G207" s="910"/>
      <c r="H207" s="910"/>
      <c r="I207" s="910"/>
      <c r="J207" s="910"/>
      <c r="K207" s="911"/>
      <c r="L207" s="911"/>
      <c r="M207" s="911"/>
      <c r="N207" s="911"/>
      <c r="O207" s="911"/>
      <c r="P207" s="911"/>
      <c r="Q207" s="911"/>
      <c r="R207" s="911"/>
      <c r="S207" s="562"/>
      <c r="T207" s="562"/>
      <c r="U207" s="562"/>
      <c r="V207" s="562"/>
      <c r="W207" s="562"/>
      <c r="X207" s="562"/>
      <c r="Y207" s="669"/>
      <c r="Z207" s="669"/>
      <c r="AA207" s="669"/>
      <c r="AB207" s="669"/>
      <c r="AC207" s="562"/>
      <c r="AD207" s="562"/>
      <c r="AE207" s="636"/>
      <c r="AF207" s="636"/>
      <c r="AG207" s="636"/>
      <c r="AH207" s="636"/>
      <c r="AI207" s="636"/>
      <c r="AJ207" s="858"/>
      <c r="AK207" s="636"/>
    </row>
    <row r="208" spans="1:37">
      <c r="A208" s="881"/>
      <c r="B208" s="912" t="s">
        <v>1778</v>
      </c>
      <c r="C208" s="909"/>
      <c r="D208" s="910"/>
      <c r="E208" s="910"/>
      <c r="F208" s="910"/>
      <c r="G208" s="910"/>
      <c r="H208" s="910"/>
      <c r="I208" s="910"/>
      <c r="J208" s="910"/>
      <c r="K208" s="911"/>
      <c r="L208" s="911"/>
      <c r="M208" s="911"/>
      <c r="N208" s="911"/>
      <c r="O208" s="911"/>
      <c r="P208" s="911"/>
      <c r="Q208" s="911"/>
      <c r="R208" s="911"/>
      <c r="S208" s="562"/>
      <c r="T208" s="562"/>
      <c r="U208" s="562"/>
      <c r="V208" s="562"/>
      <c r="W208" s="562"/>
      <c r="X208" s="562"/>
      <c r="Y208" s="669"/>
      <c r="Z208" s="669"/>
      <c r="AA208" s="669"/>
      <c r="AB208" s="669"/>
      <c r="AC208" s="562"/>
      <c r="AD208" s="562"/>
      <c r="AE208" s="636"/>
      <c r="AF208" s="636"/>
      <c r="AG208" s="636"/>
      <c r="AH208" s="636"/>
      <c r="AI208" s="636"/>
      <c r="AJ208" s="858"/>
      <c r="AK208" s="636"/>
    </row>
    <row r="209" spans="1:37" ht="13">
      <c r="A209" s="881"/>
      <c r="B209" s="913" t="s">
        <v>1816</v>
      </c>
      <c r="C209" s="914"/>
      <c r="D209" s="915"/>
      <c r="E209" s="915"/>
      <c r="F209" s="915"/>
      <c r="G209" s="915"/>
      <c r="H209" s="915"/>
      <c r="I209" s="915"/>
      <c r="J209" s="915"/>
      <c r="K209" s="916"/>
      <c r="L209" s="916"/>
      <c r="M209" s="916"/>
      <c r="N209" s="916"/>
      <c r="O209" s="916"/>
      <c r="P209" s="916"/>
      <c r="Q209" s="916"/>
      <c r="R209" s="916"/>
      <c r="S209" s="763"/>
      <c r="T209" s="763"/>
      <c r="U209" s="763"/>
      <c r="V209" s="763"/>
      <c r="W209" s="763"/>
      <c r="X209" s="763"/>
      <c r="Y209" s="859"/>
      <c r="Z209" s="859"/>
      <c r="AA209" s="859"/>
      <c r="AB209" s="859"/>
      <c r="AC209" s="763"/>
      <c r="AD209" s="763"/>
      <c r="AE209" s="860"/>
      <c r="AF209" s="860"/>
      <c r="AG209" s="860"/>
      <c r="AH209" s="860"/>
      <c r="AI209" s="860"/>
      <c r="AJ209" s="861"/>
      <c r="AK209" s="636"/>
    </row>
    <row r="210" spans="1:37">
      <c r="A210" s="631"/>
      <c r="B210" s="631"/>
      <c r="C210" s="689"/>
      <c r="D210" s="854"/>
      <c r="E210" s="854"/>
      <c r="F210" s="854"/>
      <c r="G210" s="854"/>
      <c r="H210" s="854"/>
      <c r="I210" s="854"/>
      <c r="J210" s="854"/>
      <c r="K210" s="562"/>
      <c r="L210" s="562"/>
      <c r="M210" s="562"/>
      <c r="N210" s="562"/>
      <c r="O210" s="562"/>
      <c r="P210" s="562"/>
      <c r="Q210" s="562"/>
      <c r="R210" s="562"/>
      <c r="S210" s="562"/>
      <c r="T210" s="562"/>
      <c r="U210" s="562"/>
      <c r="V210" s="562"/>
      <c r="W210" s="562"/>
      <c r="X210" s="562"/>
      <c r="Y210" s="669"/>
      <c r="Z210" s="669"/>
      <c r="AA210" s="669"/>
      <c r="AB210" s="669"/>
      <c r="AC210" s="562"/>
      <c r="AD210" s="562"/>
      <c r="AE210" s="636"/>
      <c r="AF210" s="636"/>
      <c r="AG210" s="636"/>
      <c r="AH210" s="636"/>
      <c r="AI210" s="636"/>
      <c r="AJ210" s="636"/>
      <c r="AK210" s="636"/>
    </row>
    <row r="211" spans="1:37">
      <c r="A211" s="631"/>
      <c r="B211" s="875"/>
      <c r="C211" s="502"/>
      <c r="D211" s="502"/>
      <c r="I211" s="1970" t="s">
        <v>1785</v>
      </c>
      <c r="J211" s="1970"/>
      <c r="K211" s="1970"/>
      <c r="L211" s="562"/>
      <c r="M211" s="562"/>
      <c r="N211" s="562"/>
      <c r="O211" s="562"/>
      <c r="P211" s="562"/>
      <c r="Q211" s="562"/>
      <c r="R211" s="562"/>
      <c r="S211" s="562"/>
      <c r="T211" s="2152" t="s">
        <v>1779</v>
      </c>
      <c r="U211" s="2152"/>
      <c r="V211" s="2152"/>
      <c r="W211" s="2152"/>
      <c r="X211" s="2152"/>
      <c r="Y211" s="2152"/>
      <c r="Z211" s="876"/>
      <c r="AA211" s="515"/>
      <c r="AB211" s="1965" t="s">
        <v>1780</v>
      </c>
      <c r="AC211" s="1965"/>
      <c r="AD211" s="1965"/>
      <c r="AE211" s="1965"/>
      <c r="AF211" s="1965"/>
      <c r="AG211" s="1965"/>
      <c r="AH211" s="854"/>
      <c r="AI211" s="854"/>
      <c r="AJ211" s="854"/>
      <c r="AK211" s="636"/>
    </row>
    <row r="212" spans="1:37">
      <c r="A212" s="631"/>
      <c r="B212" s="1968" t="s">
        <v>1765</v>
      </c>
      <c r="C212" s="1968"/>
      <c r="D212" s="1968"/>
      <c r="E212" s="1968"/>
      <c r="F212" s="1968"/>
      <c r="G212" s="1968"/>
      <c r="I212" s="1969" t="s">
        <v>1786</v>
      </c>
      <c r="J212" s="1969"/>
      <c r="K212" s="1969"/>
      <c r="L212" s="1027"/>
      <c r="N212" s="1975" t="s">
        <v>1781</v>
      </c>
      <c r="O212" s="1975"/>
      <c r="P212" s="1975"/>
      <c r="Q212" s="1975"/>
      <c r="R212" s="1975"/>
      <c r="T212" s="1975" t="s">
        <v>1782</v>
      </c>
      <c r="U212" s="1975"/>
      <c r="V212" s="1975"/>
      <c r="W212" s="1975"/>
      <c r="X212" s="1975"/>
      <c r="Y212" s="1975"/>
      <c r="Z212" s="877"/>
      <c r="AA212" s="515"/>
      <c r="AB212" s="2127" t="s">
        <v>1783</v>
      </c>
      <c r="AC212" s="2127"/>
      <c r="AD212" s="2127"/>
      <c r="AE212" s="2127"/>
      <c r="AF212" s="2127"/>
      <c r="AG212" s="2127"/>
      <c r="AH212" s="854"/>
      <c r="AI212" s="854"/>
      <c r="AJ212" s="854"/>
      <c r="AK212" s="636"/>
    </row>
    <row r="213" spans="1:37">
      <c r="A213" s="631"/>
      <c r="B213" s="1972" t="s">
        <v>1327</v>
      </c>
      <c r="C213" s="1972"/>
      <c r="D213" s="1972"/>
      <c r="E213" s="1972"/>
      <c r="F213" s="1972"/>
      <c r="G213" s="1972"/>
      <c r="H213" s="879"/>
      <c r="I213" s="1971"/>
      <c r="J213" s="1971"/>
      <c r="K213" s="1971"/>
      <c r="L213" s="1027"/>
      <c r="N213" s="1976"/>
      <c r="O213" s="1976"/>
      <c r="P213" s="1976"/>
      <c r="Q213" s="1976"/>
      <c r="R213" s="1976"/>
      <c r="T213" s="2125"/>
      <c r="U213" s="2125"/>
      <c r="V213" s="2125"/>
      <c r="W213" s="2125"/>
      <c r="X213" s="2125"/>
      <c r="Y213" s="2125"/>
      <c r="Z213" s="878"/>
      <c r="AA213" s="878"/>
      <c r="AB213" s="1973">
        <f t="shared" ref="AB213:AB222" si="0">MAX(($T213-$N213)*$I213*12,0)</f>
        <v>0</v>
      </c>
      <c r="AC213" s="1973"/>
      <c r="AD213" s="1973"/>
      <c r="AE213" s="1973"/>
      <c r="AF213" s="1973"/>
      <c r="AG213" s="1973"/>
      <c r="AH213" s="854"/>
      <c r="AI213" s="854"/>
      <c r="AJ213" s="854"/>
      <c r="AK213" s="636"/>
    </row>
    <row r="214" spans="1:37">
      <c r="A214" s="631"/>
      <c r="B214" s="1972" t="s">
        <v>1327</v>
      </c>
      <c r="C214" s="1972"/>
      <c r="D214" s="1972"/>
      <c r="E214" s="1972"/>
      <c r="F214" s="1972"/>
      <c r="G214" s="1972"/>
      <c r="I214" s="1971"/>
      <c r="J214" s="1971"/>
      <c r="K214" s="1971"/>
      <c r="L214" s="1027"/>
      <c r="N214" s="1976"/>
      <c r="O214" s="1976"/>
      <c r="P214" s="1976"/>
      <c r="Q214" s="1976"/>
      <c r="R214" s="1976"/>
      <c r="T214" s="2125"/>
      <c r="U214" s="2125"/>
      <c r="V214" s="2125"/>
      <c r="W214" s="2125"/>
      <c r="X214" s="2125"/>
      <c r="Y214" s="2125"/>
      <c r="Z214" s="878"/>
      <c r="AA214" s="878"/>
      <c r="AB214" s="1973">
        <f t="shared" si="0"/>
        <v>0</v>
      </c>
      <c r="AC214" s="1973"/>
      <c r="AD214" s="1973"/>
      <c r="AE214" s="1973"/>
      <c r="AF214" s="1973"/>
      <c r="AG214" s="1973"/>
      <c r="AH214" s="854"/>
      <c r="AI214" s="854"/>
      <c r="AJ214" s="854"/>
      <c r="AK214" s="636"/>
    </row>
    <row r="215" spans="1:37">
      <c r="A215" s="631"/>
      <c r="B215" s="1972" t="s">
        <v>1327</v>
      </c>
      <c r="C215" s="1972"/>
      <c r="D215" s="1972"/>
      <c r="E215" s="1972"/>
      <c r="F215" s="1972"/>
      <c r="G215" s="1972"/>
      <c r="I215" s="1971"/>
      <c r="J215" s="1971"/>
      <c r="K215" s="1971"/>
      <c r="L215" s="1027"/>
      <c r="N215" s="1976"/>
      <c r="O215" s="1976"/>
      <c r="P215" s="1976"/>
      <c r="Q215" s="1976"/>
      <c r="R215" s="1976"/>
      <c r="T215" s="2125"/>
      <c r="U215" s="2125"/>
      <c r="V215" s="2125"/>
      <c r="W215" s="2125"/>
      <c r="X215" s="2125"/>
      <c r="Y215" s="2125"/>
      <c r="Z215" s="878"/>
      <c r="AA215" s="878"/>
      <c r="AB215" s="1973">
        <f t="shared" si="0"/>
        <v>0</v>
      </c>
      <c r="AC215" s="1973"/>
      <c r="AD215" s="1973"/>
      <c r="AE215" s="1973"/>
      <c r="AF215" s="1973"/>
      <c r="AG215" s="1973"/>
      <c r="AH215" s="854"/>
      <c r="AI215" s="854"/>
      <c r="AJ215" s="854"/>
      <c r="AK215" s="636"/>
    </row>
    <row r="216" spans="1:37">
      <c r="A216" s="631"/>
      <c r="B216" s="1972" t="s">
        <v>1327</v>
      </c>
      <c r="C216" s="1972"/>
      <c r="D216" s="1972"/>
      <c r="E216" s="1972"/>
      <c r="F216" s="1972"/>
      <c r="G216" s="1972"/>
      <c r="I216" s="1971"/>
      <c r="J216" s="1971"/>
      <c r="K216" s="1971"/>
      <c r="L216" s="1027"/>
      <c r="N216" s="1976"/>
      <c r="O216" s="1976"/>
      <c r="P216" s="1976"/>
      <c r="Q216" s="1976"/>
      <c r="R216" s="1976"/>
      <c r="T216" s="2125"/>
      <c r="U216" s="2125"/>
      <c r="V216" s="2125"/>
      <c r="W216" s="2125"/>
      <c r="X216" s="2125"/>
      <c r="Y216" s="2125"/>
      <c r="Z216" s="878"/>
      <c r="AA216" s="878"/>
      <c r="AB216" s="1973">
        <f t="shared" si="0"/>
        <v>0</v>
      </c>
      <c r="AC216" s="1973"/>
      <c r="AD216" s="1973"/>
      <c r="AE216" s="1973"/>
      <c r="AF216" s="1973"/>
      <c r="AG216" s="1973"/>
      <c r="AH216" s="854"/>
      <c r="AI216" s="854"/>
      <c r="AJ216" s="854"/>
      <c r="AK216" s="636"/>
    </row>
    <row r="217" spans="1:37">
      <c r="A217" s="631"/>
      <c r="B217" s="1972" t="s">
        <v>1327</v>
      </c>
      <c r="C217" s="1972"/>
      <c r="D217" s="1972"/>
      <c r="E217" s="1972"/>
      <c r="F217" s="1972"/>
      <c r="G217" s="1972"/>
      <c r="I217" s="1971"/>
      <c r="J217" s="1971"/>
      <c r="K217" s="1971"/>
      <c r="L217" s="1034"/>
      <c r="N217" s="1976"/>
      <c r="O217" s="1976"/>
      <c r="P217" s="1976"/>
      <c r="Q217" s="1976"/>
      <c r="R217" s="1976"/>
      <c r="T217" s="2125"/>
      <c r="U217" s="2125"/>
      <c r="V217" s="2125"/>
      <c r="W217" s="2125"/>
      <c r="X217" s="2125"/>
      <c r="Y217" s="2125"/>
      <c r="Z217" s="878"/>
      <c r="AA217" s="878"/>
      <c r="AB217" s="1973">
        <f t="shared" si="0"/>
        <v>0</v>
      </c>
      <c r="AC217" s="1973"/>
      <c r="AD217" s="1973"/>
      <c r="AE217" s="1973"/>
      <c r="AF217" s="1973"/>
      <c r="AG217" s="1973"/>
      <c r="AH217" s="854"/>
      <c r="AI217" s="854"/>
      <c r="AJ217" s="854"/>
      <c r="AK217" s="636"/>
    </row>
    <row r="218" spans="1:37">
      <c r="A218" s="631"/>
      <c r="B218" s="1972" t="s">
        <v>1327</v>
      </c>
      <c r="C218" s="1972"/>
      <c r="D218" s="1972"/>
      <c r="E218" s="1972"/>
      <c r="F218" s="1972"/>
      <c r="G218" s="1972"/>
      <c r="I218" s="1971"/>
      <c r="J218" s="1971"/>
      <c r="K218" s="1971"/>
      <c r="L218" s="1034"/>
      <c r="N218" s="1976"/>
      <c r="O218" s="1976"/>
      <c r="P218" s="1976"/>
      <c r="Q218" s="1976"/>
      <c r="R218" s="1976"/>
      <c r="T218" s="2125"/>
      <c r="U218" s="2125"/>
      <c r="V218" s="2125"/>
      <c r="W218" s="2125"/>
      <c r="X218" s="2125"/>
      <c r="Y218" s="2125"/>
      <c r="Z218" s="878"/>
      <c r="AA218" s="878"/>
      <c r="AB218" s="1973">
        <f t="shared" si="0"/>
        <v>0</v>
      </c>
      <c r="AC218" s="1973"/>
      <c r="AD218" s="1973"/>
      <c r="AE218" s="1973"/>
      <c r="AF218" s="1973"/>
      <c r="AG218" s="1973"/>
      <c r="AH218" s="854"/>
      <c r="AI218" s="854"/>
      <c r="AJ218" s="854"/>
      <c r="AK218" s="636"/>
    </row>
    <row r="219" spans="1:37">
      <c r="A219" s="631"/>
      <c r="B219" s="1972" t="s">
        <v>1327</v>
      </c>
      <c r="C219" s="1972"/>
      <c r="D219" s="1972"/>
      <c r="E219" s="1972"/>
      <c r="F219" s="1972"/>
      <c r="G219" s="1972"/>
      <c r="I219" s="1971"/>
      <c r="J219" s="1971"/>
      <c r="K219" s="1971"/>
      <c r="L219" s="1034"/>
      <c r="N219" s="1976"/>
      <c r="O219" s="1976"/>
      <c r="P219" s="1976"/>
      <c r="Q219" s="1976"/>
      <c r="R219" s="1976"/>
      <c r="T219" s="2125"/>
      <c r="U219" s="2125"/>
      <c r="V219" s="2125"/>
      <c r="W219" s="2125"/>
      <c r="X219" s="2125"/>
      <c r="Y219" s="2125"/>
      <c r="Z219" s="878"/>
      <c r="AA219" s="878"/>
      <c r="AB219" s="1973">
        <f t="shared" si="0"/>
        <v>0</v>
      </c>
      <c r="AC219" s="1973"/>
      <c r="AD219" s="1973"/>
      <c r="AE219" s="1973"/>
      <c r="AF219" s="1973"/>
      <c r="AG219" s="1973"/>
      <c r="AH219" s="854"/>
      <c r="AI219" s="854"/>
      <c r="AJ219" s="854"/>
      <c r="AK219" s="636"/>
    </row>
    <row r="220" spans="1:37">
      <c r="A220" s="631"/>
      <c r="B220" s="1972" t="s">
        <v>1327</v>
      </c>
      <c r="C220" s="1972"/>
      <c r="D220" s="1972"/>
      <c r="E220" s="1972"/>
      <c r="F220" s="1972"/>
      <c r="G220" s="1972"/>
      <c r="I220" s="1971"/>
      <c r="J220" s="1971"/>
      <c r="K220" s="1971"/>
      <c r="L220" s="1034"/>
      <c r="N220" s="1976"/>
      <c r="O220" s="1976"/>
      <c r="P220" s="1976"/>
      <c r="Q220" s="1976"/>
      <c r="R220" s="1976"/>
      <c r="T220" s="2125"/>
      <c r="U220" s="2125"/>
      <c r="V220" s="2125"/>
      <c r="W220" s="2125"/>
      <c r="X220" s="2125"/>
      <c r="Y220" s="2125"/>
      <c r="Z220" s="878"/>
      <c r="AA220" s="878"/>
      <c r="AB220" s="1973">
        <f t="shared" si="0"/>
        <v>0</v>
      </c>
      <c r="AC220" s="1973"/>
      <c r="AD220" s="1973"/>
      <c r="AE220" s="1973"/>
      <c r="AF220" s="1973"/>
      <c r="AG220" s="1973"/>
      <c r="AH220" s="854"/>
      <c r="AI220" s="854"/>
      <c r="AJ220" s="854"/>
      <c r="AK220" s="636"/>
    </row>
    <row r="221" spans="1:37">
      <c r="A221" s="631"/>
      <c r="B221" s="1972" t="s">
        <v>1327</v>
      </c>
      <c r="C221" s="1972"/>
      <c r="D221" s="1972"/>
      <c r="E221" s="1972"/>
      <c r="F221" s="1972"/>
      <c r="G221" s="1972"/>
      <c r="I221" s="1971"/>
      <c r="J221" s="1971"/>
      <c r="K221" s="1971"/>
      <c r="L221" s="1034"/>
      <c r="N221" s="1976"/>
      <c r="O221" s="1976"/>
      <c r="P221" s="1976"/>
      <c r="Q221" s="1976"/>
      <c r="R221" s="1976"/>
      <c r="T221" s="2125"/>
      <c r="U221" s="2125"/>
      <c r="V221" s="2125"/>
      <c r="W221" s="2125"/>
      <c r="X221" s="2125"/>
      <c r="Y221" s="2125"/>
      <c r="Z221" s="878"/>
      <c r="AA221" s="878"/>
      <c r="AB221" s="1973">
        <f t="shared" si="0"/>
        <v>0</v>
      </c>
      <c r="AC221" s="1973"/>
      <c r="AD221" s="1973"/>
      <c r="AE221" s="1973"/>
      <c r="AF221" s="1973"/>
      <c r="AG221" s="1973"/>
      <c r="AH221" s="854"/>
      <c r="AI221" s="854"/>
      <c r="AJ221" s="854"/>
      <c r="AK221" s="636"/>
    </row>
    <row r="222" spans="1:37">
      <c r="A222" s="631"/>
      <c r="B222" s="1972" t="s">
        <v>1327</v>
      </c>
      <c r="C222" s="1972"/>
      <c r="D222" s="1972"/>
      <c r="E222" s="1972"/>
      <c r="F222" s="1972"/>
      <c r="G222" s="1972"/>
      <c r="I222" s="1974"/>
      <c r="J222" s="1974"/>
      <c r="K222" s="1974"/>
      <c r="L222" s="1034"/>
      <c r="N222" s="1976"/>
      <c r="O222" s="1976"/>
      <c r="P222" s="1976"/>
      <c r="Q222" s="1976"/>
      <c r="R222" s="1976"/>
      <c r="T222" s="2125"/>
      <c r="U222" s="2125"/>
      <c r="V222" s="2125"/>
      <c r="W222" s="2125"/>
      <c r="X222" s="2125"/>
      <c r="Y222" s="2125"/>
      <c r="Z222" s="878"/>
      <c r="AA222" s="878"/>
      <c r="AB222" s="2123">
        <f t="shared" si="0"/>
        <v>0</v>
      </c>
      <c r="AC222" s="2123"/>
      <c r="AD222" s="2123"/>
      <c r="AE222" s="2123"/>
      <c r="AF222" s="2123"/>
      <c r="AG222" s="2123"/>
      <c r="AH222" s="854"/>
      <c r="AI222" s="854"/>
      <c r="AJ222" s="854"/>
      <c r="AK222" s="636"/>
    </row>
    <row r="223" spans="1:37">
      <c r="A223" s="631"/>
      <c r="B223" s="502"/>
      <c r="C223" s="879"/>
      <c r="D223" s="502"/>
      <c r="K223" s="562"/>
      <c r="L223" s="562"/>
      <c r="M223" s="562"/>
      <c r="N223" s="562"/>
      <c r="O223" s="562"/>
      <c r="P223" s="562"/>
      <c r="Q223" s="562"/>
      <c r="R223" s="562"/>
      <c r="S223" s="562"/>
      <c r="T223" s="562"/>
      <c r="U223" s="562"/>
      <c r="V223" s="562"/>
      <c r="W223" s="562"/>
      <c r="X223" s="562"/>
      <c r="Y223" s="880" t="s">
        <v>1784</v>
      </c>
      <c r="AA223" s="880"/>
      <c r="AB223" s="1973">
        <f>SUM(AB213:AB222)</f>
        <v>0</v>
      </c>
      <c r="AC223" s="1973"/>
      <c r="AD223" s="1973"/>
      <c r="AE223" s="1973"/>
      <c r="AF223" s="1973"/>
      <c r="AG223" s="1973"/>
      <c r="AH223" s="854"/>
      <c r="AI223" s="854"/>
      <c r="AJ223" s="854"/>
      <c r="AK223" s="636"/>
    </row>
    <row r="224" spans="1:37">
      <c r="A224" s="631"/>
      <c r="B224" s="631"/>
      <c r="C224" s="689"/>
      <c r="D224" s="854"/>
      <c r="E224" s="854"/>
      <c r="F224" s="854"/>
      <c r="G224" s="854"/>
      <c r="H224" s="854"/>
      <c r="I224" s="854"/>
      <c r="J224" s="854"/>
      <c r="K224" s="576"/>
      <c r="L224" s="576"/>
      <c r="M224" s="576"/>
      <c r="N224" s="576"/>
      <c r="O224" s="576"/>
      <c r="P224" s="576"/>
      <c r="Q224" s="576"/>
      <c r="R224" s="576"/>
      <c r="S224" s="576"/>
      <c r="T224" s="576"/>
      <c r="U224" s="576"/>
      <c r="V224" s="576"/>
      <c r="W224" s="576"/>
      <c r="X224" s="576"/>
      <c r="Y224" s="669"/>
      <c r="Z224" s="669"/>
      <c r="AA224" s="669"/>
      <c r="AB224" s="669"/>
      <c r="AC224" s="576"/>
      <c r="AD224" s="576"/>
      <c r="AE224" s="636"/>
      <c r="AF224" s="636"/>
      <c r="AG224" s="636"/>
      <c r="AH224" s="636"/>
      <c r="AI224" s="636"/>
      <c r="AJ224" s="636"/>
      <c r="AK224" s="636"/>
    </row>
    <row r="225" spans="1:37" ht="13">
      <c r="A225" s="1169" t="s">
        <v>1774</v>
      </c>
      <c r="C225" s="689"/>
      <c r="D225" s="854"/>
      <c r="E225" s="854"/>
      <c r="F225" s="854"/>
      <c r="G225" s="854"/>
      <c r="H225" s="854"/>
      <c r="I225" s="854"/>
      <c r="J225" s="854"/>
      <c r="K225" s="562"/>
      <c r="L225" s="562"/>
      <c r="M225" s="562"/>
      <c r="N225" s="562"/>
      <c r="O225" s="562"/>
      <c r="P225" s="562"/>
      <c r="Q225" s="562"/>
      <c r="R225" s="562"/>
      <c r="S225" s="562"/>
      <c r="T225" s="562"/>
      <c r="U225" s="562"/>
      <c r="V225" s="562"/>
      <c r="W225" s="562"/>
      <c r="X225" s="562"/>
      <c r="Y225" s="669"/>
      <c r="Z225" s="669"/>
      <c r="AA225" s="669"/>
      <c r="AB225" s="669"/>
      <c r="AC225" s="562"/>
      <c r="AD225" s="562"/>
      <c r="AE225" s="636"/>
      <c r="AF225" s="636"/>
      <c r="AG225" s="636"/>
      <c r="AH225" s="636"/>
      <c r="AI225" s="636"/>
      <c r="AJ225" s="636"/>
      <c r="AK225" s="636"/>
    </row>
    <row r="226" spans="1:37">
      <c r="A226" s="631"/>
      <c r="B226" s="502" t="s">
        <v>1802</v>
      </c>
      <c r="C226" s="689"/>
      <c r="D226" s="854"/>
      <c r="E226" s="854"/>
      <c r="F226" s="854"/>
      <c r="G226" s="854"/>
      <c r="H226" s="854"/>
      <c r="I226" s="854"/>
      <c r="J226" s="854"/>
      <c r="K226" s="562"/>
      <c r="L226" s="562"/>
      <c r="M226" s="562"/>
      <c r="N226" s="562"/>
      <c r="O226" s="562"/>
      <c r="P226" s="562"/>
      <c r="Q226" s="562"/>
      <c r="R226" s="562"/>
      <c r="S226" s="562"/>
      <c r="T226" s="562"/>
      <c r="U226" s="562"/>
      <c r="V226" s="562"/>
      <c r="W226" s="562"/>
      <c r="X226" s="562"/>
      <c r="Y226" s="669"/>
      <c r="Z226" s="669"/>
      <c r="AA226" s="669"/>
      <c r="AB226" s="669"/>
      <c r="AC226" s="562"/>
      <c r="AD226" s="562"/>
      <c r="AE226" s="636"/>
      <c r="AF226" s="636"/>
      <c r="AG226" s="636"/>
      <c r="AH226" s="636"/>
      <c r="AI226" s="636"/>
      <c r="AJ226" s="636"/>
      <c r="AK226" s="636"/>
    </row>
    <row r="227" spans="1:37">
      <c r="A227" s="631"/>
      <c r="B227" s="502"/>
      <c r="C227" s="689"/>
      <c r="D227" s="854"/>
      <c r="E227" s="854"/>
      <c r="F227" s="854"/>
      <c r="G227" s="854"/>
      <c r="H227" s="854"/>
      <c r="I227" s="854"/>
      <c r="J227" s="854"/>
      <c r="K227" s="562"/>
      <c r="L227" s="562"/>
      <c r="M227" s="562"/>
      <c r="N227" s="562"/>
      <c r="O227" s="562"/>
      <c r="P227" s="562"/>
      <c r="Q227" s="562"/>
      <c r="R227" s="562"/>
      <c r="S227" s="562"/>
      <c r="T227" s="562"/>
      <c r="U227" s="562"/>
      <c r="V227" s="562"/>
      <c r="W227" s="562"/>
      <c r="X227" s="562"/>
      <c r="Y227" s="669"/>
      <c r="Z227" s="669"/>
      <c r="AA227" s="669"/>
      <c r="AB227" s="669"/>
      <c r="AC227" s="562"/>
      <c r="AD227" s="562"/>
      <c r="AE227" s="636"/>
      <c r="AF227" s="636"/>
      <c r="AG227" s="636"/>
      <c r="AH227" s="636"/>
      <c r="AI227" s="636"/>
      <c r="AJ227" s="636"/>
      <c r="AK227" s="636"/>
    </row>
    <row r="228" spans="1:37">
      <c r="A228" s="631"/>
      <c r="B228" s="863" t="s">
        <v>1800</v>
      </c>
      <c r="C228" s="689"/>
      <c r="D228" s="854"/>
      <c r="E228" s="854"/>
      <c r="F228" s="854"/>
      <c r="G228" s="854"/>
      <c r="H228" s="854"/>
      <c r="I228" s="854"/>
      <c r="J228" s="854"/>
      <c r="K228" s="562"/>
      <c r="L228" s="562"/>
      <c r="M228" s="562"/>
      <c r="N228" s="562"/>
      <c r="O228" s="562"/>
      <c r="P228" s="562"/>
      <c r="Q228" s="562"/>
      <c r="R228" s="562"/>
      <c r="S228" s="562"/>
      <c r="T228" s="562"/>
      <c r="U228" s="562"/>
      <c r="V228" s="562"/>
      <c r="W228" s="562"/>
      <c r="X228" s="562"/>
      <c r="Y228" s="669"/>
      <c r="Z228" s="669"/>
      <c r="AA228" s="669"/>
      <c r="AB228" s="669"/>
      <c r="AC228" s="562"/>
      <c r="AD228" s="562"/>
      <c r="AE228" s="636"/>
      <c r="AF228" s="636"/>
      <c r="AG228" s="636"/>
      <c r="AH228" s="636"/>
      <c r="AI228" s="636"/>
      <c r="AJ228" s="636"/>
      <c r="AK228" s="636"/>
    </row>
    <row r="229" spans="1:37">
      <c r="A229" s="631"/>
      <c r="B229" s="863" t="s">
        <v>1794</v>
      </c>
      <c r="C229" s="689"/>
      <c r="D229" s="854"/>
      <c r="E229" s="854"/>
      <c r="F229" s="854"/>
      <c r="G229" s="854"/>
      <c r="H229" s="854"/>
      <c r="I229" s="854"/>
      <c r="J229" s="854"/>
      <c r="K229" s="562"/>
      <c r="L229" s="562"/>
      <c r="M229" s="562"/>
      <c r="N229" s="562"/>
      <c r="O229" s="562"/>
      <c r="P229" s="562"/>
      <c r="Q229" s="562"/>
      <c r="R229" s="562"/>
      <c r="S229" s="562"/>
      <c r="T229" s="562"/>
      <c r="U229" s="562"/>
      <c r="V229" s="562"/>
      <c r="W229" s="562"/>
      <c r="X229" s="562"/>
      <c r="Y229" s="669"/>
      <c r="Z229" s="669"/>
      <c r="AA229" s="669"/>
      <c r="AB229" s="2128"/>
      <c r="AC229" s="2128"/>
      <c r="AD229" s="2128"/>
      <c r="AE229" s="2128"/>
      <c r="AF229" s="2128"/>
      <c r="AG229" s="2128"/>
      <c r="AH229" s="636"/>
      <c r="AI229" s="636"/>
      <c r="AJ229" s="636"/>
      <c r="AK229" s="636"/>
    </row>
    <row r="230" spans="1:37" ht="13">
      <c r="A230" s="631"/>
      <c r="B230" s="864" t="s">
        <v>1799</v>
      </c>
      <c r="C230" s="642"/>
      <c r="D230" s="862"/>
      <c r="E230" s="854"/>
      <c r="F230" s="854"/>
      <c r="G230" s="854"/>
      <c r="H230" s="854"/>
      <c r="I230" s="854"/>
      <c r="J230" s="854"/>
      <c r="K230" s="562"/>
      <c r="L230" s="562"/>
      <c r="M230" s="562"/>
      <c r="N230" s="562"/>
      <c r="O230" s="562"/>
      <c r="P230" s="562"/>
      <c r="Q230" s="562"/>
      <c r="R230" s="562"/>
      <c r="S230" s="562"/>
      <c r="T230" s="562"/>
      <c r="U230" s="562"/>
      <c r="V230" s="562"/>
      <c r="W230" s="562"/>
      <c r="X230" s="562"/>
      <c r="Y230" s="669"/>
      <c r="Z230" s="669"/>
      <c r="AA230" s="669"/>
      <c r="AB230" s="669"/>
      <c r="AC230" s="562"/>
      <c r="AD230" s="562"/>
      <c r="AE230" s="636"/>
      <c r="AF230" s="636"/>
      <c r="AG230" s="636"/>
      <c r="AH230" s="636"/>
      <c r="AI230" s="636"/>
      <c r="AJ230" s="636"/>
      <c r="AK230" s="636"/>
    </row>
    <row r="231" spans="1:37">
      <c r="A231" s="631"/>
      <c r="B231" s="865" t="s">
        <v>1801</v>
      </c>
      <c r="C231" s="689"/>
      <c r="D231" s="854"/>
      <c r="E231" s="854"/>
      <c r="F231" s="854"/>
      <c r="G231" s="854"/>
      <c r="H231" s="854"/>
      <c r="I231" s="854"/>
      <c r="J231" s="854"/>
      <c r="K231" s="562"/>
      <c r="L231" s="562"/>
      <c r="M231" s="562"/>
      <c r="N231" s="562"/>
      <c r="O231" s="562"/>
      <c r="P231" s="562"/>
      <c r="Q231" s="562"/>
      <c r="R231" s="562"/>
      <c r="S231" s="562"/>
      <c r="T231" s="562"/>
      <c r="U231" s="562"/>
      <c r="V231" s="562"/>
      <c r="W231" s="562"/>
      <c r="X231" s="562"/>
      <c r="Y231" s="669"/>
      <c r="Z231" s="669"/>
      <c r="AA231" s="669"/>
      <c r="AB231" s="669"/>
      <c r="AC231" s="562"/>
      <c r="AD231" s="562"/>
      <c r="AE231" s="636"/>
      <c r="AF231" s="636"/>
      <c r="AG231" s="636"/>
      <c r="AH231" s="636"/>
      <c r="AI231" s="636"/>
      <c r="AJ231" s="636"/>
      <c r="AK231" s="636"/>
    </row>
    <row r="232" spans="1:37">
      <c r="A232" s="631"/>
      <c r="B232" s="865" t="s">
        <v>1795</v>
      </c>
      <c r="C232" s="689"/>
      <c r="D232" s="854"/>
      <c r="E232" s="854"/>
      <c r="F232" s="854"/>
      <c r="G232" s="854"/>
      <c r="H232" s="854"/>
      <c r="I232" s="854"/>
      <c r="J232" s="854"/>
      <c r="K232" s="562"/>
      <c r="L232" s="562"/>
      <c r="M232" s="562"/>
      <c r="N232" s="562"/>
      <c r="O232" s="562"/>
      <c r="P232" s="562"/>
      <c r="Q232" s="562"/>
      <c r="R232" s="562"/>
      <c r="S232" s="562"/>
      <c r="T232" s="562"/>
      <c r="U232" s="562"/>
      <c r="V232" s="562"/>
      <c r="W232" s="562"/>
      <c r="X232" s="562"/>
      <c r="Y232" s="669"/>
      <c r="Z232" s="669"/>
      <c r="AA232" s="669"/>
      <c r="AB232" s="2128"/>
      <c r="AC232" s="2128"/>
      <c r="AD232" s="2128"/>
      <c r="AE232" s="2128"/>
      <c r="AF232" s="2128"/>
      <c r="AG232" s="2128"/>
      <c r="AH232" s="636"/>
      <c r="AI232" s="636"/>
      <c r="AJ232" s="636"/>
      <c r="AK232" s="636"/>
    </row>
    <row r="233" spans="1:37">
      <c r="A233" s="631"/>
      <c r="B233" s="865" t="s">
        <v>1796</v>
      </c>
      <c r="C233" s="689"/>
      <c r="D233" s="854"/>
      <c r="E233" s="854"/>
      <c r="F233" s="854"/>
      <c r="G233" s="854"/>
      <c r="H233" s="854"/>
      <c r="I233" s="854"/>
      <c r="J233" s="854"/>
      <c r="K233" s="562"/>
      <c r="L233" s="562"/>
      <c r="M233" s="562"/>
      <c r="N233" s="562"/>
      <c r="O233" s="562"/>
      <c r="P233" s="562"/>
      <c r="Q233" s="562"/>
      <c r="R233" s="562"/>
      <c r="S233" s="562"/>
      <c r="T233" s="562"/>
      <c r="U233" s="562"/>
      <c r="V233" s="562"/>
      <c r="W233" s="562"/>
      <c r="X233" s="562"/>
      <c r="Y233" s="669"/>
      <c r="Z233" s="669"/>
      <c r="AA233" s="669"/>
      <c r="AB233" s="2151"/>
      <c r="AC233" s="2151"/>
      <c r="AD233" s="2151"/>
      <c r="AE233" s="2151"/>
      <c r="AF233" s="2151"/>
      <c r="AG233" s="2151"/>
      <c r="AH233" s="636"/>
      <c r="AI233" s="636"/>
      <c r="AJ233" s="636"/>
      <c r="AK233" s="636"/>
    </row>
    <row r="234" spans="1:37">
      <c r="A234" s="631"/>
      <c r="B234" s="865" t="s">
        <v>1797</v>
      </c>
      <c r="C234" s="689"/>
      <c r="D234" s="854"/>
      <c r="E234" s="854"/>
      <c r="F234" s="854"/>
      <c r="G234" s="854"/>
      <c r="H234" s="854"/>
      <c r="I234" s="854"/>
      <c r="J234" s="854"/>
      <c r="K234" s="562"/>
      <c r="L234" s="562"/>
      <c r="M234" s="562"/>
      <c r="N234" s="562"/>
      <c r="O234" s="562"/>
      <c r="P234" s="562"/>
      <c r="Q234" s="562"/>
      <c r="R234" s="562"/>
      <c r="S234" s="562"/>
      <c r="T234" s="562"/>
      <c r="U234" s="562"/>
      <c r="V234" s="562"/>
      <c r="W234" s="562"/>
      <c r="X234" s="562"/>
      <c r="Y234" s="669"/>
      <c r="Z234" s="669"/>
      <c r="AA234" s="669"/>
      <c r="AB234" s="2134">
        <f>IFERROR(AB232/AB233,0)</f>
        <v>0</v>
      </c>
      <c r="AC234" s="2134"/>
      <c r="AD234" s="2134"/>
      <c r="AE234" s="2134"/>
      <c r="AF234" s="2134"/>
      <c r="AG234" s="2134"/>
      <c r="AH234" s="636"/>
      <c r="AI234" s="636"/>
      <c r="AJ234" s="636"/>
      <c r="AK234" s="636"/>
    </row>
    <row r="235" spans="1:37">
      <c r="A235" s="631"/>
      <c r="B235" s="502"/>
      <c r="C235" s="689"/>
      <c r="D235" s="854"/>
      <c r="E235" s="854"/>
      <c r="F235" s="854"/>
      <c r="G235" s="854"/>
      <c r="H235" s="854"/>
      <c r="I235" s="854"/>
      <c r="J235" s="854"/>
      <c r="K235" s="562"/>
      <c r="L235" s="562"/>
      <c r="M235" s="562"/>
      <c r="N235" s="562"/>
      <c r="O235" s="562"/>
      <c r="P235" s="562"/>
      <c r="Q235" s="562"/>
      <c r="R235" s="562"/>
      <c r="S235" s="562"/>
      <c r="T235" s="562"/>
      <c r="U235" s="562"/>
      <c r="V235" s="562"/>
      <c r="W235" s="562"/>
      <c r="X235" s="562"/>
      <c r="Y235" s="669"/>
      <c r="Z235" s="669"/>
      <c r="AA235" s="669"/>
      <c r="AB235" s="669"/>
      <c r="AC235" s="562"/>
      <c r="AD235" s="562"/>
      <c r="AE235" s="636"/>
      <c r="AF235" s="636"/>
      <c r="AG235" s="636"/>
      <c r="AH235" s="636"/>
      <c r="AI235" s="636"/>
      <c r="AJ235" s="636"/>
      <c r="AK235" s="636"/>
    </row>
    <row r="236" spans="1:37">
      <c r="A236" s="631"/>
      <c r="B236" s="502" t="s">
        <v>1798</v>
      </c>
      <c r="C236" s="689"/>
      <c r="D236" s="854"/>
      <c r="E236" s="854"/>
      <c r="F236" s="854"/>
      <c r="G236" s="854"/>
      <c r="H236" s="854"/>
      <c r="I236" s="854"/>
      <c r="J236" s="854"/>
      <c r="K236" s="562"/>
      <c r="L236" s="562"/>
      <c r="M236" s="562"/>
      <c r="N236" s="562"/>
      <c r="O236" s="562"/>
      <c r="P236" s="562"/>
      <c r="Q236" s="562"/>
      <c r="R236" s="562"/>
      <c r="S236" s="562"/>
      <c r="T236" s="562"/>
      <c r="U236" s="562"/>
      <c r="V236" s="562"/>
      <c r="W236" s="562"/>
      <c r="X236" s="562"/>
      <c r="Y236" s="669"/>
      <c r="Z236" s="669"/>
      <c r="AA236" s="669"/>
      <c r="AB236" s="2123">
        <f>MAX(AB229,AB234)</f>
        <v>0</v>
      </c>
      <c r="AC236" s="2123"/>
      <c r="AD236" s="2123"/>
      <c r="AE236" s="2123"/>
      <c r="AF236" s="2123"/>
      <c r="AG236" s="2123"/>
      <c r="AH236" s="636"/>
      <c r="AI236" s="636"/>
      <c r="AJ236" s="636"/>
      <c r="AK236" s="636"/>
    </row>
    <row r="237" spans="1:37">
      <c r="A237" s="631"/>
      <c r="B237" s="502"/>
      <c r="C237" s="689"/>
      <c r="D237" s="854"/>
      <c r="E237" s="854"/>
      <c r="F237" s="854"/>
      <c r="G237" s="854"/>
      <c r="H237" s="854"/>
      <c r="I237" s="854"/>
      <c r="J237" s="854"/>
      <c r="K237" s="562"/>
      <c r="L237" s="562"/>
      <c r="M237" s="562"/>
      <c r="N237" s="562"/>
      <c r="O237" s="562"/>
      <c r="P237" s="562"/>
      <c r="Q237" s="562"/>
      <c r="R237" s="562"/>
      <c r="S237" s="562"/>
      <c r="T237" s="562"/>
      <c r="U237" s="562"/>
      <c r="V237" s="562"/>
      <c r="W237" s="562"/>
      <c r="X237" s="562"/>
      <c r="Y237" s="669"/>
      <c r="Z237" s="669"/>
      <c r="AA237" s="669"/>
      <c r="AB237" s="669"/>
      <c r="AC237" s="562"/>
      <c r="AD237" s="562"/>
      <c r="AE237" s="636"/>
      <c r="AF237" s="636"/>
      <c r="AG237" s="636"/>
      <c r="AH237" s="636"/>
      <c r="AI237" s="636"/>
      <c r="AJ237" s="636"/>
      <c r="AK237" s="636"/>
    </row>
    <row r="238" spans="1:37">
      <c r="A238" s="631"/>
      <c r="B238" s="502"/>
      <c r="C238" s="689"/>
      <c r="D238" s="854"/>
      <c r="E238" s="854"/>
      <c r="F238" s="854"/>
      <c r="G238" s="854"/>
      <c r="H238" s="854"/>
      <c r="I238" s="854"/>
      <c r="J238" s="854"/>
      <c r="K238" s="562"/>
      <c r="L238" s="562"/>
      <c r="M238" s="562"/>
      <c r="N238" s="562"/>
      <c r="O238" s="562"/>
      <c r="P238" s="562"/>
      <c r="Q238" s="562"/>
      <c r="R238" s="562"/>
      <c r="S238" s="562"/>
      <c r="T238" s="562"/>
      <c r="U238" s="562"/>
      <c r="V238" s="562"/>
      <c r="W238" s="562"/>
      <c r="X238" s="562"/>
      <c r="Y238" s="669"/>
      <c r="Z238" s="669"/>
      <c r="AA238" s="669"/>
      <c r="AB238" s="669"/>
      <c r="AC238" s="562"/>
      <c r="AD238" s="562"/>
      <c r="AE238" s="636"/>
      <c r="AF238" s="636"/>
      <c r="AG238" s="636"/>
      <c r="AH238" s="636"/>
      <c r="AI238" s="636"/>
      <c r="AJ238" s="636"/>
      <c r="AK238" s="636"/>
    </row>
    <row r="239" spans="1:37">
      <c r="A239" s="631"/>
      <c r="B239" s="502" t="s">
        <v>1787</v>
      </c>
      <c r="C239" s="689"/>
      <c r="D239" s="854"/>
      <c r="E239" s="854"/>
      <c r="F239" s="854"/>
      <c r="G239" s="854"/>
      <c r="H239" s="854"/>
      <c r="I239" s="854"/>
      <c r="J239" s="854"/>
      <c r="K239" s="562"/>
      <c r="L239" s="562"/>
      <c r="M239" s="562"/>
      <c r="N239" s="562"/>
      <c r="O239" s="562"/>
      <c r="P239" s="562"/>
      <c r="Q239" s="562"/>
      <c r="R239" s="562"/>
      <c r="S239" s="562"/>
      <c r="U239" s="866"/>
      <c r="V239" s="866"/>
      <c r="W239" s="866"/>
      <c r="X239" s="866"/>
      <c r="Y239" s="866"/>
      <c r="Z239" s="669"/>
      <c r="AA239" s="669"/>
      <c r="AB239" s="1973">
        <f>AB223+AB236</f>
        <v>0</v>
      </c>
      <c r="AC239" s="1973"/>
      <c r="AD239" s="1973"/>
      <c r="AE239" s="1973"/>
      <c r="AF239" s="1973"/>
      <c r="AG239" s="1973"/>
      <c r="AH239" s="636"/>
      <c r="AI239" s="636"/>
      <c r="AJ239" s="636"/>
      <c r="AK239" s="636"/>
    </row>
    <row r="240" spans="1:37">
      <c r="A240" s="631"/>
      <c r="B240" s="502" t="s">
        <v>867</v>
      </c>
      <c r="C240" s="689"/>
      <c r="D240" s="854"/>
      <c r="E240" s="854"/>
      <c r="F240" s="854"/>
      <c r="G240" s="854"/>
      <c r="H240" s="854"/>
      <c r="I240" s="854"/>
      <c r="J240" s="854"/>
      <c r="K240" s="562"/>
      <c r="L240" s="562"/>
      <c r="M240" s="562"/>
      <c r="N240" s="562"/>
      <c r="O240" s="562"/>
      <c r="P240" s="562"/>
      <c r="Q240" s="562"/>
      <c r="R240" s="562"/>
      <c r="S240" s="562"/>
      <c r="U240" s="867"/>
      <c r="V240" s="867"/>
      <c r="W240" s="867"/>
      <c r="X240" s="867"/>
      <c r="Y240" s="867"/>
      <c r="Z240" s="669"/>
      <c r="AA240" s="669"/>
      <c r="AB240" s="2003">
        <v>0.05</v>
      </c>
      <c r="AC240" s="2003"/>
      <c r="AD240" s="2003"/>
      <c r="AE240" s="2003"/>
      <c r="AF240" s="2003"/>
      <c r="AG240" s="2003"/>
      <c r="AH240" s="636"/>
      <c r="AI240" s="636"/>
      <c r="AJ240" s="636"/>
      <c r="AK240" s="636"/>
    </row>
    <row r="241" spans="1:37">
      <c r="A241" s="631"/>
      <c r="B241" s="502" t="s">
        <v>1788</v>
      </c>
      <c r="C241" s="689"/>
      <c r="D241" s="854"/>
      <c r="E241" s="854"/>
      <c r="F241" s="854"/>
      <c r="G241" s="854"/>
      <c r="H241" s="854"/>
      <c r="I241" s="854"/>
      <c r="J241" s="854"/>
      <c r="K241" s="562"/>
      <c r="L241" s="562"/>
      <c r="M241" s="562"/>
      <c r="N241" s="562"/>
      <c r="O241" s="562"/>
      <c r="P241" s="562"/>
      <c r="Q241" s="562"/>
      <c r="R241" s="562"/>
      <c r="S241" s="562"/>
      <c r="U241" s="866"/>
      <c r="V241" s="866"/>
      <c r="W241" s="866"/>
      <c r="X241" s="866"/>
      <c r="Y241" s="866"/>
      <c r="Z241" s="669"/>
      <c r="AA241" s="669"/>
      <c r="AB241" s="2004">
        <f>AB239-(AB239*AB240)</f>
        <v>0</v>
      </c>
      <c r="AC241" s="2004"/>
      <c r="AD241" s="2004"/>
      <c r="AE241" s="2004"/>
      <c r="AF241" s="2004"/>
      <c r="AG241" s="2004"/>
      <c r="AH241" s="636"/>
      <c r="AI241" s="636"/>
      <c r="AJ241" s="636"/>
      <c r="AK241" s="636"/>
    </row>
    <row r="242" spans="1:37">
      <c r="A242" s="631"/>
      <c r="B242" s="502" t="s">
        <v>1789</v>
      </c>
      <c r="C242" s="689"/>
      <c r="D242" s="854"/>
      <c r="E242" s="854"/>
      <c r="F242" s="854"/>
      <c r="G242" s="854"/>
      <c r="H242" s="854"/>
      <c r="I242" s="854"/>
      <c r="J242" s="854"/>
      <c r="K242" s="562"/>
      <c r="L242" s="562"/>
      <c r="M242" s="562"/>
      <c r="N242" s="562"/>
      <c r="O242" s="562"/>
      <c r="P242" s="562"/>
      <c r="Q242" s="562"/>
      <c r="R242" s="562"/>
      <c r="S242" s="562"/>
      <c r="U242" s="562"/>
      <c r="V242" s="562"/>
      <c r="W242" s="562"/>
      <c r="X242" s="562"/>
      <c r="Y242" s="868"/>
      <c r="Z242" s="669"/>
      <c r="AA242" s="669"/>
      <c r="AB242" s="562"/>
      <c r="AC242" s="562"/>
      <c r="AD242" s="562"/>
      <c r="AE242" s="636"/>
      <c r="AF242" s="636"/>
      <c r="AG242" s="636"/>
      <c r="AH242" s="636"/>
      <c r="AI242" s="636"/>
      <c r="AJ242" s="636"/>
      <c r="AK242" s="636"/>
    </row>
    <row r="243" spans="1:37">
      <c r="A243" s="631"/>
      <c r="B243" s="502" t="s">
        <v>1790</v>
      </c>
      <c r="C243" s="689"/>
      <c r="D243" s="854"/>
      <c r="E243" s="854"/>
      <c r="F243" s="854"/>
      <c r="G243" s="854"/>
      <c r="H243" s="854"/>
      <c r="I243" s="854"/>
      <c r="J243" s="854"/>
      <c r="K243" s="562"/>
      <c r="L243" s="562"/>
      <c r="M243" s="562"/>
      <c r="N243" s="562"/>
      <c r="O243" s="562"/>
      <c r="P243" s="562"/>
      <c r="Q243" s="562"/>
      <c r="R243" s="562"/>
      <c r="S243" s="562"/>
      <c r="U243" s="866"/>
      <c r="V243" s="866"/>
      <c r="W243" s="866"/>
      <c r="X243" s="866"/>
      <c r="Y243" s="866"/>
      <c r="Z243" s="669"/>
      <c r="AA243" s="669"/>
      <c r="AB243" s="1973">
        <f>AB241/AB247</f>
        <v>0</v>
      </c>
      <c r="AC243" s="1973"/>
      <c r="AD243" s="1973"/>
      <c r="AE243" s="1973"/>
      <c r="AF243" s="1973"/>
      <c r="AG243" s="1973"/>
      <c r="AH243" s="636"/>
      <c r="AI243" s="636"/>
      <c r="AJ243" s="636"/>
      <c r="AK243" s="636"/>
    </row>
    <row r="244" spans="1:37">
      <c r="A244" s="631"/>
      <c r="B244" s="502"/>
      <c r="C244" s="689"/>
      <c r="D244" s="854"/>
      <c r="E244" s="854"/>
      <c r="F244" s="854"/>
      <c r="G244" s="854"/>
      <c r="H244" s="854"/>
      <c r="I244" s="854"/>
      <c r="J244" s="854"/>
      <c r="K244" s="562"/>
      <c r="L244" s="562"/>
      <c r="M244" s="562"/>
      <c r="N244" s="562"/>
      <c r="O244" s="562"/>
      <c r="P244" s="562"/>
      <c r="Q244" s="562"/>
      <c r="R244" s="562"/>
      <c r="S244" s="562"/>
      <c r="U244" s="562"/>
      <c r="V244" s="562"/>
      <c r="W244" s="562"/>
      <c r="X244" s="562"/>
      <c r="Y244" s="502"/>
      <c r="Z244" s="669"/>
      <c r="AA244" s="669"/>
      <c r="AB244" s="562"/>
      <c r="AC244" s="562"/>
      <c r="AD244" s="562"/>
      <c r="AE244" s="636"/>
      <c r="AF244" s="636"/>
      <c r="AG244" s="636"/>
      <c r="AH244" s="636"/>
      <c r="AI244" s="636"/>
      <c r="AJ244" s="636"/>
      <c r="AK244" s="636"/>
    </row>
    <row r="245" spans="1:37">
      <c r="A245" s="631"/>
      <c r="B245" s="502" t="s">
        <v>1791</v>
      </c>
      <c r="C245" s="689"/>
      <c r="D245" s="854"/>
      <c r="E245" s="854"/>
      <c r="F245" s="854"/>
      <c r="G245" s="854"/>
      <c r="H245" s="854"/>
      <c r="I245" s="854"/>
      <c r="J245" s="854"/>
      <c r="K245" s="562"/>
      <c r="L245" s="562"/>
      <c r="M245" s="562"/>
      <c r="N245" s="562"/>
      <c r="O245" s="562"/>
      <c r="P245" s="562"/>
      <c r="Q245" s="562"/>
      <c r="R245" s="562"/>
      <c r="S245" s="562"/>
      <c r="U245" s="502"/>
      <c r="V245" s="502"/>
      <c r="W245" s="502"/>
      <c r="X245" s="502"/>
      <c r="Y245" s="502"/>
      <c r="Z245" s="669"/>
      <c r="AA245" s="669"/>
      <c r="AB245" s="1965">
        <v>15</v>
      </c>
      <c r="AC245" s="1965"/>
      <c r="AD245" s="1965"/>
      <c r="AE245" s="1965"/>
      <c r="AF245" s="1965"/>
      <c r="AG245" s="1965"/>
      <c r="AH245" s="636"/>
      <c r="AI245" s="636"/>
      <c r="AJ245" s="636"/>
      <c r="AK245" s="636"/>
    </row>
    <row r="246" spans="1:37">
      <c r="A246" s="631"/>
      <c r="B246" s="502" t="s">
        <v>1792</v>
      </c>
      <c r="C246" s="689"/>
      <c r="D246" s="854"/>
      <c r="E246" s="854"/>
      <c r="F246" s="854"/>
      <c r="G246" s="854"/>
      <c r="H246" s="854"/>
      <c r="I246" s="854"/>
      <c r="J246" s="854"/>
      <c r="K246" s="562"/>
      <c r="L246" s="562"/>
      <c r="M246" s="562"/>
      <c r="N246" s="562"/>
      <c r="O246" s="562"/>
      <c r="P246" s="562"/>
      <c r="Q246" s="562"/>
      <c r="R246" s="562"/>
      <c r="S246" s="562"/>
      <c r="U246" s="867"/>
      <c r="V246" s="867"/>
      <c r="W246" s="867"/>
      <c r="X246" s="867"/>
      <c r="Y246" s="867"/>
      <c r="Z246" s="669"/>
      <c r="AA246" s="669"/>
      <c r="AB246" s="2005">
        <v>0.04</v>
      </c>
      <c r="AC246" s="2005"/>
      <c r="AD246" s="2005"/>
      <c r="AE246" s="2005"/>
      <c r="AF246" s="2005"/>
      <c r="AG246" s="2005"/>
      <c r="AH246" s="636"/>
      <c r="AI246" s="636"/>
      <c r="AJ246" s="636"/>
      <c r="AK246" s="636"/>
    </row>
    <row r="247" spans="1:37">
      <c r="A247" s="631"/>
      <c r="B247" s="502" t="s">
        <v>879</v>
      </c>
      <c r="C247" s="689"/>
      <c r="D247" s="854"/>
      <c r="E247" s="854"/>
      <c r="F247" s="854"/>
      <c r="G247" s="854"/>
      <c r="H247" s="854"/>
      <c r="I247" s="854"/>
      <c r="J247" s="854"/>
      <c r="K247" s="562"/>
      <c r="L247" s="562"/>
      <c r="M247" s="562"/>
      <c r="N247" s="562"/>
      <c r="O247" s="562"/>
      <c r="P247" s="562"/>
      <c r="Q247" s="562"/>
      <c r="R247" s="562"/>
      <c r="S247" s="562"/>
      <c r="U247" s="869"/>
      <c r="V247" s="869"/>
      <c r="W247" s="869"/>
      <c r="X247" s="869"/>
      <c r="Y247" s="869"/>
      <c r="Z247" s="669"/>
      <c r="AA247" s="669"/>
      <c r="AB247" s="1977">
        <v>1.1499999999999999</v>
      </c>
      <c r="AC247" s="1977"/>
      <c r="AD247" s="1977"/>
      <c r="AE247" s="1977"/>
      <c r="AF247" s="1977"/>
      <c r="AG247" s="1977"/>
      <c r="AH247" s="636"/>
      <c r="AI247" s="636"/>
      <c r="AJ247" s="636"/>
      <c r="AK247" s="636"/>
    </row>
    <row r="248" spans="1:37">
      <c r="A248" s="631"/>
      <c r="B248" s="502"/>
      <c r="C248" s="689"/>
      <c r="D248" s="854"/>
      <c r="E248" s="854"/>
      <c r="F248" s="854"/>
      <c r="G248" s="854"/>
      <c r="H248" s="854"/>
      <c r="I248" s="854"/>
      <c r="J248" s="854"/>
      <c r="K248" s="562"/>
      <c r="L248" s="562"/>
      <c r="M248" s="562"/>
      <c r="N248" s="562"/>
      <c r="O248" s="562"/>
      <c r="P248" s="562"/>
      <c r="Q248" s="562"/>
      <c r="R248" s="562"/>
      <c r="S248" s="562"/>
      <c r="U248" s="562"/>
      <c r="V248" s="562"/>
      <c r="W248" s="562"/>
      <c r="X248" s="562"/>
      <c r="Y248" s="515"/>
      <c r="Z248" s="669"/>
      <c r="AA248" s="669"/>
      <c r="AB248" s="562"/>
      <c r="AC248" s="562"/>
      <c r="AD248" s="562"/>
      <c r="AE248" s="636"/>
      <c r="AF248" s="636"/>
      <c r="AG248" s="636"/>
      <c r="AH248" s="636"/>
      <c r="AI248" s="636"/>
      <c r="AJ248" s="636"/>
      <c r="AK248" s="636"/>
    </row>
    <row r="249" spans="1:37" ht="13">
      <c r="A249" s="631"/>
      <c r="B249" s="871" t="s">
        <v>1793</v>
      </c>
      <c r="C249" s="689"/>
      <c r="D249" s="854"/>
      <c r="E249" s="854"/>
      <c r="F249" s="854"/>
      <c r="G249" s="854"/>
      <c r="H249" s="854"/>
      <c r="I249" s="854"/>
      <c r="J249" s="854"/>
      <c r="K249" s="562"/>
      <c r="L249" s="562"/>
      <c r="M249" s="562"/>
      <c r="N249" s="562"/>
      <c r="O249" s="562"/>
      <c r="P249" s="562"/>
      <c r="Q249" s="562"/>
      <c r="R249" s="562"/>
      <c r="S249" s="562"/>
      <c r="U249" s="870"/>
      <c r="V249" s="870"/>
      <c r="W249" s="870"/>
      <c r="X249" s="870"/>
      <c r="Y249" s="870"/>
      <c r="Z249" s="669"/>
      <c r="AA249" s="669"/>
      <c r="AB249" s="1996">
        <f>PV(AB246/12,AB245*12,-AB243/12, ,0)</f>
        <v>0</v>
      </c>
      <c r="AC249" s="1997"/>
      <c r="AD249" s="1997"/>
      <c r="AE249" s="1997"/>
      <c r="AF249" s="1997"/>
      <c r="AG249" s="1998"/>
      <c r="AH249" s="636"/>
      <c r="AI249" s="636"/>
      <c r="AJ249" s="636"/>
      <c r="AK249" s="636"/>
    </row>
    <row r="250" spans="1:37" ht="13">
      <c r="A250" s="631"/>
      <c r="B250" s="871"/>
      <c r="C250" s="689"/>
      <c r="D250" s="854"/>
      <c r="E250" s="854"/>
      <c r="F250" s="854"/>
      <c r="G250" s="854"/>
      <c r="H250" s="854"/>
      <c r="I250" s="854"/>
      <c r="J250" s="854"/>
      <c r="K250" s="562"/>
      <c r="L250" s="562"/>
      <c r="M250" s="562"/>
      <c r="N250" s="562"/>
      <c r="O250" s="562"/>
      <c r="P250" s="562"/>
      <c r="Q250" s="562"/>
      <c r="R250" s="562"/>
      <c r="S250" s="562"/>
      <c r="U250" s="870"/>
      <c r="V250" s="870"/>
      <c r="W250" s="870"/>
      <c r="X250" s="870"/>
      <c r="Y250" s="870"/>
      <c r="Z250" s="669"/>
      <c r="AA250" s="669"/>
      <c r="AB250" s="882"/>
      <c r="AC250" s="882"/>
      <c r="AD250" s="882"/>
      <c r="AE250" s="882"/>
      <c r="AF250" s="882"/>
      <c r="AG250" s="882"/>
      <c r="AH250" s="636"/>
      <c r="AI250" s="636"/>
      <c r="AJ250" s="636"/>
      <c r="AK250" s="636"/>
    </row>
    <row r="251" spans="1:37" ht="13">
      <c r="A251" s="631"/>
      <c r="B251" s="871"/>
      <c r="C251" s="689"/>
      <c r="D251" s="854"/>
      <c r="E251" s="854"/>
      <c r="F251" s="854"/>
      <c r="G251" s="854"/>
      <c r="H251" s="854"/>
      <c r="I251" s="854"/>
      <c r="J251" s="854"/>
      <c r="K251" s="562"/>
      <c r="L251" s="562"/>
      <c r="M251" s="562"/>
      <c r="N251" s="562"/>
      <c r="O251" s="562"/>
      <c r="P251" s="562"/>
      <c r="Q251" s="562"/>
      <c r="R251" s="562"/>
      <c r="S251" s="562"/>
      <c r="U251" s="870"/>
      <c r="V251" s="870"/>
      <c r="W251" s="870"/>
      <c r="X251" s="870"/>
      <c r="Y251" s="870"/>
      <c r="Z251" s="669"/>
      <c r="AA251" s="669"/>
      <c r="AB251" s="882"/>
      <c r="AC251" s="882"/>
      <c r="AD251" s="882"/>
      <c r="AE251" s="882"/>
      <c r="AF251" s="882"/>
      <c r="AG251" s="882"/>
      <c r="AH251" s="636"/>
      <c r="AI251" s="636"/>
      <c r="AJ251" s="636"/>
      <c r="AK251" s="636"/>
    </row>
    <row r="252" spans="1:37" ht="13">
      <c r="A252" s="631"/>
      <c r="B252" s="874" t="s">
        <v>1769</v>
      </c>
      <c r="C252" s="874"/>
      <c r="D252" s="854"/>
      <c r="E252" s="854"/>
      <c r="F252" s="854"/>
      <c r="G252" s="854"/>
      <c r="H252" s="854"/>
      <c r="I252" s="854"/>
      <c r="J252" s="854"/>
      <c r="K252" s="562"/>
      <c r="L252" s="562"/>
      <c r="M252" s="562"/>
      <c r="N252" s="562"/>
      <c r="O252" s="562"/>
      <c r="P252" s="562"/>
      <c r="Q252" s="562"/>
      <c r="R252" s="562"/>
      <c r="S252" s="562"/>
      <c r="T252" s="562"/>
      <c r="U252" s="562"/>
      <c r="V252" s="562"/>
      <c r="W252" s="562"/>
      <c r="X252" s="562"/>
      <c r="Y252" s="669"/>
      <c r="Z252" s="669"/>
      <c r="AA252" s="669"/>
      <c r="AB252" s="669"/>
      <c r="AC252" s="562"/>
      <c r="AD252" s="562"/>
      <c r="AE252" s="636"/>
      <c r="AF252" s="636"/>
      <c r="AG252" s="636"/>
      <c r="AH252" s="636"/>
      <c r="AI252" s="636"/>
      <c r="AJ252" s="636"/>
      <c r="AK252" s="636"/>
    </row>
    <row r="253" spans="1:37">
      <c r="A253" s="631"/>
      <c r="B253" s="631" t="s">
        <v>1772</v>
      </c>
      <c r="C253" s="689"/>
      <c r="D253" s="854"/>
      <c r="E253" s="854"/>
      <c r="F253" s="854"/>
      <c r="G253" s="854"/>
      <c r="H253" s="854"/>
      <c r="I253" s="854"/>
      <c r="J253" s="854"/>
      <c r="K253" s="562"/>
      <c r="L253" s="562"/>
      <c r="M253" s="562"/>
      <c r="N253" s="562"/>
      <c r="O253" s="562"/>
      <c r="P253" s="562"/>
      <c r="Q253" s="562"/>
      <c r="R253" s="562"/>
      <c r="S253" s="562"/>
      <c r="T253" s="562"/>
      <c r="U253" s="562"/>
      <c r="V253" s="562"/>
      <c r="W253" s="562"/>
      <c r="X253" s="562"/>
      <c r="Y253" s="669"/>
      <c r="Z253" s="669"/>
      <c r="AA253" s="669"/>
      <c r="AB253" s="669"/>
      <c r="AC253" s="562"/>
      <c r="AD253" s="562"/>
      <c r="AE253" s="636"/>
      <c r="AF253" s="636"/>
      <c r="AG253" s="636"/>
      <c r="AH253" s="636"/>
      <c r="AI253" s="636"/>
      <c r="AJ253" s="636"/>
      <c r="AK253" s="636"/>
    </row>
    <row r="254" spans="1:37">
      <c r="A254" s="631"/>
      <c r="B254" s="631" t="s">
        <v>1771</v>
      </c>
      <c r="C254" s="689"/>
      <c r="D254" s="854"/>
      <c r="E254" s="854"/>
      <c r="F254" s="854"/>
      <c r="G254" s="854"/>
      <c r="H254" s="854"/>
      <c r="I254" s="854"/>
      <c r="J254" s="854"/>
      <c r="K254" s="562"/>
      <c r="L254" s="562"/>
      <c r="M254" s="562"/>
      <c r="N254" s="562"/>
      <c r="O254" s="562"/>
      <c r="P254" s="562"/>
      <c r="Q254" s="562"/>
      <c r="R254" s="562"/>
      <c r="S254" s="562"/>
      <c r="T254" s="562"/>
      <c r="U254" s="562"/>
      <c r="V254" s="562"/>
      <c r="W254" s="562"/>
      <c r="X254" s="562"/>
      <c r="Y254" s="669"/>
      <c r="Z254" s="669"/>
      <c r="AA254" s="669"/>
      <c r="AB254" s="669"/>
      <c r="AC254" s="562"/>
      <c r="AD254" s="562"/>
      <c r="AE254" s="636"/>
      <c r="AF254" s="636"/>
      <c r="AG254" s="636"/>
      <c r="AH254" s="636"/>
      <c r="AI254" s="636"/>
      <c r="AJ254" s="636"/>
      <c r="AK254" s="636"/>
    </row>
    <row r="255" spans="1:37">
      <c r="A255" s="631"/>
      <c r="B255" s="631" t="s">
        <v>1770</v>
      </c>
      <c r="C255" s="689"/>
      <c r="D255" s="854"/>
      <c r="E255" s="854"/>
      <c r="F255" s="854"/>
      <c r="G255" s="854"/>
      <c r="H255" s="854"/>
      <c r="I255" s="854"/>
      <c r="J255" s="854"/>
      <c r="K255" s="562"/>
      <c r="L255" s="562"/>
      <c r="M255" s="562"/>
      <c r="N255" s="562"/>
      <c r="O255" s="562"/>
      <c r="P255" s="562"/>
      <c r="Q255" s="562"/>
      <c r="R255" s="562"/>
      <c r="S255" s="562"/>
      <c r="T255" s="562"/>
      <c r="U255" s="562"/>
      <c r="V255" s="562"/>
      <c r="W255" s="562"/>
      <c r="X255" s="562"/>
      <c r="Y255" s="669"/>
      <c r="Z255" s="669"/>
      <c r="AA255" s="669"/>
      <c r="AB255" s="2000">
        <f>IFERROR(('Sources and Uses Budget'!D105/'Sources and Uses Budget'!B105),0)</f>
        <v>0</v>
      </c>
      <c r="AC255" s="2001"/>
      <c r="AD255" s="2001"/>
      <c r="AE255" s="2001"/>
      <c r="AF255" s="2001"/>
      <c r="AG255" s="2002"/>
      <c r="AH255" s="883"/>
      <c r="AI255" s="883"/>
      <c r="AJ255" s="883"/>
      <c r="AK255" s="636"/>
    </row>
    <row r="256" spans="1:37">
      <c r="A256" s="631"/>
      <c r="B256" s="502"/>
      <c r="C256" s="689"/>
      <c r="D256" s="854"/>
      <c r="E256" s="854"/>
      <c r="F256" s="854"/>
      <c r="G256" s="854"/>
      <c r="H256" s="854"/>
      <c r="I256" s="854"/>
      <c r="J256" s="854"/>
      <c r="K256" s="562"/>
      <c r="L256" s="562"/>
      <c r="M256" s="562"/>
      <c r="N256" s="562"/>
      <c r="O256" s="562"/>
      <c r="P256" s="562"/>
      <c r="Q256" s="562"/>
      <c r="R256" s="562"/>
      <c r="S256" s="562"/>
      <c r="T256" s="562"/>
      <c r="U256" s="562"/>
      <c r="V256" s="562"/>
      <c r="W256" s="562"/>
      <c r="X256" s="562"/>
      <c r="Y256" s="669"/>
      <c r="Z256" s="669"/>
      <c r="AA256" s="669"/>
      <c r="AB256" s="669"/>
      <c r="AC256" s="562"/>
      <c r="AD256" s="562"/>
      <c r="AE256" s="636"/>
      <c r="AF256" s="636"/>
      <c r="AG256" s="636"/>
      <c r="AH256" s="636"/>
      <c r="AI256" s="636"/>
      <c r="AJ256" s="636"/>
      <c r="AK256" s="636"/>
    </row>
    <row r="257" spans="1:52" ht="13">
      <c r="A257" s="648"/>
      <c r="B257" s="473" t="s">
        <v>1546</v>
      </c>
      <c r="C257" s="649"/>
      <c r="D257" s="649"/>
      <c r="E257" s="649"/>
      <c r="F257" s="649"/>
      <c r="H257" s="650"/>
      <c r="I257" s="650"/>
      <c r="J257" s="650"/>
      <c r="K257" s="650"/>
      <c r="L257" s="650"/>
      <c r="M257" s="650"/>
      <c r="N257" s="650"/>
      <c r="O257" s="650"/>
      <c r="P257" s="650"/>
      <c r="Q257" s="650"/>
      <c r="R257" s="650"/>
      <c r="Y257" s="650"/>
      <c r="Z257" s="650"/>
      <c r="AA257" s="650"/>
      <c r="AB257" s="648"/>
      <c r="AC257" s="648"/>
      <c r="AD257" s="648"/>
      <c r="AE257" s="648"/>
      <c r="AG257" s="1990">
        <f>AD200*(1-AB255)</f>
        <v>33125087</v>
      </c>
      <c r="AH257" s="1990"/>
      <c r="AI257" s="1990"/>
      <c r="AJ257" s="1990"/>
      <c r="AK257" s="1990"/>
    </row>
    <row r="258" spans="1:52">
      <c r="A258" s="648"/>
      <c r="B258" s="651" t="s">
        <v>1547</v>
      </c>
      <c r="C258" s="652"/>
      <c r="D258" s="650"/>
      <c r="E258" s="650"/>
      <c r="F258" s="652"/>
      <c r="G258" s="652"/>
      <c r="H258" s="652"/>
      <c r="I258" s="652"/>
      <c r="J258" s="652"/>
      <c r="K258" s="652"/>
      <c r="L258" s="652"/>
      <c r="M258" s="650"/>
      <c r="N258" s="652"/>
      <c r="O258" s="652"/>
      <c r="P258" s="652"/>
      <c r="Q258" s="652"/>
      <c r="R258" s="652"/>
      <c r="Y258" s="650"/>
      <c r="Z258" s="650"/>
      <c r="AA258" s="650"/>
      <c r="AB258" s="648"/>
      <c r="AC258" s="648"/>
      <c r="AD258" s="648"/>
      <c r="AE258" s="648"/>
      <c r="AG258" s="1990">
        <f>'Sources and Uses Budget'!C105</f>
        <v>140549066</v>
      </c>
      <c r="AH258" s="1990"/>
      <c r="AI258" s="1990"/>
      <c r="AJ258" s="1990"/>
      <c r="AK258" s="1990"/>
    </row>
    <row r="259" spans="1:52">
      <c r="A259" s="648"/>
      <c r="B259" s="650" t="s">
        <v>13</v>
      </c>
      <c r="C259" s="650"/>
      <c r="D259" s="650"/>
      <c r="E259" s="650"/>
      <c r="F259" s="650"/>
      <c r="G259" s="650"/>
      <c r="H259" s="650"/>
      <c r="I259" s="650"/>
      <c r="J259" s="650"/>
      <c r="K259" s="650"/>
      <c r="L259" s="650"/>
      <c r="M259" s="650"/>
      <c r="N259" s="650"/>
      <c r="O259" s="650"/>
      <c r="P259" s="650"/>
      <c r="Q259" s="650"/>
      <c r="R259" s="650"/>
      <c r="Y259" s="650"/>
      <c r="Z259" s="650"/>
      <c r="AA259" s="650"/>
      <c r="AB259" s="648"/>
      <c r="AC259" s="648"/>
      <c r="AD259" s="648"/>
      <c r="AE259" s="648"/>
      <c r="AG259" s="1991">
        <f>ROUNDDOWN(IF(AND(C281="Yes",AK78=10),((AG257*2)/AG258),AG257/AG258),2)</f>
        <v>0.23</v>
      </c>
      <c r="AH259" s="1991"/>
      <c r="AI259" s="1991"/>
      <c r="AJ259" s="1991"/>
      <c r="AK259" s="1991"/>
    </row>
    <row r="260" spans="1:52" ht="13">
      <c r="A260" s="648"/>
      <c r="B260" s="997" t="s">
        <v>2002</v>
      </c>
      <c r="C260" s="650"/>
      <c r="D260" s="650"/>
      <c r="E260" s="650"/>
      <c r="F260" s="650"/>
      <c r="G260" s="650"/>
      <c r="H260" s="650"/>
      <c r="I260" s="650"/>
      <c r="J260" s="650"/>
      <c r="K260" s="650"/>
      <c r="L260" s="650"/>
      <c r="M260" s="650"/>
      <c r="N260" s="650"/>
      <c r="O260" s="650"/>
      <c r="P260" s="650"/>
      <c r="Q260" s="650"/>
      <c r="R260" s="650"/>
      <c r="Y260" s="650"/>
      <c r="Z260" s="650"/>
      <c r="AA260" s="650"/>
      <c r="AB260" s="648"/>
      <c r="AC260" s="648"/>
      <c r="AD260" s="648"/>
      <c r="AE260" s="648"/>
      <c r="AG260" s="996"/>
      <c r="AH260" s="996"/>
      <c r="AI260" s="996"/>
      <c r="AJ260" s="996"/>
      <c r="AK260" s="996"/>
    </row>
    <row r="261" spans="1:52">
      <c r="A261" s="653"/>
      <c r="B261" s="653"/>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c r="Z261" s="653"/>
      <c r="AA261" s="653"/>
      <c r="AB261" s="653"/>
      <c r="AC261" s="653"/>
      <c r="AD261" s="653"/>
      <c r="AE261" s="653"/>
      <c r="AF261" s="653"/>
      <c r="AG261" s="653"/>
      <c r="AH261" s="653"/>
      <c r="AI261" s="653"/>
      <c r="AJ261" s="653"/>
    </row>
    <row r="262" spans="1:52" ht="13">
      <c r="A262" s="654"/>
      <c r="B262" s="654"/>
      <c r="C262" s="654"/>
      <c r="D262" s="654"/>
      <c r="E262" s="654"/>
      <c r="F262" s="654"/>
      <c r="G262" s="654"/>
      <c r="H262" s="654"/>
      <c r="I262" s="654"/>
      <c r="J262" s="654"/>
      <c r="K262" s="654"/>
      <c r="L262" s="654"/>
      <c r="M262" s="654"/>
      <c r="N262" s="654"/>
      <c r="O262" s="654"/>
      <c r="P262" s="654"/>
      <c r="Q262" s="654"/>
      <c r="R262" s="654"/>
      <c r="S262" s="654"/>
      <c r="T262" s="654"/>
      <c r="U262" s="654"/>
      <c r="V262" s="654"/>
      <c r="W262" s="654"/>
      <c r="X262" s="654"/>
      <c r="Y262" s="654"/>
      <c r="Z262" s="654"/>
      <c r="AA262" s="654"/>
      <c r="AB262" s="654"/>
      <c r="AC262" s="654"/>
      <c r="AD262" s="654"/>
      <c r="AE262" s="654"/>
      <c r="AF262" s="654"/>
      <c r="AG262" s="654"/>
      <c r="AH262" s="655"/>
      <c r="AI262" s="591"/>
      <c r="AJ262" s="591" t="s">
        <v>1548</v>
      </c>
      <c r="AK262" s="1992">
        <f>IFERROR(IF(AG259=0,0,IF((AG259*100)&gt;8,8,(AG259*100))),0)</f>
        <v>8</v>
      </c>
      <c r="AL262" s="1992"/>
      <c r="AM262" s="1993"/>
    </row>
    <row r="263" spans="1:52" ht="13" thickBot="1"/>
    <row r="264" spans="1:52" s="576" customFormat="1" ht="12.75" customHeight="1" thickTop="1">
      <c r="A264" s="638"/>
      <c r="B264" s="656"/>
      <c r="C264" s="656"/>
      <c r="D264" s="656"/>
      <c r="E264" s="656"/>
      <c r="F264" s="656"/>
      <c r="G264" s="656"/>
      <c r="H264" s="656"/>
      <c r="I264" s="656"/>
      <c r="J264" s="656"/>
      <c r="K264" s="656"/>
      <c r="L264" s="656"/>
      <c r="M264" s="656"/>
      <c r="N264" s="656"/>
      <c r="O264" s="656"/>
      <c r="P264" s="656"/>
      <c r="Q264" s="656"/>
      <c r="R264" s="656"/>
      <c r="S264" s="656"/>
      <c r="T264" s="656"/>
      <c r="U264" s="656"/>
      <c r="V264" s="656"/>
      <c r="W264" s="656"/>
      <c r="X264" s="656"/>
      <c r="Y264" s="656"/>
      <c r="Z264" s="656"/>
      <c r="AA264" s="656"/>
      <c r="AB264" s="656"/>
      <c r="AC264" s="657"/>
      <c r="AD264" s="656"/>
      <c r="AE264" s="656"/>
      <c r="AF264" s="656"/>
      <c r="AG264" s="656"/>
      <c r="AH264" s="638"/>
      <c r="AI264" s="658"/>
      <c r="AJ264" s="658"/>
      <c r="AK264" s="659"/>
      <c r="AL264" s="659"/>
      <c r="AM264" s="660"/>
      <c r="AN264" s="623"/>
      <c r="AP264" s="562"/>
      <c r="AQ264" s="562"/>
      <c r="AR264" s="562"/>
      <c r="AS264" s="562"/>
      <c r="AT264" s="562"/>
      <c r="AU264" s="562"/>
      <c r="AV264" s="562"/>
      <c r="AW264" s="562"/>
      <c r="AX264" s="562"/>
      <c r="AY264" s="562"/>
      <c r="AZ264" s="562"/>
    </row>
    <row r="265" spans="1:52" ht="13">
      <c r="A265" s="564" t="s">
        <v>1549</v>
      </c>
      <c r="B265" s="564" t="s">
        <v>1550</v>
      </c>
      <c r="C265" s="565"/>
      <c r="D265" s="576"/>
      <c r="E265" s="576"/>
      <c r="F265" s="576"/>
      <c r="G265" s="576"/>
      <c r="H265" s="576"/>
      <c r="I265" s="576"/>
      <c r="J265" s="576"/>
      <c r="K265" s="576"/>
      <c r="L265" s="576"/>
      <c r="M265" s="576"/>
      <c r="N265" s="576"/>
      <c r="O265" s="576"/>
      <c r="P265" s="576"/>
      <c r="Q265" s="576"/>
      <c r="R265" s="576"/>
      <c r="S265" s="576"/>
      <c r="T265" s="576"/>
      <c r="U265" s="576"/>
      <c r="V265" s="576"/>
      <c r="W265" s="576"/>
      <c r="X265" s="576"/>
      <c r="Y265" s="576"/>
      <c r="Z265" s="576"/>
      <c r="AA265" s="576"/>
      <c r="AB265" s="576"/>
      <c r="AC265" s="576"/>
      <c r="AD265" s="576"/>
      <c r="AE265" s="576"/>
      <c r="AF265" s="576"/>
      <c r="AG265" s="576"/>
      <c r="AH265" s="617" t="s">
        <v>1487</v>
      </c>
      <c r="AI265" s="576"/>
      <c r="AJ265" s="576"/>
      <c r="AK265" s="576"/>
      <c r="AL265" s="576"/>
      <c r="AM265" s="576"/>
      <c r="AO265" s="576"/>
    </row>
    <row r="266" spans="1:52" ht="14.25" customHeight="1">
      <c r="A266" s="617"/>
      <c r="AI266" s="577"/>
      <c r="AJ266" s="576"/>
      <c r="AK266" s="576"/>
      <c r="AL266" s="576"/>
      <c r="AM266" s="576"/>
      <c r="AO266" s="576"/>
    </row>
    <row r="267" spans="1:52" ht="14" customHeight="1">
      <c r="A267" s="576"/>
      <c r="B267" s="622"/>
      <c r="C267" s="1984" t="s">
        <v>555</v>
      </c>
      <c r="D267" s="1984"/>
      <c r="E267" s="573"/>
      <c r="F267" s="2137" t="s">
        <v>2423</v>
      </c>
      <c r="G267" s="2138"/>
      <c r="H267" s="2138"/>
      <c r="I267" s="2138"/>
      <c r="J267" s="2138"/>
      <c r="K267" s="2138"/>
      <c r="L267" s="2138"/>
      <c r="M267" s="2138"/>
      <c r="N267" s="2138"/>
      <c r="O267" s="2138"/>
      <c r="P267" s="2138"/>
      <c r="Q267" s="2138"/>
      <c r="R267" s="2138"/>
      <c r="S267" s="2138"/>
      <c r="T267" s="2138"/>
      <c r="U267" s="2138"/>
      <c r="V267" s="2138"/>
      <c r="W267" s="2138"/>
      <c r="X267" s="2138"/>
      <c r="Y267" s="2138"/>
      <c r="Z267" s="2138"/>
      <c r="AA267" s="2138"/>
      <c r="AB267" s="2138"/>
      <c r="AC267" s="2138"/>
      <c r="AD267" s="2139"/>
      <c r="AE267" s="576"/>
      <c r="AF267" s="661"/>
      <c r="AG267" s="1985" t="s">
        <v>1536</v>
      </c>
      <c r="AH267" s="1985"/>
      <c r="AI267" s="1985"/>
      <c r="AJ267" s="1985"/>
      <c r="AK267" s="576"/>
      <c r="AL267" s="576"/>
      <c r="AM267" s="576"/>
      <c r="AO267" s="576"/>
    </row>
    <row r="268" spans="1:52" ht="14" customHeight="1">
      <c r="A268" s="576"/>
      <c r="B268" s="622"/>
      <c r="C268" s="662"/>
      <c r="D268" s="576"/>
      <c r="E268" s="573"/>
      <c r="F268" s="2140"/>
      <c r="G268" s="2141"/>
      <c r="H268" s="2141"/>
      <c r="I268" s="2141"/>
      <c r="J268" s="2141"/>
      <c r="K268" s="2141"/>
      <c r="L268" s="2141"/>
      <c r="M268" s="2141"/>
      <c r="N268" s="2141"/>
      <c r="O268" s="2141"/>
      <c r="P268" s="2141"/>
      <c r="Q268" s="2141"/>
      <c r="R268" s="2141"/>
      <c r="S268" s="2141"/>
      <c r="T268" s="2141"/>
      <c r="U268" s="2141"/>
      <c r="V268" s="2141"/>
      <c r="W268" s="2141"/>
      <c r="X268" s="2141"/>
      <c r="Y268" s="2141"/>
      <c r="Z268" s="2141"/>
      <c r="AA268" s="2141"/>
      <c r="AB268" s="2141"/>
      <c r="AC268" s="2141"/>
      <c r="AD268" s="2142"/>
      <c r="AE268" s="576"/>
      <c r="AF268" s="661"/>
      <c r="AG268" s="661"/>
      <c r="AH268" s="661"/>
      <c r="AI268" s="661"/>
      <c r="AJ268" s="576"/>
      <c r="AK268" s="576"/>
      <c r="AL268" s="576"/>
      <c r="AM268" s="576"/>
      <c r="AO268" s="576"/>
    </row>
    <row r="269" spans="1:52">
      <c r="A269" s="576"/>
      <c r="B269" s="622"/>
      <c r="C269" s="662"/>
      <c r="D269" s="576"/>
      <c r="E269" s="573"/>
      <c r="F269" s="2140"/>
      <c r="G269" s="2141"/>
      <c r="H269" s="2141"/>
      <c r="I269" s="2141"/>
      <c r="J269" s="2141"/>
      <c r="K269" s="2141"/>
      <c r="L269" s="2141"/>
      <c r="M269" s="2141"/>
      <c r="N269" s="2141"/>
      <c r="O269" s="2141"/>
      <c r="P269" s="2141"/>
      <c r="Q269" s="2141"/>
      <c r="R269" s="2141"/>
      <c r="S269" s="2141"/>
      <c r="T269" s="2141"/>
      <c r="U269" s="2141"/>
      <c r="V269" s="2141"/>
      <c r="W269" s="2141"/>
      <c r="X269" s="2141"/>
      <c r="Y269" s="2141"/>
      <c r="Z269" s="2141"/>
      <c r="AA269" s="2141"/>
      <c r="AB269" s="2141"/>
      <c r="AC269" s="2141"/>
      <c r="AD269" s="2142"/>
      <c r="AE269" s="576"/>
      <c r="AF269" s="661"/>
      <c r="AG269" s="661"/>
      <c r="AH269" s="661"/>
      <c r="AI269" s="661"/>
      <c r="AJ269" s="576"/>
      <c r="AK269" s="576"/>
      <c r="AL269" s="576"/>
      <c r="AM269" s="576"/>
      <c r="AO269" s="576"/>
      <c r="AP269" s="663"/>
    </row>
    <row r="270" spans="1:52">
      <c r="A270" s="576"/>
      <c r="B270" s="622"/>
      <c r="C270" s="662"/>
      <c r="D270" s="576"/>
      <c r="E270" s="573"/>
      <c r="F270" s="2140"/>
      <c r="G270" s="2141"/>
      <c r="H270" s="2141"/>
      <c r="I270" s="2141"/>
      <c r="J270" s="2141"/>
      <c r="K270" s="2141"/>
      <c r="L270" s="2141"/>
      <c r="M270" s="2141"/>
      <c r="N270" s="2141"/>
      <c r="O270" s="2141"/>
      <c r="P270" s="2141"/>
      <c r="Q270" s="2141"/>
      <c r="R270" s="2141"/>
      <c r="S270" s="2141"/>
      <c r="T270" s="2141"/>
      <c r="U270" s="2141"/>
      <c r="V270" s="2141"/>
      <c r="W270" s="2141"/>
      <c r="X270" s="2141"/>
      <c r="Y270" s="2141"/>
      <c r="Z270" s="2141"/>
      <c r="AA270" s="2141"/>
      <c r="AB270" s="2141"/>
      <c r="AC270" s="2141"/>
      <c r="AD270" s="2142"/>
      <c r="AE270" s="576"/>
      <c r="AF270" s="661"/>
      <c r="AG270" s="661"/>
      <c r="AH270" s="661"/>
      <c r="AI270" s="661"/>
      <c r="AJ270" s="576"/>
      <c r="AK270" s="576"/>
      <c r="AL270" s="576"/>
      <c r="AM270" s="576"/>
      <c r="AO270" s="576"/>
      <c r="AP270" s="663"/>
    </row>
    <row r="271" spans="1:52" ht="14" customHeight="1">
      <c r="A271" s="576"/>
      <c r="B271" s="622"/>
      <c r="C271" s="1986"/>
      <c r="D271" s="1986"/>
      <c r="E271" s="573"/>
      <c r="F271" s="2143"/>
      <c r="G271" s="2144"/>
      <c r="H271" s="2144"/>
      <c r="I271" s="2144"/>
      <c r="J271" s="2144"/>
      <c r="K271" s="2144"/>
      <c r="L271" s="2144"/>
      <c r="M271" s="2144"/>
      <c r="N271" s="2144"/>
      <c r="O271" s="2144"/>
      <c r="P271" s="2144"/>
      <c r="Q271" s="2144"/>
      <c r="R271" s="2144"/>
      <c r="S271" s="2144"/>
      <c r="T271" s="2144"/>
      <c r="U271" s="2144"/>
      <c r="V271" s="2144"/>
      <c r="W271" s="2144"/>
      <c r="X271" s="2144"/>
      <c r="Y271" s="2144"/>
      <c r="Z271" s="2144"/>
      <c r="AA271" s="2144"/>
      <c r="AB271" s="2144"/>
      <c r="AC271" s="2144"/>
      <c r="AD271" s="2145"/>
      <c r="AE271" s="576"/>
      <c r="AF271" s="661"/>
      <c r="AG271" s="1985"/>
      <c r="AH271" s="1985"/>
      <c r="AI271" s="1985"/>
      <c r="AJ271" s="1985"/>
      <c r="AK271" s="576"/>
      <c r="AL271" s="576"/>
      <c r="AM271" s="576"/>
    </row>
    <row r="272" spans="1:52" ht="14" hidden="1" customHeight="1">
      <c r="A272" s="576"/>
      <c r="C272" s="629"/>
      <c r="D272" s="629"/>
      <c r="E272" s="629"/>
      <c r="F272" s="1042"/>
      <c r="G272" s="1043"/>
      <c r="H272" s="1043"/>
      <c r="I272" s="1043"/>
      <c r="J272" s="1043"/>
      <c r="K272" s="1043"/>
      <c r="L272" s="1043"/>
      <c r="M272" s="1043"/>
      <c r="N272" s="1043"/>
      <c r="O272" s="1043"/>
      <c r="P272" s="1043"/>
      <c r="Q272" s="1043"/>
      <c r="R272" s="1043"/>
      <c r="S272" s="1043"/>
      <c r="T272" s="1043"/>
      <c r="U272" s="1043"/>
      <c r="V272" s="1043"/>
      <c r="W272" s="1043"/>
      <c r="X272" s="1043"/>
      <c r="Y272" s="1043"/>
      <c r="Z272" s="1043"/>
      <c r="AA272" s="1043"/>
      <c r="AB272" s="1043"/>
      <c r="AC272" s="1043"/>
      <c r="AD272" s="1044"/>
      <c r="AE272" s="629"/>
      <c r="AF272" s="629"/>
      <c r="AG272" s="629"/>
      <c r="AH272" s="629"/>
      <c r="AI272" s="661"/>
      <c r="AJ272" s="576"/>
      <c r="AK272" s="576"/>
      <c r="AL272" s="576"/>
      <c r="AM272" s="576"/>
    </row>
    <row r="273" spans="1:49">
      <c r="A273" s="576"/>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29"/>
      <c r="AI273" s="629"/>
      <c r="AJ273" s="629"/>
      <c r="AK273" s="629"/>
      <c r="AL273" s="576"/>
      <c r="AM273" s="576"/>
      <c r="AN273" s="73"/>
    </row>
    <row r="274" spans="1:49" ht="13">
      <c r="A274" s="632"/>
      <c r="B274" s="590"/>
      <c r="C274" s="590"/>
      <c r="D274" s="590"/>
      <c r="E274" s="590"/>
      <c r="F274" s="590"/>
      <c r="G274" s="590"/>
      <c r="H274" s="590"/>
      <c r="I274" s="590"/>
      <c r="J274" s="590"/>
      <c r="K274" s="590"/>
      <c r="L274" s="590"/>
      <c r="M274" s="590"/>
      <c r="N274" s="590"/>
      <c r="O274" s="590"/>
      <c r="P274" s="590"/>
      <c r="Q274" s="590"/>
      <c r="R274" s="590"/>
      <c r="S274" s="590"/>
      <c r="T274" s="590"/>
      <c r="U274" s="590"/>
      <c r="V274" s="590"/>
      <c r="W274" s="590"/>
      <c r="X274" s="590"/>
      <c r="Y274" s="590"/>
      <c r="Z274" s="590"/>
      <c r="AA274" s="590"/>
      <c r="AB274" s="590"/>
      <c r="AC274" s="590"/>
      <c r="AD274" s="590"/>
      <c r="AE274" s="590"/>
      <c r="AF274" s="590"/>
      <c r="AG274" s="590"/>
      <c r="AH274" s="590"/>
      <c r="AI274" s="591"/>
      <c r="AJ274" s="591" t="s">
        <v>1552</v>
      </c>
      <c r="AK274" s="1992">
        <f>IF($C$267="yes",10,0)</f>
        <v>10</v>
      </c>
      <c r="AL274" s="1992"/>
      <c r="AM274" s="1993"/>
      <c r="AN274" s="73"/>
    </row>
    <row r="275" spans="1:49" ht="13" thickBot="1"/>
    <row r="276" spans="1:49" ht="13" thickTop="1">
      <c r="A276" s="664"/>
      <c r="B276" s="664"/>
      <c r="C276" s="664"/>
      <c r="D276" s="664"/>
      <c r="E276" s="664"/>
      <c r="F276" s="664"/>
      <c r="G276" s="664"/>
      <c r="H276" s="664"/>
      <c r="I276" s="664"/>
      <c r="J276" s="664"/>
      <c r="K276" s="664"/>
      <c r="L276" s="664"/>
      <c r="M276" s="664"/>
      <c r="N276" s="664"/>
      <c r="O276" s="664"/>
      <c r="P276" s="664"/>
      <c r="Q276" s="664"/>
      <c r="R276" s="664"/>
      <c r="S276" s="664"/>
      <c r="T276" s="664"/>
      <c r="U276" s="664"/>
      <c r="V276" s="664"/>
      <c r="W276" s="664"/>
      <c r="X276" s="664"/>
      <c r="Y276" s="664"/>
      <c r="Z276" s="664"/>
      <c r="AA276" s="664"/>
      <c r="AB276" s="664"/>
      <c r="AC276" s="664"/>
      <c r="AD276" s="664"/>
      <c r="AE276" s="664"/>
      <c r="AF276" s="664"/>
      <c r="AG276" s="664"/>
      <c r="AH276" s="664"/>
      <c r="AI276" s="664"/>
      <c r="AJ276" s="664"/>
      <c r="AK276" s="664"/>
      <c r="AL276" s="664"/>
      <c r="AM276" s="665"/>
    </row>
    <row r="277" spans="1:49" ht="13">
      <c r="A277" s="564" t="s">
        <v>1553</v>
      </c>
      <c r="B277" s="564" t="s">
        <v>2117</v>
      </c>
      <c r="AH277" s="617" t="s">
        <v>1487</v>
      </c>
    </row>
    <row r="278" spans="1:49" ht="15" customHeight="1">
      <c r="B278" s="565"/>
    </row>
    <row r="279" spans="1:49" ht="15" customHeight="1">
      <c r="B279" s="565" t="s">
        <v>1989</v>
      </c>
    </row>
    <row r="280" spans="1:49" ht="13">
      <c r="B280" s="576"/>
      <c r="C280" s="666"/>
      <c r="D280" s="576"/>
      <c r="E280" s="576"/>
      <c r="F280" s="576"/>
      <c r="G280" s="576"/>
      <c r="H280" s="576"/>
      <c r="I280" s="576"/>
      <c r="J280" s="576"/>
      <c r="K280" s="576"/>
      <c r="L280" s="576"/>
      <c r="M280" s="576"/>
      <c r="N280" s="576"/>
      <c r="O280" s="576"/>
      <c r="P280" s="576"/>
      <c r="Q280" s="576"/>
      <c r="R280" s="576"/>
      <c r="S280" s="576"/>
      <c r="T280" s="576"/>
      <c r="U280" s="576"/>
      <c r="V280" s="576"/>
      <c r="W280" s="576"/>
      <c r="X280" s="576"/>
      <c r="Y280" s="576"/>
      <c r="Z280" s="576"/>
      <c r="AA280" s="576"/>
      <c r="AB280" s="576"/>
      <c r="AC280" s="576"/>
      <c r="AD280" s="576"/>
      <c r="AG280" s="576"/>
      <c r="AI280" s="576"/>
      <c r="AJ280" s="576"/>
      <c r="AK280" s="576"/>
      <c r="AL280" s="576"/>
      <c r="AM280" s="576"/>
      <c r="AN280" s="73"/>
      <c r="AO280" s="14"/>
      <c r="AP280" s="596"/>
      <c r="AQ280" s="667"/>
      <c r="AR280" s="596"/>
      <c r="AS280" s="596"/>
      <c r="AT280" s="596"/>
      <c r="AU280" s="596"/>
      <c r="AV280" s="32"/>
      <c r="AW280" s="32"/>
    </row>
    <row r="281" spans="1:49" ht="12.75" customHeight="1">
      <c r="A281" s="1644" t="s">
        <v>1555</v>
      </c>
      <c r="B281" s="1644"/>
      <c r="C281" s="1981" t="s">
        <v>601</v>
      </c>
      <c r="D281" s="1984"/>
      <c r="E281" s="573"/>
      <c r="F281" s="2012" t="s">
        <v>1556</v>
      </c>
      <c r="G281" s="2013"/>
      <c r="H281" s="2013"/>
      <c r="I281" s="2013"/>
      <c r="J281" s="2013"/>
      <c r="K281" s="2013"/>
      <c r="L281" s="2013"/>
      <c r="M281" s="2013"/>
      <c r="N281" s="2013"/>
      <c r="O281" s="2013"/>
      <c r="P281" s="2013"/>
      <c r="Q281" s="2013"/>
      <c r="R281" s="2013"/>
      <c r="S281" s="2013"/>
      <c r="T281" s="2013"/>
      <c r="U281" s="2013"/>
      <c r="V281" s="2013"/>
      <c r="W281" s="2013"/>
      <c r="X281" s="2013"/>
      <c r="Y281" s="2013"/>
      <c r="Z281" s="2013"/>
      <c r="AA281" s="2013"/>
      <c r="AB281" s="2013"/>
      <c r="AC281" s="2013"/>
      <c r="AD281" s="2014"/>
      <c r="AE281" s="668"/>
      <c r="AF281" s="576"/>
      <c r="AG281" s="2015" t="s">
        <v>2416</v>
      </c>
      <c r="AH281" s="2015"/>
      <c r="AI281" s="2015"/>
      <c r="AJ281" s="2015"/>
      <c r="AK281" s="2015"/>
      <c r="AL281" s="576"/>
      <c r="AM281" s="576"/>
      <c r="AN281" s="73"/>
      <c r="AO281" s="14"/>
      <c r="AP281" s="30"/>
      <c r="AS281" s="596"/>
      <c r="AT281" s="596"/>
      <c r="AU281" s="596"/>
      <c r="AV281" s="32"/>
      <c r="AW281" s="32"/>
    </row>
    <row r="282" spans="1:49" ht="13">
      <c r="A282" s="666"/>
      <c r="B282" s="622"/>
      <c r="F282" s="2006"/>
      <c r="G282" s="2007"/>
      <c r="H282" s="2007"/>
      <c r="I282" s="2007"/>
      <c r="J282" s="2007"/>
      <c r="K282" s="2007"/>
      <c r="L282" s="2007"/>
      <c r="M282" s="2007"/>
      <c r="N282" s="2007"/>
      <c r="O282" s="2007"/>
      <c r="P282" s="2007"/>
      <c r="Q282" s="2007"/>
      <c r="R282" s="2007"/>
      <c r="S282" s="2007"/>
      <c r="T282" s="2007"/>
      <c r="U282" s="2007"/>
      <c r="V282" s="2007"/>
      <c r="W282" s="2007"/>
      <c r="X282" s="2007"/>
      <c r="Y282" s="2007"/>
      <c r="Z282" s="2007"/>
      <c r="AA282" s="2007"/>
      <c r="AB282" s="2007"/>
      <c r="AC282" s="2007"/>
      <c r="AD282" s="2008"/>
      <c r="AE282" s="668"/>
      <c r="AF282" s="577"/>
      <c r="AH282" s="577"/>
      <c r="AI282" s="577"/>
      <c r="AJ282" s="576"/>
      <c r="AK282" s="576"/>
      <c r="AL282" s="576"/>
      <c r="AM282" s="576"/>
      <c r="AN282" s="73"/>
      <c r="AO282" s="14"/>
      <c r="AP282" s="576">
        <f>IF($C$281="yes",10,IF(C281="50% Met",9,0))</f>
        <v>0</v>
      </c>
      <c r="AS282" s="596"/>
      <c r="AT282" s="596"/>
      <c r="AU282" s="596"/>
      <c r="AV282" s="32"/>
      <c r="AW282" s="32"/>
    </row>
    <row r="283" spans="1:49" ht="15" customHeight="1">
      <c r="A283" s="666"/>
      <c r="B283" s="622"/>
      <c r="F283" s="2006"/>
      <c r="G283" s="2007"/>
      <c r="H283" s="2007"/>
      <c r="I283" s="2007"/>
      <c r="J283" s="2007"/>
      <c r="K283" s="2007"/>
      <c r="L283" s="2007"/>
      <c r="M283" s="2007"/>
      <c r="N283" s="2007"/>
      <c r="O283" s="2007"/>
      <c r="P283" s="2007"/>
      <c r="Q283" s="2007"/>
      <c r="R283" s="2007"/>
      <c r="S283" s="2007"/>
      <c r="T283" s="2007"/>
      <c r="U283" s="2007"/>
      <c r="V283" s="2007"/>
      <c r="W283" s="2007"/>
      <c r="X283" s="2007"/>
      <c r="Y283" s="2007"/>
      <c r="Z283" s="2007"/>
      <c r="AA283" s="2007"/>
      <c r="AB283" s="2007"/>
      <c r="AC283" s="2007"/>
      <c r="AD283" s="2008"/>
      <c r="AE283" s="668"/>
      <c r="AF283" s="577"/>
      <c r="AH283" s="577"/>
      <c r="AI283" s="577"/>
      <c r="AJ283" s="576"/>
      <c r="AK283" s="576"/>
      <c r="AL283" s="576"/>
      <c r="AM283" s="576"/>
      <c r="AN283" s="73"/>
      <c r="AO283" s="14"/>
      <c r="AP283" s="576">
        <f>IF($C$291="yes",9,0)</f>
        <v>9</v>
      </c>
      <c r="AS283" s="596"/>
      <c r="AT283" s="596"/>
      <c r="AU283" s="596"/>
      <c r="AV283" s="32"/>
      <c r="AW283" s="32"/>
    </row>
    <row r="284" spans="1:49" ht="12.75" customHeight="1">
      <c r="A284" s="666"/>
      <c r="B284" s="622"/>
      <c r="F284" s="2006" t="s">
        <v>2424</v>
      </c>
      <c r="G284" s="2007"/>
      <c r="H284" s="2007"/>
      <c r="I284" s="2007"/>
      <c r="J284" s="2007"/>
      <c r="K284" s="2007"/>
      <c r="L284" s="2007"/>
      <c r="M284" s="2007"/>
      <c r="N284" s="2007"/>
      <c r="O284" s="2007"/>
      <c r="P284" s="2007"/>
      <c r="Q284" s="2007"/>
      <c r="R284" s="2007"/>
      <c r="S284" s="2007"/>
      <c r="T284" s="2007"/>
      <c r="U284" s="2007"/>
      <c r="V284" s="2007"/>
      <c r="W284" s="2007"/>
      <c r="X284" s="2007"/>
      <c r="Y284" s="2007"/>
      <c r="Z284" s="2007"/>
      <c r="AA284" s="2007"/>
      <c r="AB284" s="2007"/>
      <c r="AC284" s="2007"/>
      <c r="AD284" s="2008"/>
      <c r="AE284" s="668"/>
      <c r="AF284" s="577"/>
      <c r="AH284" s="577"/>
      <c r="AI284" s="577"/>
      <c r="AJ284" s="576"/>
      <c r="AK284" s="576"/>
      <c r="AL284" s="576"/>
      <c r="AM284" s="576"/>
      <c r="AN284" s="73"/>
      <c r="AO284" s="14"/>
      <c r="AP284" s="637">
        <f>MAX(AP282,AP283)</f>
        <v>9</v>
      </c>
      <c r="AQ284" s="600" t="s">
        <v>1489</v>
      </c>
      <c r="AS284" s="596"/>
      <c r="AT284" s="596"/>
      <c r="AU284" s="596"/>
      <c r="AV284" s="32"/>
      <c r="AW284" s="32"/>
    </row>
    <row r="285" spans="1:49" ht="13">
      <c r="A285" s="666"/>
      <c r="B285" s="622"/>
      <c r="F285" s="2006"/>
      <c r="G285" s="2007"/>
      <c r="H285" s="2007"/>
      <c r="I285" s="2007"/>
      <c r="J285" s="2007"/>
      <c r="K285" s="2007"/>
      <c r="L285" s="2007"/>
      <c r="M285" s="2007"/>
      <c r="N285" s="2007"/>
      <c r="O285" s="2007"/>
      <c r="P285" s="2007"/>
      <c r="Q285" s="2007"/>
      <c r="R285" s="2007"/>
      <c r="S285" s="2007"/>
      <c r="T285" s="2007"/>
      <c r="U285" s="2007"/>
      <c r="V285" s="2007"/>
      <c r="W285" s="2007"/>
      <c r="X285" s="2007"/>
      <c r="Y285" s="2007"/>
      <c r="Z285" s="2007"/>
      <c r="AA285" s="2007"/>
      <c r="AB285" s="2007"/>
      <c r="AC285" s="2007"/>
      <c r="AD285" s="2008"/>
      <c r="AE285" s="668"/>
      <c r="AF285" s="577"/>
      <c r="AH285" s="577"/>
      <c r="AI285" s="577"/>
      <c r="AJ285" s="576"/>
      <c r="AK285" s="576"/>
      <c r="AL285" s="576"/>
      <c r="AM285" s="576"/>
      <c r="AN285" s="73"/>
      <c r="AO285" s="14"/>
      <c r="AP285" s="576"/>
      <c r="AS285" s="596"/>
      <c r="AT285" s="596"/>
      <c r="AU285" s="596"/>
      <c r="AV285" s="32"/>
      <c r="AW285" s="32"/>
    </row>
    <row r="286" spans="1:49" ht="12.75" customHeight="1">
      <c r="A286" s="576"/>
      <c r="B286" s="577"/>
      <c r="C286" s="576"/>
      <c r="D286" s="577"/>
      <c r="E286" s="576"/>
      <c r="F286" s="2006" t="s">
        <v>1557</v>
      </c>
      <c r="G286" s="2007"/>
      <c r="H286" s="2007"/>
      <c r="I286" s="2007"/>
      <c r="J286" s="2007"/>
      <c r="K286" s="2007"/>
      <c r="L286" s="2007"/>
      <c r="M286" s="2007"/>
      <c r="N286" s="2007"/>
      <c r="O286" s="2007"/>
      <c r="P286" s="2007"/>
      <c r="Q286" s="2007"/>
      <c r="R286" s="2007"/>
      <c r="S286" s="2007"/>
      <c r="T286" s="2007"/>
      <c r="U286" s="2007"/>
      <c r="V286" s="2007"/>
      <c r="W286" s="2007"/>
      <c r="X286" s="2007"/>
      <c r="Y286" s="2007"/>
      <c r="Z286" s="2007"/>
      <c r="AA286" s="2007"/>
      <c r="AB286" s="2007"/>
      <c r="AC286" s="2007"/>
      <c r="AD286" s="2008"/>
      <c r="AE286" s="668"/>
      <c r="AF286" s="577"/>
      <c r="AG286" s="577"/>
      <c r="AH286" s="577"/>
      <c r="AI286" s="577"/>
      <c r="AJ286" s="576"/>
      <c r="AK286" s="576"/>
      <c r="AL286" s="576"/>
      <c r="AM286" s="576"/>
      <c r="AN286" s="73"/>
      <c r="AO286" s="14"/>
      <c r="AS286" s="596"/>
      <c r="AT286" s="596"/>
      <c r="AU286" s="596"/>
      <c r="AV286" s="32"/>
      <c r="AW286" s="32"/>
    </row>
    <row r="287" spans="1:49" ht="15" customHeight="1">
      <c r="A287" s="576"/>
      <c r="B287" s="577"/>
      <c r="C287" s="577"/>
      <c r="D287" s="577"/>
      <c r="E287" s="577"/>
      <c r="F287" s="2006"/>
      <c r="G287" s="2007"/>
      <c r="H287" s="2007"/>
      <c r="I287" s="2007"/>
      <c r="J287" s="2007"/>
      <c r="K287" s="2007"/>
      <c r="L287" s="2007"/>
      <c r="M287" s="2007"/>
      <c r="N287" s="2007"/>
      <c r="O287" s="2007"/>
      <c r="P287" s="2007"/>
      <c r="Q287" s="2007"/>
      <c r="R287" s="2007"/>
      <c r="S287" s="2007"/>
      <c r="T287" s="2007"/>
      <c r="U287" s="2007"/>
      <c r="V287" s="2007"/>
      <c r="W287" s="2007"/>
      <c r="X287" s="2007"/>
      <c r="Y287" s="2007"/>
      <c r="Z287" s="2007"/>
      <c r="AA287" s="2007"/>
      <c r="AB287" s="2007"/>
      <c r="AC287" s="2007"/>
      <c r="AD287" s="2008"/>
      <c r="AE287" s="668"/>
      <c r="AF287" s="577"/>
      <c r="AG287" s="577"/>
      <c r="AH287" s="577"/>
      <c r="AI287" s="577"/>
      <c r="AJ287" s="576"/>
      <c r="AK287" s="576"/>
      <c r="AL287" s="576"/>
      <c r="AM287" s="576"/>
      <c r="AN287" s="73"/>
      <c r="AO287" s="14"/>
      <c r="AS287" s="596"/>
      <c r="AT287" s="596"/>
      <c r="AU287" s="596"/>
      <c r="AV287" s="32"/>
      <c r="AW287" s="32"/>
    </row>
    <row r="288" spans="1:49" ht="12.75" customHeight="1">
      <c r="A288" s="576"/>
      <c r="B288" s="577"/>
      <c r="C288" s="577"/>
      <c r="D288" s="577"/>
      <c r="E288" s="577"/>
      <c r="F288" s="2006" t="s">
        <v>1558</v>
      </c>
      <c r="G288" s="2007"/>
      <c r="H288" s="2007"/>
      <c r="I288" s="2007"/>
      <c r="J288" s="2007"/>
      <c r="K288" s="2007"/>
      <c r="L288" s="2007"/>
      <c r="M288" s="2007"/>
      <c r="N288" s="2007"/>
      <c r="O288" s="2007"/>
      <c r="P288" s="2007"/>
      <c r="Q288" s="2007"/>
      <c r="R288" s="2007"/>
      <c r="S288" s="2007"/>
      <c r="T288" s="2007"/>
      <c r="U288" s="2007"/>
      <c r="V288" s="2007"/>
      <c r="W288" s="2007"/>
      <c r="X288" s="2007"/>
      <c r="Y288" s="2007"/>
      <c r="Z288" s="2007"/>
      <c r="AA288" s="2007"/>
      <c r="AB288" s="2007"/>
      <c r="AC288" s="2007"/>
      <c r="AD288" s="2008"/>
      <c r="AE288" s="669"/>
      <c r="AF288" s="577"/>
      <c r="AG288" s="577"/>
      <c r="AH288" s="577"/>
      <c r="AI288" s="577"/>
      <c r="AJ288" s="576"/>
      <c r="AK288" s="576"/>
      <c r="AL288" s="576"/>
      <c r="AM288" s="576"/>
      <c r="AN288" s="73"/>
      <c r="AO288" s="14"/>
      <c r="AP288" s="576"/>
      <c r="AS288" s="596"/>
      <c r="AT288" s="596"/>
      <c r="AU288" s="596"/>
      <c r="AV288" s="32"/>
      <c r="AW288" s="32"/>
    </row>
    <row r="289" spans="1:49">
      <c r="A289" s="576"/>
      <c r="B289" s="577"/>
      <c r="C289" s="577"/>
      <c r="D289" s="577"/>
      <c r="E289" s="577"/>
      <c r="F289" s="2009"/>
      <c r="G289" s="2010"/>
      <c r="H289" s="2010"/>
      <c r="I289" s="2010"/>
      <c r="J289" s="2010"/>
      <c r="K289" s="2010"/>
      <c r="L289" s="2010"/>
      <c r="M289" s="2010"/>
      <c r="N289" s="2010"/>
      <c r="O289" s="2010"/>
      <c r="P289" s="2010"/>
      <c r="Q289" s="2010"/>
      <c r="R289" s="2010"/>
      <c r="S289" s="2010"/>
      <c r="T289" s="2010"/>
      <c r="U289" s="2010"/>
      <c r="V289" s="2010"/>
      <c r="W289" s="2010"/>
      <c r="X289" s="2010"/>
      <c r="Y289" s="2010"/>
      <c r="Z289" s="2010"/>
      <c r="AA289" s="2010"/>
      <c r="AB289" s="2010"/>
      <c r="AC289" s="2010"/>
      <c r="AD289" s="2011"/>
      <c r="AE289" s="669"/>
      <c r="AF289" s="577"/>
      <c r="AG289" s="577"/>
      <c r="AH289" s="577"/>
      <c r="AI289" s="577"/>
      <c r="AJ289" s="576"/>
      <c r="AK289" s="576"/>
      <c r="AL289" s="576"/>
      <c r="AM289" s="576"/>
      <c r="AN289" s="73"/>
      <c r="AO289" s="14"/>
      <c r="AP289" s="576"/>
      <c r="AS289" s="596"/>
      <c r="AT289" s="596"/>
      <c r="AU289" s="596"/>
      <c r="AV289" s="32"/>
      <c r="AW289" s="32"/>
    </row>
    <row r="290" spans="1:49">
      <c r="A290" s="576"/>
      <c r="B290" s="577"/>
      <c r="C290" s="577"/>
      <c r="D290" s="577"/>
      <c r="E290" s="577"/>
      <c r="F290" s="669"/>
      <c r="G290" s="669"/>
      <c r="H290" s="669"/>
      <c r="I290" s="669"/>
      <c r="J290" s="669"/>
      <c r="K290" s="669"/>
      <c r="L290" s="669"/>
      <c r="M290" s="669"/>
      <c r="N290" s="669"/>
      <c r="O290" s="669"/>
      <c r="P290" s="669"/>
      <c r="Q290" s="669"/>
      <c r="R290" s="669"/>
      <c r="S290" s="669"/>
      <c r="T290" s="669"/>
      <c r="U290" s="669"/>
      <c r="V290" s="669"/>
      <c r="W290" s="669"/>
      <c r="X290" s="669"/>
      <c r="Y290" s="669"/>
      <c r="Z290" s="669"/>
      <c r="AA290" s="669"/>
      <c r="AB290" s="669"/>
      <c r="AC290" s="669"/>
      <c r="AD290" s="669"/>
      <c r="AE290" s="577"/>
      <c r="AF290" s="577"/>
      <c r="AG290" s="577"/>
      <c r="AH290" s="577"/>
      <c r="AI290" s="577"/>
      <c r="AJ290" s="576"/>
      <c r="AK290" s="576"/>
      <c r="AL290" s="576"/>
      <c r="AM290" s="576"/>
      <c r="AN290" s="73"/>
      <c r="AO290" s="14"/>
      <c r="AS290" s="596"/>
      <c r="AT290" s="596"/>
      <c r="AU290" s="596"/>
      <c r="AV290" s="32"/>
      <c r="AW290" s="32"/>
    </row>
    <row r="291" spans="1:49" ht="15" customHeight="1">
      <c r="A291" s="1644" t="s">
        <v>1559</v>
      </c>
      <c r="B291" s="1644"/>
      <c r="C291" s="1984" t="s">
        <v>555</v>
      </c>
      <c r="D291" s="1984"/>
      <c r="E291" s="573"/>
      <c r="F291" s="670" t="s">
        <v>2417</v>
      </c>
      <c r="G291" s="671"/>
      <c r="H291" s="671"/>
      <c r="I291" s="671"/>
      <c r="J291" s="671"/>
      <c r="K291" s="671"/>
      <c r="L291" s="671"/>
      <c r="M291" s="671"/>
      <c r="N291" s="671"/>
      <c r="O291" s="671"/>
      <c r="P291" s="671"/>
      <c r="Q291" s="671"/>
      <c r="R291" s="671"/>
      <c r="S291" s="671"/>
      <c r="T291" s="671"/>
      <c r="U291" s="671"/>
      <c r="V291" s="671"/>
      <c r="W291" s="671"/>
      <c r="X291" s="671"/>
      <c r="Y291" s="671"/>
      <c r="Z291" s="671"/>
      <c r="AA291" s="671"/>
      <c r="AB291" s="671"/>
      <c r="AC291" s="671"/>
      <c r="AD291" s="672"/>
      <c r="AE291" s="577"/>
      <c r="AF291" s="577"/>
      <c r="AG291" s="565" t="s">
        <v>1561</v>
      </c>
      <c r="AH291" s="577"/>
      <c r="AI291" s="577"/>
      <c r="AJ291" s="576"/>
      <c r="AK291" s="576"/>
      <c r="AL291" s="576"/>
      <c r="AM291" s="576"/>
      <c r="AN291" s="673"/>
      <c r="AO291" s="14"/>
    </row>
    <row r="292" spans="1:49">
      <c r="A292" s="576"/>
      <c r="B292" s="577"/>
      <c r="C292" s="576"/>
      <c r="D292" s="577"/>
      <c r="E292" s="576"/>
      <c r="F292" s="1919" t="s">
        <v>2418</v>
      </c>
      <c r="G292" s="1920"/>
      <c r="H292" s="1920"/>
      <c r="I292" s="1920"/>
      <c r="J292" s="1920"/>
      <c r="K292" s="1920"/>
      <c r="L292" s="1920"/>
      <c r="M292" s="1920"/>
      <c r="N292" s="1920"/>
      <c r="O292" s="1920"/>
      <c r="P292" s="1920"/>
      <c r="Q292" s="1920"/>
      <c r="R292" s="1920"/>
      <c r="S292" s="1920"/>
      <c r="T292" s="1920"/>
      <c r="U292" s="1920"/>
      <c r="V292" s="1920"/>
      <c r="W292" s="1920"/>
      <c r="X292" s="1920"/>
      <c r="Y292" s="1920"/>
      <c r="Z292" s="1920"/>
      <c r="AA292" s="1920"/>
      <c r="AB292" s="1920"/>
      <c r="AC292" s="1920"/>
      <c r="AD292" s="1921"/>
      <c r="AE292" s="577"/>
      <c r="AF292" s="577"/>
      <c r="AG292" s="577"/>
      <c r="AH292" s="577"/>
      <c r="AI292" s="577"/>
      <c r="AJ292" s="576"/>
      <c r="AK292" s="576"/>
      <c r="AL292" s="576"/>
      <c r="AM292" s="576"/>
      <c r="AR292" s="674"/>
    </row>
    <row r="293" spans="1:49" ht="15" customHeight="1">
      <c r="A293" s="576"/>
      <c r="B293" s="577"/>
      <c r="C293" s="576"/>
      <c r="D293" s="577"/>
      <c r="E293" s="576"/>
      <c r="F293" s="1919"/>
      <c r="G293" s="1920"/>
      <c r="H293" s="1920"/>
      <c r="I293" s="1920"/>
      <c r="J293" s="1920"/>
      <c r="K293" s="1920"/>
      <c r="L293" s="1920"/>
      <c r="M293" s="1920"/>
      <c r="N293" s="1920"/>
      <c r="O293" s="1920"/>
      <c r="P293" s="1920"/>
      <c r="Q293" s="1920"/>
      <c r="R293" s="1920"/>
      <c r="S293" s="1920"/>
      <c r="T293" s="1920"/>
      <c r="U293" s="1920"/>
      <c r="V293" s="1920"/>
      <c r="W293" s="1920"/>
      <c r="X293" s="1920"/>
      <c r="Y293" s="1920"/>
      <c r="Z293" s="1920"/>
      <c r="AA293" s="1920"/>
      <c r="AB293" s="1920"/>
      <c r="AC293" s="1920"/>
      <c r="AD293" s="1921"/>
      <c r="AE293" s="577"/>
      <c r="AF293" s="577"/>
      <c r="AG293" s="577"/>
      <c r="AH293" s="577"/>
      <c r="AI293" s="577"/>
      <c r="AJ293" s="576"/>
      <c r="AK293" s="576"/>
      <c r="AL293" s="576"/>
      <c r="AM293" s="576"/>
      <c r="AR293" s="674"/>
    </row>
    <row r="294" spans="1:49">
      <c r="A294" s="576"/>
      <c r="B294" s="577"/>
      <c r="C294" s="576"/>
      <c r="D294" s="577"/>
      <c r="E294" s="576"/>
      <c r="F294" s="1919"/>
      <c r="G294" s="1920"/>
      <c r="H294" s="1920"/>
      <c r="I294" s="1920"/>
      <c r="J294" s="1920"/>
      <c r="K294" s="1920"/>
      <c r="L294" s="1920"/>
      <c r="M294" s="1920"/>
      <c r="N294" s="1920"/>
      <c r="O294" s="1920"/>
      <c r="P294" s="1920"/>
      <c r="Q294" s="1920"/>
      <c r="R294" s="1920"/>
      <c r="S294" s="1920"/>
      <c r="T294" s="1920"/>
      <c r="U294" s="1920"/>
      <c r="V294" s="1920"/>
      <c r="W294" s="1920"/>
      <c r="X294" s="1920"/>
      <c r="Y294" s="1920"/>
      <c r="Z294" s="1920"/>
      <c r="AA294" s="1920"/>
      <c r="AB294" s="1920"/>
      <c r="AC294" s="1920"/>
      <c r="AD294" s="1921"/>
      <c r="AE294" s="577"/>
      <c r="AF294" s="577"/>
      <c r="AG294" s="577"/>
      <c r="AH294" s="577"/>
      <c r="AI294" s="577"/>
      <c r="AJ294" s="576"/>
      <c r="AK294" s="576"/>
      <c r="AL294" s="576"/>
      <c r="AM294" s="576"/>
      <c r="AP294" s="637"/>
      <c r="AQ294" s="600"/>
      <c r="AR294" s="674"/>
    </row>
    <row r="295" spans="1:49" ht="15" customHeight="1">
      <c r="A295" s="576"/>
      <c r="B295" s="577"/>
      <c r="C295" s="576"/>
      <c r="D295" s="577"/>
      <c r="E295" s="576"/>
      <c r="F295" s="1916"/>
      <c r="G295" s="1917"/>
      <c r="H295" s="1917"/>
      <c r="I295" s="1917"/>
      <c r="J295" s="1917"/>
      <c r="K295" s="1917"/>
      <c r="L295" s="1917"/>
      <c r="M295" s="1917"/>
      <c r="N295" s="1917"/>
      <c r="O295" s="1917"/>
      <c r="P295" s="1917"/>
      <c r="Q295" s="1917"/>
      <c r="R295" s="1917"/>
      <c r="S295" s="1917"/>
      <c r="T295" s="1917"/>
      <c r="U295" s="1917"/>
      <c r="V295" s="1917"/>
      <c r="W295" s="1917"/>
      <c r="X295" s="1917"/>
      <c r="Y295" s="1917"/>
      <c r="Z295" s="1917"/>
      <c r="AA295" s="1917"/>
      <c r="AB295" s="1917"/>
      <c r="AC295" s="1917"/>
      <c r="AD295" s="1918"/>
      <c r="AE295" s="577"/>
      <c r="AF295" s="577"/>
      <c r="AG295" s="577"/>
      <c r="AH295" s="577"/>
      <c r="AI295" s="577"/>
      <c r="AJ295" s="576"/>
      <c r="AK295" s="576"/>
      <c r="AL295" s="576"/>
      <c r="AM295" s="576"/>
      <c r="AP295" s="637"/>
      <c r="AQ295" s="600"/>
      <c r="AR295" s="674"/>
    </row>
    <row r="296" spans="1:49">
      <c r="A296" s="576"/>
      <c r="B296" s="577"/>
      <c r="C296" s="577"/>
      <c r="D296" s="577"/>
      <c r="E296" s="577"/>
      <c r="F296" s="577"/>
      <c r="G296" s="577"/>
      <c r="H296" s="577"/>
      <c r="I296" s="577"/>
      <c r="J296" s="577"/>
      <c r="K296" s="577"/>
      <c r="L296" s="577"/>
      <c r="M296" s="577"/>
      <c r="N296" s="577"/>
      <c r="O296" s="577"/>
      <c r="P296" s="577"/>
      <c r="Q296" s="577"/>
      <c r="R296" s="577"/>
      <c r="S296" s="577"/>
      <c r="T296" s="577"/>
      <c r="U296" s="577"/>
      <c r="V296" s="577"/>
      <c r="W296" s="577"/>
      <c r="X296" s="577"/>
      <c r="Y296" s="577"/>
      <c r="Z296" s="577"/>
      <c r="AA296" s="577"/>
      <c r="AB296" s="577"/>
      <c r="AC296" s="577"/>
      <c r="AD296" s="577"/>
      <c r="AE296" s="577"/>
      <c r="AF296" s="577"/>
      <c r="AG296" s="577"/>
      <c r="AH296" s="577"/>
      <c r="AI296" s="577"/>
      <c r="AJ296" s="576"/>
      <c r="AK296" s="576"/>
      <c r="AL296" s="576"/>
      <c r="AM296" s="576"/>
      <c r="AP296" s="637"/>
      <c r="AQ296" s="600"/>
      <c r="AR296" s="674"/>
    </row>
    <row r="297" spans="1:49" hidden="1">
      <c r="A297" s="576"/>
      <c r="B297" s="577"/>
      <c r="C297" s="577"/>
      <c r="D297" s="577"/>
      <c r="E297" s="577"/>
      <c r="F297" s="577"/>
      <c r="G297" s="577"/>
      <c r="H297" s="577"/>
      <c r="I297" s="577"/>
      <c r="J297" s="577"/>
      <c r="K297" s="577"/>
      <c r="L297" s="577"/>
      <c r="M297" s="577"/>
      <c r="N297" s="577"/>
      <c r="O297" s="577"/>
      <c r="P297" s="577"/>
      <c r="Q297" s="577"/>
      <c r="R297" s="577"/>
      <c r="S297" s="577"/>
      <c r="T297" s="577"/>
      <c r="U297" s="577"/>
      <c r="V297" s="577"/>
      <c r="W297" s="577"/>
      <c r="X297" s="577"/>
      <c r="Y297" s="577"/>
      <c r="Z297" s="577"/>
      <c r="AA297" s="577"/>
      <c r="AB297" s="577"/>
      <c r="AC297" s="577"/>
      <c r="AD297" s="577"/>
      <c r="AE297" s="577"/>
      <c r="AF297" s="577"/>
      <c r="AG297" s="577"/>
      <c r="AH297" s="577"/>
      <c r="AI297" s="577"/>
      <c r="AJ297" s="576"/>
      <c r="AK297" s="576"/>
      <c r="AL297" s="576"/>
      <c r="AM297" s="576"/>
      <c r="AP297" s="637"/>
      <c r="AQ297" s="600"/>
      <c r="AR297" s="674"/>
    </row>
    <row r="298" spans="1:49" hidden="1">
      <c r="A298" s="576"/>
      <c r="B298" s="577"/>
      <c r="C298" s="577"/>
      <c r="D298" s="577"/>
      <c r="E298" s="577"/>
      <c r="F298" s="577"/>
      <c r="G298" s="577"/>
      <c r="H298" s="577"/>
      <c r="I298" s="577"/>
      <c r="J298" s="577"/>
      <c r="K298" s="577"/>
      <c r="L298" s="577"/>
      <c r="M298" s="577"/>
      <c r="N298" s="577"/>
      <c r="O298" s="577"/>
      <c r="P298" s="577"/>
      <c r="Q298" s="577"/>
      <c r="R298" s="577"/>
      <c r="S298" s="577"/>
      <c r="T298" s="577"/>
      <c r="U298" s="577"/>
      <c r="V298" s="577"/>
      <c r="W298" s="577"/>
      <c r="X298" s="577"/>
      <c r="Y298" s="577"/>
      <c r="Z298" s="577"/>
      <c r="AA298" s="577"/>
      <c r="AB298" s="577"/>
      <c r="AC298" s="577"/>
      <c r="AD298" s="577"/>
      <c r="AE298" s="577"/>
      <c r="AF298" s="577"/>
      <c r="AG298" s="577"/>
      <c r="AH298" s="577"/>
      <c r="AI298" s="577"/>
      <c r="AJ298" s="576"/>
      <c r="AK298" s="576"/>
      <c r="AL298" s="576"/>
      <c r="AM298" s="576"/>
      <c r="AN298" s="73"/>
      <c r="AO298" s="14"/>
    </row>
    <row r="299" spans="1:49" ht="13" hidden="1">
      <c r="A299" s="1644" t="s">
        <v>1562</v>
      </c>
      <c r="B299" s="1644"/>
      <c r="C299" s="1984" t="s">
        <v>601</v>
      </c>
      <c r="D299" s="1984"/>
      <c r="E299" s="573"/>
      <c r="F299" s="670" t="s">
        <v>1560</v>
      </c>
      <c r="G299" s="675"/>
      <c r="H299" s="675"/>
      <c r="I299" s="675"/>
      <c r="J299" s="675"/>
      <c r="K299" s="675"/>
      <c r="L299" s="675"/>
      <c r="M299" s="675"/>
      <c r="N299" s="675"/>
      <c r="O299" s="675"/>
      <c r="P299" s="675"/>
      <c r="Q299" s="675"/>
      <c r="R299" s="675"/>
      <c r="S299" s="675"/>
      <c r="T299" s="675"/>
      <c r="U299" s="675"/>
      <c r="V299" s="675"/>
      <c r="W299" s="675"/>
      <c r="X299" s="675"/>
      <c r="Y299" s="675"/>
      <c r="Z299" s="675"/>
      <c r="AA299" s="675"/>
      <c r="AB299" s="675"/>
      <c r="AC299" s="675"/>
      <c r="AD299" s="676"/>
      <c r="AE299" s="577"/>
      <c r="AF299" s="577"/>
      <c r="AG299" s="565" t="s">
        <v>1561</v>
      </c>
      <c r="AH299" s="577"/>
      <c r="AI299" s="577"/>
      <c r="AJ299" s="576"/>
      <c r="AK299" s="576"/>
      <c r="AL299" s="576"/>
      <c r="AM299" s="576"/>
      <c r="AN299" s="73"/>
      <c r="AO299" s="14"/>
    </row>
    <row r="300" spans="1:49" ht="13" hidden="1">
      <c r="A300" s="89"/>
      <c r="B300" s="89"/>
      <c r="C300" s="756"/>
      <c r="D300" s="756"/>
      <c r="E300" s="573"/>
      <c r="F300" s="2006" t="s">
        <v>2425</v>
      </c>
      <c r="G300" s="2007"/>
      <c r="H300" s="2007"/>
      <c r="I300" s="2007"/>
      <c r="J300" s="2007"/>
      <c r="K300" s="2007"/>
      <c r="L300" s="2007"/>
      <c r="M300" s="2007"/>
      <c r="N300" s="2007"/>
      <c r="O300" s="2007"/>
      <c r="P300" s="2007"/>
      <c r="Q300" s="2007"/>
      <c r="R300" s="2007"/>
      <c r="S300" s="2007"/>
      <c r="T300" s="2007"/>
      <c r="U300" s="2007"/>
      <c r="V300" s="2007"/>
      <c r="W300" s="2007"/>
      <c r="X300" s="2007"/>
      <c r="Y300" s="2007"/>
      <c r="Z300" s="2007"/>
      <c r="AA300" s="2007"/>
      <c r="AB300" s="2007"/>
      <c r="AC300" s="2007"/>
      <c r="AD300" s="2008"/>
      <c r="AE300" s="577"/>
      <c r="AF300" s="577"/>
      <c r="AG300" s="565"/>
      <c r="AH300" s="577"/>
      <c r="AI300" s="577"/>
      <c r="AJ300" s="576"/>
      <c r="AK300" s="576"/>
      <c r="AL300" s="576"/>
      <c r="AM300" s="576"/>
      <c r="AN300" s="73"/>
      <c r="AO300" s="14"/>
      <c r="AP300" s="583" t="s">
        <v>1327</v>
      </c>
    </row>
    <row r="301" spans="1:49" hidden="1">
      <c r="F301" s="2006"/>
      <c r="G301" s="2007"/>
      <c r="H301" s="2007"/>
      <c r="I301" s="2007"/>
      <c r="J301" s="2007"/>
      <c r="K301" s="2007"/>
      <c r="L301" s="2007"/>
      <c r="M301" s="2007"/>
      <c r="N301" s="2007"/>
      <c r="O301" s="2007"/>
      <c r="P301" s="2007"/>
      <c r="Q301" s="2007"/>
      <c r="R301" s="2007"/>
      <c r="S301" s="2007"/>
      <c r="T301" s="2007"/>
      <c r="U301" s="2007"/>
      <c r="V301" s="2007"/>
      <c r="W301" s="2007"/>
      <c r="X301" s="2007"/>
      <c r="Y301" s="2007"/>
      <c r="Z301" s="2007"/>
      <c r="AA301" s="2007"/>
      <c r="AB301" s="2007"/>
      <c r="AC301" s="2007"/>
      <c r="AD301" s="2008"/>
      <c r="AE301" s="577"/>
      <c r="AF301" s="577"/>
      <c r="AH301" s="577"/>
      <c r="AI301" s="577"/>
      <c r="AJ301" s="576"/>
      <c r="AK301" s="576"/>
      <c r="AL301" s="576"/>
      <c r="AM301" s="576"/>
      <c r="AN301" s="73"/>
      <c r="AO301" s="14"/>
      <c r="AP301" s="583" t="s">
        <v>1991</v>
      </c>
    </row>
    <row r="302" spans="1:49" ht="13" hidden="1">
      <c r="A302" s="576"/>
      <c r="B302" s="577"/>
      <c r="C302" s="756"/>
      <c r="D302" s="756"/>
      <c r="E302" s="573"/>
      <c r="F302" s="678" t="s">
        <v>1563</v>
      </c>
      <c r="G302" s="689"/>
      <c r="H302" s="689"/>
      <c r="I302" s="689"/>
      <c r="J302" s="689"/>
      <c r="K302" s="689"/>
      <c r="L302" s="689"/>
      <c r="M302" s="689"/>
      <c r="N302" s="689"/>
      <c r="O302" s="689"/>
      <c r="P302" s="689"/>
      <c r="Q302" s="689"/>
      <c r="R302" s="689"/>
      <c r="S302" s="689"/>
      <c r="T302" s="689"/>
      <c r="U302" s="689"/>
      <c r="V302" s="689"/>
      <c r="W302" s="689"/>
      <c r="X302" s="689"/>
      <c r="Y302" s="689"/>
      <c r="Z302" s="689"/>
      <c r="AA302" s="689"/>
      <c r="AB302" s="689"/>
      <c r="AC302" s="689"/>
      <c r="AD302" s="1039"/>
      <c r="AE302" s="577"/>
      <c r="AF302" s="577"/>
      <c r="AG302" s="565"/>
      <c r="AH302" s="577"/>
      <c r="AI302" s="577"/>
      <c r="AJ302" s="576"/>
      <c r="AK302" s="576"/>
      <c r="AL302" s="576"/>
      <c r="AM302" s="576"/>
      <c r="AN302" s="73"/>
      <c r="AO302" s="14"/>
      <c r="AP302" s="583" t="s">
        <v>1993</v>
      </c>
    </row>
    <row r="303" spans="1:49" ht="13" hidden="1">
      <c r="A303" s="576"/>
      <c r="B303" s="577"/>
      <c r="C303" s="756"/>
      <c r="D303" s="756"/>
      <c r="E303" s="573"/>
      <c r="F303" s="678"/>
      <c r="G303" s="689"/>
      <c r="H303" s="689"/>
      <c r="I303" s="689"/>
      <c r="J303" s="689"/>
      <c r="K303" s="689"/>
      <c r="L303" s="689"/>
      <c r="M303" s="689"/>
      <c r="N303" s="689"/>
      <c r="O303" s="689"/>
      <c r="P303" s="689"/>
      <c r="Q303" s="689"/>
      <c r="R303" s="689"/>
      <c r="S303" s="689"/>
      <c r="T303" s="689"/>
      <c r="U303" s="689"/>
      <c r="V303" s="689"/>
      <c r="W303" s="689"/>
      <c r="X303" s="689"/>
      <c r="Y303" s="689"/>
      <c r="Z303" s="689"/>
      <c r="AA303" s="689"/>
      <c r="AB303" s="689"/>
      <c r="AC303" s="689"/>
      <c r="AD303" s="1039"/>
      <c r="AE303" s="577"/>
      <c r="AF303" s="577"/>
      <c r="AG303" s="565"/>
      <c r="AH303" s="577"/>
      <c r="AI303" s="577"/>
      <c r="AJ303" s="576"/>
      <c r="AK303" s="576"/>
      <c r="AL303" s="576"/>
      <c r="AM303" s="576"/>
      <c r="AN303" s="73"/>
      <c r="AO303" s="14"/>
      <c r="AP303" s="583" t="s">
        <v>2119</v>
      </c>
    </row>
    <row r="304" spans="1:49" ht="12.75" hidden="1" customHeight="1">
      <c r="A304" s="576"/>
      <c r="B304" s="577"/>
      <c r="C304" s="756"/>
      <c r="D304" s="756"/>
      <c r="E304" s="573"/>
      <c r="F304" s="678"/>
      <c r="G304" s="668"/>
      <c r="H304" s="668"/>
      <c r="I304" s="668"/>
      <c r="J304" s="668"/>
      <c r="K304" s="668"/>
      <c r="L304" s="668"/>
      <c r="M304" s="668"/>
      <c r="N304" s="668"/>
      <c r="O304" s="668"/>
      <c r="P304" s="668"/>
      <c r="Q304" s="668"/>
      <c r="R304" s="668"/>
      <c r="S304" s="668"/>
      <c r="T304" s="668"/>
      <c r="U304" s="668"/>
      <c r="V304" s="668"/>
      <c r="W304" s="668"/>
      <c r="X304" s="668"/>
      <c r="Y304" s="668"/>
      <c r="Z304" s="668"/>
      <c r="AA304" s="668"/>
      <c r="AB304" s="668"/>
      <c r="AC304" s="668"/>
      <c r="AD304" s="679"/>
      <c r="AE304" s="577"/>
      <c r="AF304" s="577"/>
      <c r="AG304" s="565"/>
      <c r="AH304" s="577"/>
      <c r="AI304" s="577"/>
      <c r="AJ304" s="576"/>
      <c r="AK304" s="576"/>
      <c r="AL304" s="576"/>
      <c r="AM304" s="576"/>
      <c r="AN304" s="73"/>
      <c r="AO304" s="14"/>
      <c r="AP304" s="30"/>
    </row>
    <row r="305" spans="1:42" ht="12.75" hidden="1" customHeight="1">
      <c r="A305" s="576"/>
      <c r="B305" s="577"/>
      <c r="C305" s="756"/>
      <c r="D305" s="756"/>
      <c r="E305" s="573"/>
      <c r="F305" s="2016" t="s">
        <v>1327</v>
      </c>
      <c r="G305" s="2017"/>
      <c r="H305" s="2017"/>
      <c r="I305" s="2017"/>
      <c r="J305" s="2017"/>
      <c r="K305" s="2017"/>
      <c r="L305" s="2017"/>
      <c r="M305" s="2017"/>
      <c r="N305" s="2017"/>
      <c r="O305" s="2017"/>
      <c r="P305" s="2017"/>
      <c r="Q305" s="2017"/>
      <c r="R305" s="2017"/>
      <c r="S305" s="2017"/>
      <c r="T305" s="2017"/>
      <c r="U305" s="2017"/>
      <c r="V305" s="2017"/>
      <c r="W305" s="2017"/>
      <c r="X305" s="2017"/>
      <c r="Y305" s="2017"/>
      <c r="Z305" s="2017"/>
      <c r="AA305" s="2017"/>
      <c r="AB305" s="2017"/>
      <c r="AC305" s="2017"/>
      <c r="AD305" s="2018"/>
      <c r="AE305" s="668"/>
      <c r="AF305" s="668"/>
      <c r="AG305" s="668"/>
      <c r="AH305" s="668"/>
      <c r="AI305" s="668"/>
      <c r="AJ305" s="668"/>
      <c r="AK305" s="668"/>
      <c r="AL305" s="576"/>
      <c r="AM305" s="576"/>
      <c r="AN305" s="73"/>
      <c r="AO305" s="14"/>
      <c r="AP305" s="30"/>
    </row>
    <row r="306" spans="1:42" ht="13" hidden="1">
      <c r="A306" s="576"/>
      <c r="B306" s="577"/>
      <c r="C306" s="756"/>
      <c r="D306" s="756"/>
      <c r="E306" s="573"/>
      <c r="F306" s="2016"/>
      <c r="G306" s="2017"/>
      <c r="H306" s="2017"/>
      <c r="I306" s="2017"/>
      <c r="J306" s="2017"/>
      <c r="K306" s="2017"/>
      <c r="L306" s="2017"/>
      <c r="M306" s="2017"/>
      <c r="N306" s="2017"/>
      <c r="O306" s="2017"/>
      <c r="P306" s="2017"/>
      <c r="Q306" s="2017"/>
      <c r="R306" s="2017"/>
      <c r="S306" s="2017"/>
      <c r="T306" s="2017"/>
      <c r="U306" s="2017"/>
      <c r="V306" s="2017"/>
      <c r="W306" s="2017"/>
      <c r="X306" s="2017"/>
      <c r="Y306" s="2017"/>
      <c r="Z306" s="2017"/>
      <c r="AA306" s="2017"/>
      <c r="AB306" s="2017"/>
      <c r="AC306" s="2017"/>
      <c r="AD306" s="2018"/>
      <c r="AE306" s="577"/>
      <c r="AF306" s="577"/>
      <c r="AG306" s="565"/>
      <c r="AH306" s="577"/>
      <c r="AI306" s="577"/>
      <c r="AJ306" s="576"/>
      <c r="AK306" s="576"/>
      <c r="AL306" s="576"/>
      <c r="AM306" s="576"/>
      <c r="AN306" s="73"/>
      <c r="AO306" s="14"/>
      <c r="AP306" s="30"/>
    </row>
    <row r="307" spans="1:42" ht="13" hidden="1">
      <c r="A307" s="576"/>
      <c r="B307" s="577"/>
      <c r="C307" s="756"/>
      <c r="D307" s="756"/>
      <c r="E307" s="573"/>
      <c r="F307" s="2016"/>
      <c r="G307" s="2017"/>
      <c r="H307" s="2017"/>
      <c r="I307" s="2017"/>
      <c r="J307" s="2017"/>
      <c r="K307" s="2017"/>
      <c r="L307" s="2017"/>
      <c r="M307" s="2017"/>
      <c r="N307" s="2017"/>
      <c r="O307" s="2017"/>
      <c r="P307" s="2017"/>
      <c r="Q307" s="2017"/>
      <c r="R307" s="2017"/>
      <c r="S307" s="2017"/>
      <c r="T307" s="2017"/>
      <c r="U307" s="2017"/>
      <c r="V307" s="2017"/>
      <c r="W307" s="2017"/>
      <c r="X307" s="2017"/>
      <c r="Y307" s="2017"/>
      <c r="Z307" s="2017"/>
      <c r="AA307" s="2017"/>
      <c r="AB307" s="2017"/>
      <c r="AC307" s="2017"/>
      <c r="AD307" s="2018"/>
      <c r="AE307" s="577"/>
      <c r="AF307" s="577"/>
      <c r="AG307" s="565"/>
      <c r="AH307" s="577"/>
      <c r="AI307" s="577"/>
      <c r="AJ307" s="576"/>
      <c r="AK307" s="576"/>
      <c r="AL307" s="576"/>
      <c r="AM307" s="576"/>
      <c r="AN307" s="73"/>
      <c r="AO307" s="14"/>
      <c r="AP307" s="30"/>
    </row>
    <row r="308" spans="1:42" ht="13" hidden="1">
      <c r="A308" s="576"/>
      <c r="B308" s="577"/>
      <c r="C308" s="756"/>
      <c r="D308" s="756"/>
      <c r="E308" s="573"/>
      <c r="F308" s="2016"/>
      <c r="G308" s="2017"/>
      <c r="H308" s="2017"/>
      <c r="I308" s="2017"/>
      <c r="J308" s="2017"/>
      <c r="K308" s="2017"/>
      <c r="L308" s="2017"/>
      <c r="M308" s="2017"/>
      <c r="N308" s="2017"/>
      <c r="O308" s="2017"/>
      <c r="P308" s="2017"/>
      <c r="Q308" s="2017"/>
      <c r="R308" s="2017"/>
      <c r="S308" s="2017"/>
      <c r="T308" s="2017"/>
      <c r="U308" s="2017"/>
      <c r="V308" s="2017"/>
      <c r="W308" s="2017"/>
      <c r="X308" s="2017"/>
      <c r="Y308" s="2017"/>
      <c r="Z308" s="2017"/>
      <c r="AA308" s="2017"/>
      <c r="AB308" s="2017"/>
      <c r="AC308" s="2017"/>
      <c r="AD308" s="2018"/>
      <c r="AE308" s="577"/>
      <c r="AF308" s="577"/>
      <c r="AG308" s="565"/>
      <c r="AH308" s="577"/>
      <c r="AI308" s="577"/>
      <c r="AJ308" s="576"/>
      <c r="AK308" s="576"/>
      <c r="AL308" s="576"/>
      <c r="AM308" s="576"/>
      <c r="AN308" s="73"/>
      <c r="AO308" s="14"/>
      <c r="AP308" s="30"/>
    </row>
    <row r="309" spans="1:42" ht="13" hidden="1">
      <c r="A309" s="576"/>
      <c r="B309" s="577"/>
      <c r="C309" s="756"/>
      <c r="D309" s="756"/>
      <c r="E309" s="573"/>
      <c r="F309" s="2019"/>
      <c r="G309" s="2020"/>
      <c r="H309" s="2020"/>
      <c r="I309" s="2020"/>
      <c r="J309" s="2020"/>
      <c r="K309" s="2020"/>
      <c r="L309" s="2020"/>
      <c r="M309" s="2020"/>
      <c r="N309" s="2020"/>
      <c r="O309" s="2020"/>
      <c r="P309" s="2020"/>
      <c r="Q309" s="2020"/>
      <c r="R309" s="2020"/>
      <c r="S309" s="2020"/>
      <c r="T309" s="2020"/>
      <c r="U309" s="2020"/>
      <c r="V309" s="2020"/>
      <c r="W309" s="2020"/>
      <c r="X309" s="2020"/>
      <c r="Y309" s="2020"/>
      <c r="Z309" s="2020"/>
      <c r="AA309" s="2020"/>
      <c r="AB309" s="2020"/>
      <c r="AC309" s="2020"/>
      <c r="AD309" s="2021"/>
      <c r="AE309" s="577"/>
      <c r="AF309" s="577"/>
      <c r="AG309" s="565"/>
      <c r="AH309" s="577"/>
      <c r="AI309" s="577"/>
      <c r="AJ309" s="576"/>
      <c r="AK309" s="576"/>
      <c r="AL309" s="576"/>
      <c r="AM309" s="576"/>
      <c r="AN309" s="73"/>
      <c r="AO309" s="14"/>
      <c r="AP309" s="30"/>
    </row>
    <row r="310" spans="1:42" ht="13" hidden="1">
      <c r="A310" s="576"/>
      <c r="B310" s="577"/>
      <c r="C310" s="756"/>
      <c r="D310" s="756"/>
      <c r="E310" s="573"/>
      <c r="F310" s="994"/>
      <c r="G310" s="668"/>
      <c r="H310" s="668"/>
      <c r="I310" s="668"/>
      <c r="J310" s="668"/>
      <c r="K310" s="668"/>
      <c r="L310" s="668"/>
      <c r="M310" s="668"/>
      <c r="N310" s="668"/>
      <c r="O310" s="668"/>
      <c r="P310" s="668"/>
      <c r="Q310" s="668"/>
      <c r="R310" s="668"/>
      <c r="S310" s="668"/>
      <c r="T310" s="668"/>
      <c r="U310" s="668"/>
      <c r="V310" s="668"/>
      <c r="W310" s="668"/>
      <c r="X310" s="668"/>
      <c r="Y310" s="668"/>
      <c r="Z310" s="668"/>
      <c r="AA310" s="668"/>
      <c r="AB310" s="668"/>
      <c r="AC310" s="668"/>
      <c r="AD310" s="679"/>
      <c r="AE310" s="577"/>
      <c r="AF310" s="577"/>
      <c r="AG310" s="565"/>
      <c r="AH310" s="577"/>
      <c r="AI310" s="577"/>
      <c r="AJ310" s="576"/>
      <c r="AK310" s="576"/>
      <c r="AL310" s="576"/>
      <c r="AM310" s="576"/>
      <c r="AN310" s="73"/>
      <c r="AO310" s="14"/>
      <c r="AP310" s="30"/>
    </row>
    <row r="311" spans="1:42" ht="13" hidden="1">
      <c r="A311" s="576"/>
      <c r="B311" s="577"/>
      <c r="C311" s="756"/>
      <c r="D311" s="756"/>
      <c r="E311" s="573"/>
      <c r="F311" s="680" t="s">
        <v>1992</v>
      </c>
      <c r="G311" s="577"/>
      <c r="H311" s="577"/>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681"/>
      <c r="AE311" s="577"/>
      <c r="AF311" s="577"/>
      <c r="AG311" s="565"/>
      <c r="AH311" s="577"/>
      <c r="AI311" s="577"/>
      <c r="AJ311" s="576"/>
      <c r="AK311" s="576"/>
      <c r="AL311" s="576"/>
      <c r="AM311" s="576"/>
      <c r="AN311" s="73"/>
      <c r="AO311" s="14"/>
      <c r="AP311" s="30"/>
    </row>
    <row r="312" spans="1:42" ht="13" hidden="1">
      <c r="A312" s="576"/>
      <c r="B312" s="577"/>
      <c r="C312" s="756"/>
      <c r="D312" s="756"/>
      <c r="E312" s="573"/>
      <c r="F312" s="680"/>
      <c r="G312" s="577"/>
      <c r="H312" s="577"/>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681"/>
      <c r="AE312" s="577"/>
      <c r="AF312" s="577"/>
      <c r="AG312" s="565"/>
      <c r="AH312" s="577"/>
      <c r="AI312" s="577"/>
      <c r="AJ312" s="576"/>
      <c r="AK312" s="576"/>
      <c r="AL312" s="576"/>
      <c r="AM312" s="576"/>
      <c r="AN312" s="73"/>
      <c r="AO312" s="14"/>
      <c r="AP312" s="583" t="s">
        <v>1327</v>
      </c>
    </row>
    <row r="313" spans="1:42" ht="12.75" hidden="1" customHeight="1">
      <c r="A313" s="576"/>
      <c r="B313" s="577"/>
      <c r="C313" s="756"/>
      <c r="D313" s="756"/>
      <c r="E313" s="573"/>
      <c r="F313" s="682"/>
      <c r="G313" s="601" t="s">
        <v>698</v>
      </c>
      <c r="H313" s="601"/>
      <c r="I313" s="2022" t="s">
        <v>1327</v>
      </c>
      <c r="J313" s="2022"/>
      <c r="K313" s="2022"/>
      <c r="L313" s="2022"/>
      <c r="M313" s="2022"/>
      <c r="N313" s="2022"/>
      <c r="O313" s="2022"/>
      <c r="P313" s="2022"/>
      <c r="Q313" s="2022"/>
      <c r="R313" s="2022"/>
      <c r="S313" s="2022"/>
      <c r="T313" s="2022"/>
      <c r="U313" s="2022"/>
      <c r="V313" s="2022"/>
      <c r="W313" s="2022"/>
      <c r="X313" s="2022"/>
      <c r="Y313" s="2022"/>
      <c r="Z313" s="2022"/>
      <c r="AA313" s="2022"/>
      <c r="AB313" s="2022"/>
      <c r="AC313" s="2022"/>
      <c r="AD313" s="2023"/>
      <c r="AE313" s="577"/>
      <c r="AF313" s="577"/>
      <c r="AG313" s="565"/>
      <c r="AH313" s="577"/>
      <c r="AI313" s="577"/>
      <c r="AJ313" s="576"/>
      <c r="AK313" s="576"/>
      <c r="AL313" s="576"/>
      <c r="AM313" s="576"/>
      <c r="AN313" s="73"/>
      <c r="AO313" s="14"/>
      <c r="AP313" s="583" t="s">
        <v>1818</v>
      </c>
    </row>
    <row r="314" spans="1:42" ht="13" hidden="1">
      <c r="A314" s="576"/>
      <c r="B314" s="577"/>
      <c r="C314" s="756"/>
      <c r="D314" s="756"/>
      <c r="E314" s="573"/>
      <c r="F314" s="682"/>
      <c r="G314" s="601"/>
      <c r="H314" s="601"/>
      <c r="I314" s="2022"/>
      <c r="J314" s="2022"/>
      <c r="K314" s="2022"/>
      <c r="L314" s="2022"/>
      <c r="M314" s="2022"/>
      <c r="N314" s="2022"/>
      <c r="O314" s="2022"/>
      <c r="P314" s="2022"/>
      <c r="Q314" s="2022"/>
      <c r="R314" s="2022"/>
      <c r="S314" s="2022"/>
      <c r="T314" s="2022"/>
      <c r="U314" s="2022"/>
      <c r="V314" s="2022"/>
      <c r="W314" s="2022"/>
      <c r="X314" s="2022"/>
      <c r="Y314" s="2022"/>
      <c r="Z314" s="2022"/>
      <c r="AA314" s="2022"/>
      <c r="AB314" s="2022"/>
      <c r="AC314" s="2022"/>
      <c r="AD314" s="2023"/>
      <c r="AE314" s="577"/>
      <c r="AF314" s="577"/>
      <c r="AG314" s="565"/>
      <c r="AH314" s="577"/>
      <c r="AI314" s="577"/>
      <c r="AJ314" s="576"/>
      <c r="AK314" s="576"/>
      <c r="AL314" s="576"/>
      <c r="AM314" s="576"/>
      <c r="AN314" s="73"/>
      <c r="AO314" s="14"/>
      <c r="AP314" s="583" t="s">
        <v>1994</v>
      </c>
    </row>
    <row r="315" spans="1:42" ht="13" hidden="1">
      <c r="A315" s="576"/>
      <c r="B315" s="577"/>
      <c r="C315" s="677"/>
      <c r="D315" s="677"/>
      <c r="E315" s="573"/>
      <c r="F315" s="682"/>
      <c r="G315" s="601"/>
      <c r="H315" s="601"/>
      <c r="I315" s="2022"/>
      <c r="J315" s="2022"/>
      <c r="K315" s="2022"/>
      <c r="L315" s="2022"/>
      <c r="M315" s="2022"/>
      <c r="N315" s="2022"/>
      <c r="O315" s="2022"/>
      <c r="P315" s="2022"/>
      <c r="Q315" s="2022"/>
      <c r="R315" s="2022"/>
      <c r="S315" s="2022"/>
      <c r="T315" s="2022"/>
      <c r="U315" s="2022"/>
      <c r="V315" s="2022"/>
      <c r="W315" s="2022"/>
      <c r="X315" s="2022"/>
      <c r="Y315" s="2022"/>
      <c r="Z315" s="2022"/>
      <c r="AA315" s="2022"/>
      <c r="AB315" s="2022"/>
      <c r="AC315" s="2022"/>
      <c r="AD315" s="2023"/>
      <c r="AE315" s="577"/>
      <c r="AF315" s="577"/>
      <c r="AG315" s="565"/>
      <c r="AH315" s="577"/>
      <c r="AI315" s="577"/>
      <c r="AJ315" s="576"/>
      <c r="AK315" s="576"/>
      <c r="AL315" s="576"/>
      <c r="AM315" s="576"/>
      <c r="AN315" s="73"/>
      <c r="AO315" s="14"/>
      <c r="AP315" s="583" t="s">
        <v>1996</v>
      </c>
    </row>
    <row r="316" spans="1:42" ht="13" hidden="1">
      <c r="A316" s="576"/>
      <c r="B316" s="577"/>
      <c r="C316" s="677"/>
      <c r="D316" s="677"/>
      <c r="E316" s="573"/>
      <c r="F316" s="680"/>
      <c r="G316" s="577"/>
      <c r="H316" s="577"/>
      <c r="I316" s="2024"/>
      <c r="J316" s="2024"/>
      <c r="K316" s="2024"/>
      <c r="L316" s="2024"/>
      <c r="M316" s="2024"/>
      <c r="N316" s="2024"/>
      <c r="O316" s="2024"/>
      <c r="P316" s="2024"/>
      <c r="Q316" s="2024"/>
      <c r="R316" s="2024"/>
      <c r="S316" s="2024"/>
      <c r="T316" s="2024"/>
      <c r="U316" s="2024"/>
      <c r="V316" s="2024"/>
      <c r="W316" s="2024"/>
      <c r="X316" s="2024"/>
      <c r="Y316" s="2024"/>
      <c r="Z316" s="2024"/>
      <c r="AA316" s="2024"/>
      <c r="AB316" s="2024"/>
      <c r="AC316" s="2024"/>
      <c r="AD316" s="2025"/>
      <c r="AE316" s="577"/>
      <c r="AF316" s="577"/>
      <c r="AG316" s="565"/>
      <c r="AH316" s="577"/>
      <c r="AI316" s="577"/>
      <c r="AJ316" s="576"/>
      <c r="AK316" s="576"/>
      <c r="AL316" s="576"/>
      <c r="AM316" s="576"/>
      <c r="AN316" s="73"/>
      <c r="AO316" s="14"/>
      <c r="AP316" s="583" t="s">
        <v>1995</v>
      </c>
    </row>
    <row r="317" spans="1:42" ht="13" hidden="1">
      <c r="A317" s="576"/>
      <c r="B317" s="577"/>
      <c r="C317" s="677"/>
      <c r="D317" s="677"/>
      <c r="E317" s="573"/>
      <c r="F317" s="680"/>
      <c r="G317" s="577"/>
      <c r="H317" s="577"/>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681"/>
      <c r="AE317" s="577"/>
      <c r="AF317" s="577"/>
      <c r="AG317" s="565"/>
      <c r="AH317" s="577"/>
      <c r="AI317" s="577"/>
      <c r="AJ317" s="576"/>
      <c r="AK317" s="576"/>
      <c r="AL317" s="576"/>
      <c r="AM317" s="576"/>
      <c r="AN317" s="73"/>
      <c r="AO317" s="14"/>
      <c r="AP317" s="30"/>
    </row>
    <row r="318" spans="1:42" ht="13" hidden="1">
      <c r="A318" s="576"/>
      <c r="B318" s="577"/>
      <c r="C318" s="677"/>
      <c r="D318" s="677"/>
      <c r="E318" s="573"/>
      <c r="F318" s="680"/>
      <c r="G318" s="577" t="s">
        <v>519</v>
      </c>
      <c r="H318" s="577"/>
      <c r="I318" s="2022" t="s">
        <v>1327</v>
      </c>
      <c r="J318" s="2022"/>
      <c r="K318" s="2022"/>
      <c r="L318" s="2022"/>
      <c r="M318" s="2022"/>
      <c r="N318" s="2022"/>
      <c r="O318" s="2022"/>
      <c r="P318" s="2022"/>
      <c r="Q318" s="2022"/>
      <c r="R318" s="2022"/>
      <c r="S318" s="2022"/>
      <c r="T318" s="2022"/>
      <c r="U318" s="2022"/>
      <c r="V318" s="2022"/>
      <c r="W318" s="2022"/>
      <c r="X318" s="2022"/>
      <c r="Y318" s="2022"/>
      <c r="Z318" s="2022"/>
      <c r="AA318" s="2022"/>
      <c r="AB318" s="2022"/>
      <c r="AC318" s="2022"/>
      <c r="AD318" s="2023"/>
      <c r="AE318" s="577"/>
      <c r="AF318" s="577"/>
      <c r="AG318" s="565"/>
      <c r="AH318" s="577"/>
      <c r="AI318" s="577"/>
      <c r="AJ318" s="576"/>
      <c r="AK318" s="576"/>
      <c r="AL318" s="576"/>
      <c r="AM318" s="576"/>
      <c r="AN318" s="73"/>
      <c r="AO318" s="14"/>
    </row>
    <row r="319" spans="1:42" ht="13" hidden="1">
      <c r="A319" s="576"/>
      <c r="B319" s="577"/>
      <c r="C319" s="677"/>
      <c r="D319" s="677"/>
      <c r="E319" s="573"/>
      <c r="F319" s="680"/>
      <c r="G319" s="577"/>
      <c r="H319" s="577"/>
      <c r="I319" s="2022"/>
      <c r="J319" s="2022"/>
      <c r="K319" s="2022"/>
      <c r="L319" s="2022"/>
      <c r="M319" s="2022"/>
      <c r="N319" s="2022"/>
      <c r="O319" s="2022"/>
      <c r="P319" s="2022"/>
      <c r="Q319" s="2022"/>
      <c r="R319" s="2022"/>
      <c r="S319" s="2022"/>
      <c r="T319" s="2022"/>
      <c r="U319" s="2022"/>
      <c r="V319" s="2022"/>
      <c r="W319" s="2022"/>
      <c r="X319" s="2022"/>
      <c r="Y319" s="2022"/>
      <c r="Z319" s="2022"/>
      <c r="AA319" s="2022"/>
      <c r="AB319" s="2022"/>
      <c r="AC319" s="2022"/>
      <c r="AD319" s="2023"/>
      <c r="AE319" s="577"/>
      <c r="AF319" s="577"/>
      <c r="AG319" s="565"/>
      <c r="AH319" s="577"/>
      <c r="AI319" s="577"/>
      <c r="AJ319" s="576"/>
      <c r="AK319" s="576"/>
      <c r="AL319" s="576"/>
      <c r="AM319" s="576"/>
      <c r="AN319" s="73"/>
      <c r="AO319" s="14"/>
      <c r="AP319" s="583" t="s">
        <v>1327</v>
      </c>
    </row>
    <row r="320" spans="1:42" ht="13" hidden="1">
      <c r="A320" s="576"/>
      <c r="B320" s="577"/>
      <c r="C320" s="677"/>
      <c r="D320" s="677"/>
      <c r="E320" s="573"/>
      <c r="F320" s="683"/>
      <c r="G320" s="684"/>
      <c r="H320" s="684"/>
      <c r="I320" s="2024"/>
      <c r="J320" s="2024"/>
      <c r="K320" s="2024"/>
      <c r="L320" s="2024"/>
      <c r="M320" s="2024"/>
      <c r="N320" s="2024"/>
      <c r="O320" s="2024"/>
      <c r="P320" s="2024"/>
      <c r="Q320" s="2024"/>
      <c r="R320" s="2024"/>
      <c r="S320" s="2024"/>
      <c r="T320" s="2024"/>
      <c r="U320" s="2024"/>
      <c r="V320" s="2024"/>
      <c r="W320" s="2024"/>
      <c r="X320" s="2024"/>
      <c r="Y320" s="2024"/>
      <c r="Z320" s="2024"/>
      <c r="AA320" s="2024"/>
      <c r="AB320" s="2024"/>
      <c r="AC320" s="2024"/>
      <c r="AD320" s="2025"/>
      <c r="AE320" s="577"/>
      <c r="AF320" s="577"/>
      <c r="AG320" s="565"/>
      <c r="AH320" s="577"/>
      <c r="AI320" s="577"/>
      <c r="AJ320" s="576"/>
      <c r="AK320" s="576"/>
      <c r="AL320" s="576"/>
      <c r="AM320" s="576"/>
      <c r="AN320" s="73"/>
      <c r="AO320" s="14"/>
      <c r="AP320" s="583" t="s">
        <v>1564</v>
      </c>
    </row>
    <row r="321" spans="1:44" hidden="1">
      <c r="A321" s="576"/>
      <c r="B321" s="577"/>
      <c r="C321" s="576"/>
      <c r="D321" s="577"/>
      <c r="E321" s="576"/>
      <c r="F321" s="642"/>
      <c r="G321" s="577"/>
      <c r="H321" s="577"/>
      <c r="I321" s="577"/>
      <c r="J321" s="577"/>
      <c r="K321" s="577"/>
      <c r="L321" s="577"/>
      <c r="M321" s="577"/>
      <c r="N321" s="577"/>
      <c r="O321" s="577"/>
      <c r="P321" s="577"/>
      <c r="Q321" s="577"/>
      <c r="R321" s="577"/>
      <c r="S321" s="577"/>
      <c r="T321" s="577"/>
      <c r="U321" s="577"/>
      <c r="V321" s="577"/>
      <c r="W321" s="577"/>
      <c r="X321" s="577"/>
      <c r="Y321" s="577"/>
      <c r="Z321" s="577"/>
      <c r="AA321" s="577"/>
      <c r="AB321" s="577"/>
      <c r="AC321" s="577"/>
      <c r="AD321" s="577"/>
      <c r="AE321" s="577"/>
      <c r="AF321" s="577"/>
      <c r="AG321" s="577"/>
      <c r="AH321" s="577"/>
      <c r="AI321" s="577"/>
      <c r="AJ321" s="576"/>
      <c r="AK321" s="576"/>
      <c r="AL321" s="576"/>
      <c r="AM321" s="576"/>
      <c r="AN321" s="73"/>
      <c r="AO321" s="14"/>
      <c r="AP321" s="583" t="s">
        <v>1819</v>
      </c>
    </row>
    <row r="322" spans="1:44" ht="12.75" hidden="1" customHeight="1">
      <c r="A322" s="1644" t="s">
        <v>1565</v>
      </c>
      <c r="B322" s="1644"/>
      <c r="C322" s="1984" t="s">
        <v>601</v>
      </c>
      <c r="D322" s="1984"/>
      <c r="E322" s="573"/>
      <c r="F322" s="1913" t="s">
        <v>2426</v>
      </c>
      <c r="G322" s="1914"/>
      <c r="H322" s="1914"/>
      <c r="I322" s="1914"/>
      <c r="J322" s="1914"/>
      <c r="K322" s="1914"/>
      <c r="L322" s="1914"/>
      <c r="M322" s="1914"/>
      <c r="N322" s="1914"/>
      <c r="O322" s="1914"/>
      <c r="P322" s="1914"/>
      <c r="Q322" s="1914"/>
      <c r="R322" s="1914"/>
      <c r="S322" s="1914"/>
      <c r="T322" s="1914"/>
      <c r="U322" s="1914"/>
      <c r="V322" s="1914"/>
      <c r="W322" s="1914"/>
      <c r="X322" s="1914"/>
      <c r="Y322" s="1914"/>
      <c r="Z322" s="1914"/>
      <c r="AA322" s="1914"/>
      <c r="AB322" s="1914"/>
      <c r="AC322" s="1914"/>
      <c r="AD322" s="1915"/>
      <c r="AE322" s="577"/>
      <c r="AF322" s="577"/>
      <c r="AG322" s="565" t="s">
        <v>1561</v>
      </c>
      <c r="AH322" s="577"/>
      <c r="AI322" s="577"/>
      <c r="AJ322" s="576"/>
      <c r="AK322" s="576"/>
      <c r="AL322" s="576"/>
      <c r="AM322" s="576"/>
      <c r="AN322" s="73"/>
      <c r="AO322" s="14"/>
    </row>
    <row r="323" spans="1:44" ht="15" hidden="1" customHeight="1">
      <c r="A323" s="576"/>
      <c r="B323" s="577"/>
      <c r="C323" s="577"/>
      <c r="D323" s="577"/>
      <c r="E323" s="577"/>
      <c r="F323" s="1919"/>
      <c r="G323" s="1920"/>
      <c r="H323" s="1920"/>
      <c r="I323" s="1920"/>
      <c r="J323" s="1920"/>
      <c r="K323" s="1920"/>
      <c r="L323" s="1920"/>
      <c r="M323" s="1920"/>
      <c r="N323" s="1920"/>
      <c r="O323" s="1920"/>
      <c r="P323" s="1920"/>
      <c r="Q323" s="1920"/>
      <c r="R323" s="1920"/>
      <c r="S323" s="1920"/>
      <c r="T323" s="1920"/>
      <c r="U323" s="1920"/>
      <c r="V323" s="1920"/>
      <c r="W323" s="1920"/>
      <c r="X323" s="1920"/>
      <c r="Y323" s="1920"/>
      <c r="Z323" s="1920"/>
      <c r="AA323" s="1920"/>
      <c r="AB323" s="1920"/>
      <c r="AC323" s="1920"/>
      <c r="AD323" s="1921"/>
      <c r="AE323" s="577"/>
      <c r="AF323" s="577"/>
      <c r="AG323" s="577"/>
      <c r="AH323" s="577"/>
      <c r="AI323" s="577"/>
      <c r="AJ323" s="576"/>
      <c r="AK323" s="576"/>
      <c r="AL323" s="576"/>
      <c r="AM323" s="576"/>
      <c r="AN323" s="73"/>
      <c r="AO323" s="14"/>
    </row>
    <row r="324" spans="1:44" ht="15" hidden="1" customHeight="1">
      <c r="A324" s="576"/>
      <c r="B324" s="577"/>
      <c r="C324" s="577"/>
      <c r="D324" s="577"/>
      <c r="E324" s="577"/>
      <c r="F324" s="1919"/>
      <c r="G324" s="1920"/>
      <c r="H324" s="1920"/>
      <c r="I324" s="1920"/>
      <c r="J324" s="1920"/>
      <c r="K324" s="1920"/>
      <c r="L324" s="1920"/>
      <c r="M324" s="1920"/>
      <c r="N324" s="1920"/>
      <c r="O324" s="1920"/>
      <c r="P324" s="1920"/>
      <c r="Q324" s="1920"/>
      <c r="R324" s="1920"/>
      <c r="S324" s="1920"/>
      <c r="T324" s="1920"/>
      <c r="U324" s="1920"/>
      <c r="V324" s="1920"/>
      <c r="W324" s="1920"/>
      <c r="X324" s="1920"/>
      <c r="Y324" s="1920"/>
      <c r="Z324" s="1920"/>
      <c r="AA324" s="1920"/>
      <c r="AB324" s="1920"/>
      <c r="AC324" s="1920"/>
      <c r="AD324" s="1921"/>
      <c r="AE324" s="577"/>
      <c r="AF324" s="577"/>
      <c r="AG324" s="577"/>
      <c r="AH324" s="577"/>
      <c r="AI324" s="577"/>
      <c r="AJ324" s="576"/>
      <c r="AK324" s="576"/>
      <c r="AL324" s="576"/>
      <c r="AM324" s="685"/>
      <c r="AN324" s="14"/>
      <c r="AO324" s="14"/>
    </row>
    <row r="325" spans="1:44" hidden="1">
      <c r="A325" s="576"/>
      <c r="B325" s="577"/>
      <c r="C325" s="576"/>
      <c r="D325" s="577"/>
      <c r="E325" s="576"/>
      <c r="F325" s="686" t="s">
        <v>1566</v>
      </c>
      <c r="G325" s="687"/>
      <c r="H325" s="687"/>
      <c r="I325" s="687"/>
      <c r="J325" s="687"/>
      <c r="K325" s="687"/>
      <c r="L325" s="687"/>
      <c r="M325" s="687"/>
      <c r="N325" s="687"/>
      <c r="O325" s="687"/>
      <c r="P325" s="687"/>
      <c r="Q325" s="687"/>
      <c r="R325" s="687"/>
      <c r="S325" s="687"/>
      <c r="T325" s="687"/>
      <c r="U325" s="687"/>
      <c r="V325" s="687"/>
      <c r="W325" s="687"/>
      <c r="X325" s="687"/>
      <c r="Y325" s="687"/>
      <c r="Z325" s="687"/>
      <c r="AA325" s="687"/>
      <c r="AB325" s="687"/>
      <c r="AC325" s="687"/>
      <c r="AD325" s="688"/>
      <c r="AE325" s="577"/>
      <c r="AF325" s="577"/>
      <c r="AG325" s="577"/>
      <c r="AH325" s="577"/>
      <c r="AI325" s="577"/>
      <c r="AJ325" s="576"/>
      <c r="AK325" s="576"/>
      <c r="AL325" s="576"/>
      <c r="AM325" s="685"/>
      <c r="AN325" s="30"/>
    </row>
    <row r="326" spans="1:44" hidden="1">
      <c r="A326" s="576"/>
      <c r="B326" s="577"/>
      <c r="C326" s="576"/>
      <c r="D326" s="577"/>
      <c r="E326" s="576"/>
      <c r="F326" s="689"/>
      <c r="G326" s="689"/>
      <c r="H326" s="689"/>
      <c r="I326" s="689"/>
      <c r="J326" s="689"/>
      <c r="K326" s="689"/>
      <c r="L326" s="689"/>
      <c r="M326" s="689"/>
      <c r="N326" s="689"/>
      <c r="O326" s="689"/>
      <c r="P326" s="689"/>
      <c r="Q326" s="689"/>
      <c r="R326" s="689"/>
      <c r="S326" s="689"/>
      <c r="T326" s="689"/>
      <c r="U326" s="689"/>
      <c r="V326" s="689"/>
      <c r="W326" s="689"/>
      <c r="X326" s="689"/>
      <c r="Y326" s="689"/>
      <c r="Z326" s="689"/>
      <c r="AA326" s="689"/>
      <c r="AB326" s="689"/>
      <c r="AC326" s="689"/>
      <c r="AD326" s="689"/>
      <c r="AE326" s="577"/>
      <c r="AF326" s="577"/>
      <c r="AG326" s="577"/>
      <c r="AH326" s="577"/>
      <c r="AI326" s="577"/>
      <c r="AJ326" s="576"/>
      <c r="AK326" s="576"/>
      <c r="AL326" s="576"/>
      <c r="AM326" s="685"/>
      <c r="AN326" s="30"/>
    </row>
    <row r="327" spans="1:44" ht="13">
      <c r="A327" s="632"/>
      <c r="B327" s="690"/>
      <c r="C327" s="690"/>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0"/>
      <c r="Z327" s="690"/>
      <c r="AA327" s="690"/>
      <c r="AB327" s="690"/>
      <c r="AC327" s="691"/>
      <c r="AD327" s="690"/>
      <c r="AE327" s="590"/>
      <c r="AF327" s="590"/>
      <c r="AG327" s="590"/>
      <c r="AH327" s="590"/>
      <c r="AI327" s="591"/>
      <c r="AJ327" s="591" t="s">
        <v>1625</v>
      </c>
      <c r="AK327" s="1987">
        <f>IF(NOT(OR(Application!M354="Yes",Application!M355="Yes")),0,AP284)</f>
        <v>9</v>
      </c>
      <c r="AL327" s="1988"/>
      <c r="AM327" s="1989"/>
      <c r="AN327" s="30"/>
    </row>
    <row r="328" spans="1:44" s="576" customFormat="1" ht="12.75" customHeight="1" thickBot="1">
      <c r="A328" s="647"/>
      <c r="B328" s="647"/>
      <c r="C328" s="647"/>
      <c r="D328" s="647"/>
      <c r="E328" s="647"/>
      <c r="F328" s="647"/>
      <c r="G328" s="647"/>
      <c r="H328" s="647"/>
      <c r="I328" s="647"/>
      <c r="J328" s="647"/>
      <c r="K328" s="647"/>
      <c r="L328" s="647"/>
      <c r="M328" s="647"/>
      <c r="N328" s="647"/>
      <c r="O328" s="647"/>
      <c r="P328" s="647"/>
      <c r="Q328" s="647"/>
      <c r="R328" s="647"/>
      <c r="S328" s="647"/>
      <c r="T328" s="647"/>
      <c r="U328" s="647"/>
      <c r="V328" s="647"/>
      <c r="W328" s="647"/>
      <c r="X328" s="647"/>
      <c r="Y328" s="647"/>
      <c r="Z328" s="647"/>
      <c r="AA328" s="647"/>
      <c r="AB328" s="647"/>
      <c r="AC328" s="647"/>
      <c r="AD328" s="647"/>
      <c r="AE328" s="647"/>
      <c r="AF328" s="647"/>
      <c r="AG328" s="647"/>
      <c r="AH328" s="647"/>
      <c r="AI328" s="647"/>
      <c r="AJ328" s="647"/>
      <c r="AK328" s="647"/>
      <c r="AL328" s="647"/>
      <c r="AM328" s="647"/>
      <c r="AN328" s="623"/>
    </row>
    <row r="329" spans="1:44" s="576"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23"/>
    </row>
    <row r="330" spans="1:44" s="576" customFormat="1" ht="12.75" customHeight="1">
      <c r="A330" s="565" t="s">
        <v>1626</v>
      </c>
      <c r="B330" s="565" t="s">
        <v>874</v>
      </c>
      <c r="C330" s="562"/>
      <c r="AC330" s="565"/>
      <c r="AE330" s="1922" t="s">
        <v>1487</v>
      </c>
      <c r="AF330" s="1922"/>
      <c r="AG330" s="1922"/>
      <c r="AH330" s="1922"/>
      <c r="AI330" s="1922"/>
      <c r="AJ330" s="1922"/>
      <c r="AK330" s="1922"/>
      <c r="AL330" s="565"/>
      <c r="AM330" s="565"/>
      <c r="AN330" s="618"/>
    </row>
    <row r="331" spans="1:44" s="576" customFormat="1" ht="12.75" customHeight="1">
      <c r="A331" s="565"/>
      <c r="B331" s="565"/>
      <c r="C331" s="562"/>
      <c r="AC331" s="565"/>
      <c r="AE331" s="569"/>
      <c r="AF331" s="569"/>
      <c r="AG331" s="569"/>
      <c r="AH331" s="569"/>
      <c r="AI331" s="569"/>
      <c r="AJ331" s="569"/>
      <c r="AK331" s="569"/>
      <c r="AL331" s="565"/>
      <c r="AM331" s="565"/>
      <c r="AN331" s="618"/>
    </row>
    <row r="332" spans="1:44" s="576" customFormat="1" ht="12.75" customHeight="1">
      <c r="A332" s="629"/>
      <c r="B332" s="637"/>
      <c r="C332" s="2026" t="s">
        <v>1627</v>
      </c>
      <c r="D332" s="2026"/>
      <c r="E332" s="2026"/>
      <c r="F332" s="2026"/>
      <c r="G332" s="2026"/>
      <c r="H332" s="2026"/>
      <c r="I332" s="2026"/>
      <c r="J332" s="2026"/>
      <c r="K332" s="2026"/>
      <c r="L332" s="2026"/>
      <c r="M332" s="2026"/>
      <c r="N332" s="2026"/>
      <c r="O332" s="2026"/>
      <c r="P332" s="2026"/>
      <c r="Q332" s="2026"/>
      <c r="R332" s="2026"/>
      <c r="S332" s="2026"/>
      <c r="T332" s="2026"/>
      <c r="U332" s="2026"/>
      <c r="V332" s="2026"/>
      <c r="W332" s="2026"/>
      <c r="X332" s="2026"/>
      <c r="Y332" s="2026"/>
      <c r="Z332" s="2026"/>
      <c r="AA332" s="2026"/>
      <c r="AB332" s="2026"/>
      <c r="AC332" s="2026"/>
      <c r="AD332" s="2026"/>
      <c r="AE332" s="2026"/>
      <c r="AF332" s="2026"/>
      <c r="AG332" s="2026"/>
      <c r="AH332" s="2026"/>
      <c r="AI332" s="2026"/>
      <c r="AJ332" s="2026"/>
      <c r="AK332" s="629"/>
      <c r="AL332" s="629"/>
      <c r="AM332" s="629"/>
      <c r="AN332" s="623"/>
    </row>
    <row r="333" spans="1:44" s="576" customFormat="1" ht="12.75" customHeight="1">
      <c r="A333" s="629"/>
      <c r="B333" s="637"/>
      <c r="C333" s="2026"/>
      <c r="D333" s="2026"/>
      <c r="E333" s="2026"/>
      <c r="F333" s="2026"/>
      <c r="G333" s="2026"/>
      <c r="H333" s="2026"/>
      <c r="I333" s="2026"/>
      <c r="J333" s="2026"/>
      <c r="K333" s="2026"/>
      <c r="L333" s="2026"/>
      <c r="M333" s="2026"/>
      <c r="N333" s="2026"/>
      <c r="O333" s="2026"/>
      <c r="P333" s="2026"/>
      <c r="Q333" s="2026"/>
      <c r="R333" s="2026"/>
      <c r="S333" s="2026"/>
      <c r="T333" s="2026"/>
      <c r="U333" s="2026"/>
      <c r="V333" s="2026"/>
      <c r="W333" s="2026"/>
      <c r="X333" s="2026"/>
      <c r="Y333" s="2026"/>
      <c r="Z333" s="2026"/>
      <c r="AA333" s="2026"/>
      <c r="AB333" s="2026"/>
      <c r="AC333" s="2026"/>
      <c r="AD333" s="2026"/>
      <c r="AE333" s="2026"/>
      <c r="AF333" s="2026"/>
      <c r="AG333" s="2026"/>
      <c r="AH333" s="2026"/>
      <c r="AI333" s="2026"/>
      <c r="AJ333" s="2026"/>
      <c r="AK333" s="629"/>
      <c r="AL333" s="629"/>
      <c r="AM333" s="629"/>
      <c r="AN333" s="623"/>
    </row>
    <row r="334" spans="1:44" s="576" customFormat="1" ht="12.75" customHeight="1">
      <c r="A334" s="629"/>
      <c r="B334" s="637"/>
      <c r="C334" s="2026"/>
      <c r="D334" s="2026"/>
      <c r="E334" s="2026"/>
      <c r="F334" s="2026"/>
      <c r="G334" s="2026"/>
      <c r="H334" s="2026"/>
      <c r="I334" s="2026"/>
      <c r="J334" s="2026"/>
      <c r="K334" s="2026"/>
      <c r="L334" s="2026"/>
      <c r="M334" s="2026"/>
      <c r="N334" s="2026"/>
      <c r="O334" s="2026"/>
      <c r="P334" s="2026"/>
      <c r="Q334" s="2026"/>
      <c r="R334" s="2026"/>
      <c r="S334" s="2026"/>
      <c r="T334" s="2026"/>
      <c r="U334" s="2026"/>
      <c r="V334" s="2026"/>
      <c r="W334" s="2026"/>
      <c r="X334" s="2026"/>
      <c r="Y334" s="2026"/>
      <c r="Z334" s="2026"/>
      <c r="AA334" s="2026"/>
      <c r="AB334" s="2026"/>
      <c r="AC334" s="2026"/>
      <c r="AD334" s="2026"/>
      <c r="AE334" s="2026"/>
      <c r="AF334" s="2026"/>
      <c r="AG334" s="2026"/>
      <c r="AH334" s="2026"/>
      <c r="AI334" s="2026"/>
      <c r="AJ334" s="2026"/>
      <c r="AK334" s="629"/>
      <c r="AL334" s="629"/>
      <c r="AM334" s="629"/>
      <c r="AN334" s="623"/>
      <c r="AQ334" s="596"/>
    </row>
    <row r="335" spans="1:44" s="576" customFormat="1" ht="12.75" customHeight="1">
      <c r="A335" s="629"/>
      <c r="B335" s="637"/>
      <c r="C335" s="2026"/>
      <c r="D335" s="2026"/>
      <c r="E335" s="2026"/>
      <c r="F335" s="2026"/>
      <c r="G335" s="2026"/>
      <c r="H335" s="2026"/>
      <c r="I335" s="2026"/>
      <c r="J335" s="2026"/>
      <c r="K335" s="2026"/>
      <c r="L335" s="2026"/>
      <c r="M335" s="2026"/>
      <c r="N335" s="2026"/>
      <c r="O335" s="2026"/>
      <c r="P335" s="2026"/>
      <c r="Q335" s="2026"/>
      <c r="R335" s="2026"/>
      <c r="S335" s="2026"/>
      <c r="T335" s="2026"/>
      <c r="U335" s="2026"/>
      <c r="V335" s="2026"/>
      <c r="W335" s="2026"/>
      <c r="X335" s="2026"/>
      <c r="Y335" s="2026"/>
      <c r="Z335" s="2026"/>
      <c r="AA335" s="2026"/>
      <c r="AB335" s="2026"/>
      <c r="AC335" s="2026"/>
      <c r="AD335" s="2026"/>
      <c r="AE335" s="2026"/>
      <c r="AF335" s="2026"/>
      <c r="AG335" s="2026"/>
      <c r="AH335" s="2026"/>
      <c r="AI335" s="2026"/>
      <c r="AJ335" s="2026"/>
      <c r="AK335" s="629"/>
      <c r="AL335" s="629"/>
      <c r="AM335" s="629"/>
      <c r="AN335" s="623"/>
      <c r="AQ335" s="596"/>
    </row>
    <row r="336" spans="1:44" s="576" customFormat="1" ht="12.5" customHeight="1">
      <c r="A336" s="629"/>
      <c r="B336" s="637"/>
      <c r="C336" s="2026"/>
      <c r="D336" s="2026"/>
      <c r="E336" s="2026"/>
      <c r="F336" s="2026"/>
      <c r="G336" s="2026"/>
      <c r="H336" s="2026"/>
      <c r="I336" s="2026"/>
      <c r="J336" s="2026"/>
      <c r="K336" s="2026"/>
      <c r="L336" s="2026"/>
      <c r="M336" s="2026"/>
      <c r="N336" s="2026"/>
      <c r="O336" s="2026"/>
      <c r="P336" s="2026"/>
      <c r="Q336" s="2026"/>
      <c r="R336" s="2026"/>
      <c r="S336" s="2026"/>
      <c r="T336" s="2026"/>
      <c r="U336" s="2026"/>
      <c r="V336" s="2026"/>
      <c r="W336" s="2026"/>
      <c r="X336" s="2026"/>
      <c r="Y336" s="2026"/>
      <c r="Z336" s="2026"/>
      <c r="AA336" s="2026"/>
      <c r="AB336" s="2026"/>
      <c r="AC336" s="2026"/>
      <c r="AD336" s="2026"/>
      <c r="AE336" s="2026"/>
      <c r="AF336" s="2026"/>
      <c r="AG336" s="2026"/>
      <c r="AH336" s="2026"/>
      <c r="AI336" s="2026"/>
      <c r="AJ336" s="2026"/>
      <c r="AK336" s="629"/>
      <c r="AL336" s="629"/>
      <c r="AM336" s="629"/>
      <c r="AN336" s="623"/>
      <c r="AQ336" s="596"/>
      <c r="AR336" s="596"/>
    </row>
    <row r="337" spans="1:46" s="576" customFormat="1" ht="45.75" customHeight="1">
      <c r="A337" s="629"/>
      <c r="B337" s="637"/>
      <c r="C337" s="2026" t="s">
        <v>2517</v>
      </c>
      <c r="D337" s="2026"/>
      <c r="E337" s="2026"/>
      <c r="F337" s="2026"/>
      <c r="G337" s="2026"/>
      <c r="H337" s="2026"/>
      <c r="I337" s="2026"/>
      <c r="J337" s="2026"/>
      <c r="K337" s="2026"/>
      <c r="L337" s="2026"/>
      <c r="M337" s="2026"/>
      <c r="N337" s="2026"/>
      <c r="O337" s="2026"/>
      <c r="P337" s="2026"/>
      <c r="Q337" s="2026"/>
      <c r="R337" s="2026"/>
      <c r="S337" s="2026"/>
      <c r="T337" s="2026"/>
      <c r="U337" s="2026"/>
      <c r="V337" s="2026"/>
      <c r="W337" s="2026"/>
      <c r="X337" s="2026"/>
      <c r="Y337" s="2026"/>
      <c r="Z337" s="2026"/>
      <c r="AA337" s="2026"/>
      <c r="AB337" s="2026"/>
      <c r="AC337" s="2026"/>
      <c r="AD337" s="2026"/>
      <c r="AE337" s="2026"/>
      <c r="AF337" s="2026"/>
      <c r="AG337" s="2026"/>
      <c r="AH337" s="2026"/>
      <c r="AI337" s="2026"/>
      <c r="AJ337" s="2026"/>
      <c r="AK337" s="629"/>
      <c r="AL337" s="629"/>
      <c r="AM337" s="629"/>
      <c r="AN337" s="623"/>
      <c r="AQ337" s="596"/>
      <c r="AR337" s="596"/>
    </row>
    <row r="338" spans="1:46" s="576" customFormat="1" ht="12.5" customHeight="1">
      <c r="A338" s="629"/>
      <c r="B338" s="637"/>
      <c r="C338" s="719"/>
      <c r="D338" s="719"/>
      <c r="E338" s="719"/>
      <c r="F338" s="719"/>
      <c r="G338" s="719"/>
      <c r="H338" s="719"/>
      <c r="I338" s="719"/>
      <c r="J338" s="719"/>
      <c r="K338" s="719"/>
      <c r="L338" s="719"/>
      <c r="M338" s="719"/>
      <c r="N338" s="719"/>
      <c r="O338" s="719"/>
      <c r="P338" s="719"/>
      <c r="Q338" s="719"/>
      <c r="R338" s="719"/>
      <c r="S338" s="719"/>
      <c r="T338" s="719"/>
      <c r="U338" s="719"/>
      <c r="V338" s="719"/>
      <c r="W338" s="719"/>
      <c r="X338" s="719"/>
      <c r="Y338" s="719"/>
      <c r="Z338" s="719"/>
      <c r="AA338" s="719"/>
      <c r="AB338" s="719"/>
      <c r="AC338" s="719"/>
      <c r="AD338" s="719"/>
      <c r="AE338" s="719"/>
      <c r="AF338" s="719"/>
      <c r="AG338" s="719"/>
      <c r="AH338" s="719"/>
      <c r="AI338" s="719"/>
      <c r="AJ338" s="719"/>
      <c r="AK338" s="629"/>
      <c r="AL338" s="629"/>
      <c r="AM338" s="629"/>
      <c r="AN338" s="623"/>
      <c r="AQ338" s="596"/>
      <c r="AR338" s="596"/>
    </row>
    <row r="339" spans="1:46" s="576" customFormat="1" ht="12.75" customHeight="1">
      <c r="A339" s="629"/>
      <c r="B339" s="637"/>
      <c r="C339" s="2026" t="s">
        <v>2128</v>
      </c>
      <c r="D339" s="2026"/>
      <c r="E339" s="2026"/>
      <c r="F339" s="2026"/>
      <c r="G339" s="2026"/>
      <c r="H339" s="2026"/>
      <c r="I339" s="2026"/>
      <c r="J339" s="2026"/>
      <c r="K339" s="2026"/>
      <c r="L339" s="2026"/>
      <c r="M339" s="2026"/>
      <c r="N339" s="2026"/>
      <c r="O339" s="2026"/>
      <c r="P339" s="2026"/>
      <c r="Q339" s="2026"/>
      <c r="R339" s="2026"/>
      <c r="S339" s="2026"/>
      <c r="T339" s="2026"/>
      <c r="U339" s="2026"/>
      <c r="V339" s="2026"/>
      <c r="W339" s="2026"/>
      <c r="X339" s="2026"/>
      <c r="Y339" s="2026"/>
      <c r="Z339" s="2026"/>
      <c r="AA339" s="2026"/>
      <c r="AB339" s="2026"/>
      <c r="AC339" s="2026"/>
      <c r="AD339" s="2026"/>
      <c r="AE339" s="2026"/>
      <c r="AF339" s="2026"/>
      <c r="AG339" s="2026"/>
      <c r="AH339" s="2026"/>
      <c r="AI339" s="2026"/>
      <c r="AJ339" s="2026"/>
      <c r="AK339" s="629"/>
      <c r="AL339" s="629"/>
      <c r="AM339" s="629"/>
      <c r="AN339" s="623"/>
      <c r="AQ339" s="596"/>
      <c r="AR339" s="596"/>
    </row>
    <row r="340" spans="1:46" s="576" customFormat="1" ht="30" customHeight="1">
      <c r="A340" s="629"/>
      <c r="B340" s="637"/>
      <c r="C340" s="2026"/>
      <c r="D340" s="2026"/>
      <c r="E340" s="2026"/>
      <c r="F340" s="2026"/>
      <c r="G340" s="2026"/>
      <c r="H340" s="2026"/>
      <c r="I340" s="2026"/>
      <c r="J340" s="2026"/>
      <c r="K340" s="2026"/>
      <c r="L340" s="2026"/>
      <c r="M340" s="2026"/>
      <c r="N340" s="2026"/>
      <c r="O340" s="2026"/>
      <c r="P340" s="2026"/>
      <c r="Q340" s="2026"/>
      <c r="R340" s="2026"/>
      <c r="S340" s="2026"/>
      <c r="T340" s="2026"/>
      <c r="U340" s="2026"/>
      <c r="V340" s="2026"/>
      <c r="W340" s="2026"/>
      <c r="X340" s="2026"/>
      <c r="Y340" s="2026"/>
      <c r="Z340" s="2026"/>
      <c r="AA340" s="2026"/>
      <c r="AB340" s="2026"/>
      <c r="AC340" s="2026"/>
      <c r="AD340" s="2026"/>
      <c r="AE340" s="2026"/>
      <c r="AF340" s="2026"/>
      <c r="AG340" s="2026"/>
      <c r="AH340" s="2026"/>
      <c r="AI340" s="2026"/>
      <c r="AJ340" s="2026"/>
      <c r="AK340" s="629"/>
      <c r="AL340" s="629"/>
      <c r="AM340" s="629"/>
      <c r="AN340" s="623"/>
      <c r="AR340" s="596"/>
    </row>
    <row r="341" spans="1:46" s="576" customFormat="1" ht="12.75" customHeight="1">
      <c r="A341" s="629"/>
      <c r="B341" s="637"/>
      <c r="C341" s="2026"/>
      <c r="D341" s="2026"/>
      <c r="E341" s="2026"/>
      <c r="F341" s="2026"/>
      <c r="G341" s="2026"/>
      <c r="H341" s="2026"/>
      <c r="I341" s="2026"/>
      <c r="J341" s="2026"/>
      <c r="K341" s="2026"/>
      <c r="L341" s="2026"/>
      <c r="M341" s="2026"/>
      <c r="N341" s="2026"/>
      <c r="O341" s="2026"/>
      <c r="P341" s="2026"/>
      <c r="Q341" s="2026"/>
      <c r="R341" s="2026"/>
      <c r="S341" s="2026"/>
      <c r="T341" s="2026"/>
      <c r="U341" s="2026"/>
      <c r="V341" s="2026"/>
      <c r="W341" s="2026"/>
      <c r="X341" s="2026"/>
      <c r="Y341" s="2026"/>
      <c r="Z341" s="2026"/>
      <c r="AA341" s="2026"/>
      <c r="AB341" s="2026"/>
      <c r="AC341" s="2026"/>
      <c r="AD341" s="2026"/>
      <c r="AE341" s="2026"/>
      <c r="AF341" s="2026"/>
      <c r="AG341" s="2026"/>
      <c r="AH341" s="2026"/>
      <c r="AI341" s="2026"/>
      <c r="AJ341" s="2026"/>
      <c r="AK341" s="629"/>
      <c r="AL341" s="629"/>
      <c r="AM341" s="629"/>
      <c r="AN341" s="623"/>
      <c r="AR341" s="596"/>
    </row>
    <row r="342" spans="1:46" s="576" customFormat="1" ht="12.75" customHeight="1">
      <c r="A342" s="629"/>
      <c r="B342" s="637"/>
      <c r="C342" s="2026" t="s">
        <v>1628</v>
      </c>
      <c r="D342" s="2026"/>
      <c r="E342" s="2026"/>
      <c r="F342" s="2026"/>
      <c r="G342" s="2026"/>
      <c r="H342" s="2026"/>
      <c r="I342" s="2026"/>
      <c r="J342" s="2026"/>
      <c r="K342" s="2026"/>
      <c r="L342" s="2026"/>
      <c r="M342" s="2026"/>
      <c r="N342" s="2026"/>
      <c r="O342" s="2026"/>
      <c r="P342" s="2026"/>
      <c r="Q342" s="2026"/>
      <c r="R342" s="2026"/>
      <c r="S342" s="2026"/>
      <c r="T342" s="2026"/>
      <c r="U342" s="2026"/>
      <c r="V342" s="2026"/>
      <c r="W342" s="2026"/>
      <c r="X342" s="2026"/>
      <c r="Y342" s="2026"/>
      <c r="Z342" s="2026"/>
      <c r="AA342" s="2026"/>
      <c r="AB342" s="2026"/>
      <c r="AC342" s="2026"/>
      <c r="AD342" s="2026"/>
      <c r="AE342" s="2026"/>
      <c r="AF342" s="2026"/>
      <c r="AG342" s="2026"/>
      <c r="AH342" s="2026"/>
      <c r="AI342" s="2026"/>
      <c r="AJ342" s="2026"/>
      <c r="AK342" s="629"/>
      <c r="AL342" s="629"/>
      <c r="AM342" s="629"/>
      <c r="AN342" s="623"/>
      <c r="AQ342" s="596"/>
      <c r="AR342" s="596"/>
    </row>
    <row r="343" spans="1:46" s="576" customFormat="1" ht="12.75" customHeight="1">
      <c r="A343" s="629"/>
      <c r="B343" s="637"/>
      <c r="C343" s="2026"/>
      <c r="D343" s="2026"/>
      <c r="E343" s="2026"/>
      <c r="F343" s="2026"/>
      <c r="G343" s="2026"/>
      <c r="H343" s="2026"/>
      <c r="I343" s="2026"/>
      <c r="J343" s="2026"/>
      <c r="K343" s="2026"/>
      <c r="L343" s="2026"/>
      <c r="M343" s="2026"/>
      <c r="N343" s="2026"/>
      <c r="O343" s="2026"/>
      <c r="P343" s="2026"/>
      <c r="Q343" s="2026"/>
      <c r="R343" s="2026"/>
      <c r="S343" s="2026"/>
      <c r="T343" s="2026"/>
      <c r="U343" s="2026"/>
      <c r="V343" s="2026"/>
      <c r="W343" s="2026"/>
      <c r="X343" s="2026"/>
      <c r="Y343" s="2026"/>
      <c r="Z343" s="2026"/>
      <c r="AA343" s="2026"/>
      <c r="AB343" s="2026"/>
      <c r="AC343" s="2026"/>
      <c r="AD343" s="2026"/>
      <c r="AE343" s="2026"/>
      <c r="AF343" s="2026"/>
      <c r="AG343" s="2026"/>
      <c r="AH343" s="2026"/>
      <c r="AI343" s="2026"/>
      <c r="AJ343" s="2026"/>
      <c r="AK343" s="629"/>
      <c r="AL343" s="629"/>
      <c r="AM343" s="629"/>
      <c r="AN343" s="623"/>
      <c r="AQ343" s="596"/>
      <c r="AR343" s="596"/>
    </row>
    <row r="344" spans="1:46" s="576" customFormat="1" ht="13.25" customHeight="1">
      <c r="A344" s="629"/>
      <c r="B344" s="637"/>
      <c r="C344" s="2026"/>
      <c r="D344" s="2026"/>
      <c r="E344" s="2026"/>
      <c r="F344" s="2026"/>
      <c r="G344" s="2026"/>
      <c r="H344" s="2026"/>
      <c r="I344" s="2026"/>
      <c r="J344" s="2026"/>
      <c r="K344" s="2026"/>
      <c r="L344" s="2026"/>
      <c r="M344" s="2026"/>
      <c r="N344" s="2026"/>
      <c r="O344" s="2026"/>
      <c r="P344" s="2026"/>
      <c r="Q344" s="2026"/>
      <c r="R344" s="2026"/>
      <c r="S344" s="2026"/>
      <c r="T344" s="2026"/>
      <c r="U344" s="2026"/>
      <c r="V344" s="2026"/>
      <c r="W344" s="2026"/>
      <c r="X344" s="2026"/>
      <c r="Y344" s="2026"/>
      <c r="Z344" s="2026"/>
      <c r="AA344" s="2026"/>
      <c r="AB344" s="2026"/>
      <c r="AC344" s="2026"/>
      <c r="AD344" s="2026"/>
      <c r="AE344" s="2026"/>
      <c r="AF344" s="2026"/>
      <c r="AG344" s="2026"/>
      <c r="AH344" s="2026"/>
      <c r="AI344" s="2026"/>
      <c r="AJ344" s="2026"/>
      <c r="AK344" s="629"/>
      <c r="AL344" s="629"/>
      <c r="AM344" s="629"/>
      <c r="AN344" s="623"/>
      <c r="AQ344" s="596"/>
      <c r="AR344" s="596"/>
    </row>
    <row r="345" spans="1:46" s="576" customFormat="1" ht="12.75" customHeight="1">
      <c r="A345" s="629"/>
      <c r="B345" s="637"/>
      <c r="C345" s="2026"/>
      <c r="D345" s="2026"/>
      <c r="E345" s="2026"/>
      <c r="F345" s="2026"/>
      <c r="G345" s="2026"/>
      <c r="H345" s="2026"/>
      <c r="I345" s="2026"/>
      <c r="J345" s="2026"/>
      <c r="K345" s="2026"/>
      <c r="L345" s="2026"/>
      <c r="M345" s="2026"/>
      <c r="N345" s="2026"/>
      <c r="O345" s="2026"/>
      <c r="P345" s="2026"/>
      <c r="Q345" s="2026"/>
      <c r="R345" s="2026"/>
      <c r="S345" s="2026"/>
      <c r="T345" s="2026"/>
      <c r="U345" s="2026"/>
      <c r="V345" s="2026"/>
      <c r="W345" s="2026"/>
      <c r="X345" s="2026"/>
      <c r="Y345" s="2026"/>
      <c r="Z345" s="2026"/>
      <c r="AA345" s="2026"/>
      <c r="AB345" s="2026"/>
      <c r="AC345" s="2026"/>
      <c r="AD345" s="2026"/>
      <c r="AE345" s="2026"/>
      <c r="AF345" s="2026"/>
      <c r="AG345" s="2026"/>
      <c r="AH345" s="2026"/>
      <c r="AI345" s="2026"/>
      <c r="AJ345" s="2026"/>
      <c r="AK345" s="629"/>
      <c r="AL345" s="629"/>
      <c r="AM345" s="629"/>
      <c r="AN345" s="623"/>
      <c r="AO345" s="720"/>
      <c r="AP345" s="720"/>
      <c r="AQ345" s="596"/>
    </row>
    <row r="346" spans="1:46" s="576" customFormat="1" ht="11.75" customHeight="1">
      <c r="A346" s="629"/>
      <c r="B346" s="637"/>
      <c r="C346" s="2026"/>
      <c r="D346" s="2026"/>
      <c r="E346" s="2026"/>
      <c r="F346" s="2026"/>
      <c r="G346" s="2026"/>
      <c r="H346" s="2026"/>
      <c r="I346" s="2026"/>
      <c r="J346" s="2026"/>
      <c r="K346" s="2026"/>
      <c r="L346" s="2026"/>
      <c r="M346" s="2026"/>
      <c r="N346" s="2026"/>
      <c r="O346" s="2026"/>
      <c r="P346" s="2026"/>
      <c r="Q346" s="2026"/>
      <c r="R346" s="2026"/>
      <c r="S346" s="2026"/>
      <c r="T346" s="2026"/>
      <c r="U346" s="2026"/>
      <c r="V346" s="2026"/>
      <c r="W346" s="2026"/>
      <c r="X346" s="2026"/>
      <c r="Y346" s="2026"/>
      <c r="Z346" s="2026"/>
      <c r="AA346" s="2026"/>
      <c r="AB346" s="2026"/>
      <c r="AC346" s="2026"/>
      <c r="AD346" s="2026"/>
      <c r="AE346" s="2026"/>
      <c r="AF346" s="2026"/>
      <c r="AG346" s="2026"/>
      <c r="AH346" s="2026"/>
      <c r="AI346" s="2026"/>
      <c r="AJ346" s="2026"/>
      <c r="AK346" s="629"/>
      <c r="AL346" s="629"/>
      <c r="AM346" s="629"/>
      <c r="AN346" s="623"/>
      <c r="AO346" s="721" t="s">
        <v>113</v>
      </c>
      <c r="AP346" s="722">
        <f>IF(C370="Yes",5,0)</f>
        <v>5</v>
      </c>
      <c r="AS346" s="565" t="s">
        <v>1629</v>
      </c>
    </row>
    <row r="347" spans="1:46" s="576" customFormat="1" ht="12.75" customHeight="1">
      <c r="A347" s="629"/>
      <c r="B347" s="637"/>
      <c r="C347" s="2026"/>
      <c r="D347" s="2026"/>
      <c r="E347" s="2026"/>
      <c r="F347" s="2026"/>
      <c r="G347" s="2026"/>
      <c r="H347" s="2026"/>
      <c r="I347" s="2026"/>
      <c r="J347" s="2026"/>
      <c r="K347" s="2026"/>
      <c r="L347" s="2026"/>
      <c r="M347" s="2026"/>
      <c r="N347" s="2026"/>
      <c r="O347" s="2026"/>
      <c r="P347" s="2026"/>
      <c r="Q347" s="2026"/>
      <c r="R347" s="2026"/>
      <c r="S347" s="2026"/>
      <c r="T347" s="2026"/>
      <c r="U347" s="2026"/>
      <c r="V347" s="2026"/>
      <c r="W347" s="2026"/>
      <c r="X347" s="2026"/>
      <c r="Y347" s="2026"/>
      <c r="Z347" s="2026"/>
      <c r="AA347" s="2026"/>
      <c r="AB347" s="2026"/>
      <c r="AC347" s="2026"/>
      <c r="AD347" s="2026"/>
      <c r="AE347" s="2026"/>
      <c r="AF347" s="2026"/>
      <c r="AG347" s="2026"/>
      <c r="AH347" s="2026"/>
      <c r="AI347" s="2026"/>
      <c r="AJ347" s="2026"/>
      <c r="AK347" s="629"/>
      <c r="AL347" s="629"/>
      <c r="AM347" s="629"/>
      <c r="AN347" s="623"/>
      <c r="AO347" s="721" t="s">
        <v>114</v>
      </c>
      <c r="AP347" s="722">
        <f>IF(C378="Yes",5,0)</f>
        <v>0</v>
      </c>
      <c r="AS347" s="2043">
        <f>IF(Application!D210="Non-Targeted",(SUM(AQ355+AQ364)),AS351)</f>
        <v>10</v>
      </c>
      <c r="AT347" s="2043"/>
    </row>
    <row r="348" spans="1:46" s="576" customFormat="1" ht="12.75" customHeight="1">
      <c r="A348" s="629"/>
      <c r="B348" s="637"/>
      <c r="C348" s="2026"/>
      <c r="D348" s="2026"/>
      <c r="E348" s="2026"/>
      <c r="F348" s="2026"/>
      <c r="G348" s="2026"/>
      <c r="H348" s="2026"/>
      <c r="I348" s="2026"/>
      <c r="J348" s="2026"/>
      <c r="K348" s="2026"/>
      <c r="L348" s="2026"/>
      <c r="M348" s="2026"/>
      <c r="N348" s="2026"/>
      <c r="O348" s="2026"/>
      <c r="P348" s="2026"/>
      <c r="Q348" s="2026"/>
      <c r="R348" s="2026"/>
      <c r="S348" s="2026"/>
      <c r="T348" s="2026"/>
      <c r="U348" s="2026"/>
      <c r="V348" s="2026"/>
      <c r="W348" s="2026"/>
      <c r="X348" s="2026"/>
      <c r="Y348" s="2026"/>
      <c r="Z348" s="2026"/>
      <c r="AA348" s="2026"/>
      <c r="AB348" s="2026"/>
      <c r="AC348" s="2026"/>
      <c r="AD348" s="2026"/>
      <c r="AE348" s="2026"/>
      <c r="AF348" s="2026"/>
      <c r="AG348" s="2026"/>
      <c r="AH348" s="2026"/>
      <c r="AI348" s="2026"/>
      <c r="AJ348" s="2026"/>
      <c r="AK348" s="629"/>
      <c r="AL348" s="629"/>
      <c r="AM348" s="629"/>
      <c r="AN348" s="623"/>
      <c r="AO348" s="721" t="s">
        <v>120</v>
      </c>
      <c r="AP348" s="722">
        <f>IF(C386="Yes",7,0)</f>
        <v>0</v>
      </c>
      <c r="AS348" s="565" t="s">
        <v>1630</v>
      </c>
    </row>
    <row r="349" spans="1:46" s="576" customFormat="1" ht="12.75" customHeight="1">
      <c r="A349" s="629"/>
      <c r="B349" s="637"/>
      <c r="C349" s="2026"/>
      <c r="D349" s="2026"/>
      <c r="E349" s="2026"/>
      <c r="F349" s="2026"/>
      <c r="G349" s="2026"/>
      <c r="H349" s="2026"/>
      <c r="I349" s="2026"/>
      <c r="J349" s="2026"/>
      <c r="K349" s="2026"/>
      <c r="L349" s="2026"/>
      <c r="M349" s="2026"/>
      <c r="N349" s="2026"/>
      <c r="O349" s="2026"/>
      <c r="P349" s="2026"/>
      <c r="Q349" s="2026"/>
      <c r="R349" s="2026"/>
      <c r="S349" s="2026"/>
      <c r="T349" s="2026"/>
      <c r="U349" s="2026"/>
      <c r="V349" s="2026"/>
      <c r="W349" s="2026"/>
      <c r="X349" s="2026"/>
      <c r="Y349" s="2026"/>
      <c r="Z349" s="2026"/>
      <c r="AA349" s="2026"/>
      <c r="AB349" s="2026"/>
      <c r="AC349" s="2026"/>
      <c r="AD349" s="2026"/>
      <c r="AE349" s="2026"/>
      <c r="AF349" s="2026"/>
      <c r="AG349" s="2026"/>
      <c r="AH349" s="2026"/>
      <c r="AI349" s="2026"/>
      <c r="AJ349" s="2026"/>
      <c r="AK349" s="629"/>
      <c r="AL349" s="629"/>
      <c r="AM349" s="629"/>
      <c r="AN349" s="623"/>
      <c r="AO349" s="623"/>
      <c r="AP349" s="722">
        <f>IF(C388="Yes",5,0)</f>
        <v>5</v>
      </c>
      <c r="AS349" s="2043">
        <f>IF(AND(AQ355&gt;0,AQ364&gt;0),(AQ355+AQ364)/2,0)</f>
        <v>0</v>
      </c>
      <c r="AT349" s="2043"/>
    </row>
    <row r="350" spans="1:46" s="576" customFormat="1" ht="12.75" customHeight="1">
      <c r="A350" s="629"/>
      <c r="B350" s="637"/>
      <c r="C350" s="2026"/>
      <c r="D350" s="2026"/>
      <c r="E350" s="2026"/>
      <c r="F350" s="2026"/>
      <c r="G350" s="2026"/>
      <c r="H350" s="2026"/>
      <c r="I350" s="2026"/>
      <c r="J350" s="2026"/>
      <c r="K350" s="2026"/>
      <c r="L350" s="2026"/>
      <c r="M350" s="2026"/>
      <c r="N350" s="2026"/>
      <c r="O350" s="2026"/>
      <c r="P350" s="2026"/>
      <c r="Q350" s="2026"/>
      <c r="R350" s="2026"/>
      <c r="S350" s="2026"/>
      <c r="T350" s="2026"/>
      <c r="U350" s="2026"/>
      <c r="V350" s="2026"/>
      <c r="W350" s="2026"/>
      <c r="X350" s="2026"/>
      <c r="Y350" s="2026"/>
      <c r="Z350" s="2026"/>
      <c r="AA350" s="2026"/>
      <c r="AB350" s="2026"/>
      <c r="AC350" s="2026"/>
      <c r="AD350" s="2026"/>
      <c r="AE350" s="2026"/>
      <c r="AF350" s="2026"/>
      <c r="AG350" s="2026"/>
      <c r="AH350" s="2026"/>
      <c r="AI350" s="2026"/>
      <c r="AJ350" s="2026"/>
      <c r="AK350" s="629"/>
      <c r="AL350" s="629"/>
      <c r="AM350" s="629"/>
      <c r="AN350" s="623"/>
      <c r="AO350" s="721" t="s">
        <v>591</v>
      </c>
      <c r="AP350" s="722">
        <f>IF(C396="Yes",5,0)</f>
        <v>0</v>
      </c>
      <c r="AS350" s="565" t="s">
        <v>2145</v>
      </c>
    </row>
    <row r="351" spans="1:46" s="576" customFormat="1" ht="12.75" customHeight="1">
      <c r="A351" s="629"/>
      <c r="B351" s="637"/>
      <c r="C351" s="2044" t="s">
        <v>1631</v>
      </c>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c r="AC351" s="2044"/>
      <c r="AD351" s="2044"/>
      <c r="AE351" s="2044"/>
      <c r="AF351" s="2044"/>
      <c r="AG351" s="2044"/>
      <c r="AH351" s="2044"/>
      <c r="AI351" s="2044"/>
      <c r="AJ351" s="2044"/>
      <c r="AK351" s="629"/>
      <c r="AL351" s="629"/>
      <c r="AM351" s="629"/>
      <c r="AN351" s="623"/>
      <c r="AO351" s="623"/>
      <c r="AP351" s="722">
        <f>IF(C398="Yes",3,0)</f>
        <v>0</v>
      </c>
      <c r="AS351" s="2043">
        <f>IF(AQ355=0,AQ364,AQ355)</f>
        <v>10</v>
      </c>
      <c r="AT351" s="2043"/>
    </row>
    <row r="352" spans="1:46" s="576" customFormat="1" ht="12.75" customHeight="1">
      <c r="A352" s="629"/>
      <c r="B352" s="637"/>
      <c r="C352" s="2044"/>
      <c r="D352" s="2044"/>
      <c r="E352" s="2044"/>
      <c r="F352" s="2044"/>
      <c r="G352" s="2044"/>
      <c r="H352" s="2044"/>
      <c r="I352" s="2044"/>
      <c r="J352" s="2044"/>
      <c r="K352" s="2044"/>
      <c r="L352" s="2044"/>
      <c r="M352" s="2044"/>
      <c r="N352" s="2044"/>
      <c r="O352" s="2044"/>
      <c r="P352" s="2044"/>
      <c r="Q352" s="2044"/>
      <c r="R352" s="2044"/>
      <c r="S352" s="2044"/>
      <c r="T352" s="2044"/>
      <c r="U352" s="2044"/>
      <c r="V352" s="2044"/>
      <c r="W352" s="2044"/>
      <c r="X352" s="2044"/>
      <c r="Y352" s="2044"/>
      <c r="Z352" s="2044"/>
      <c r="AA352" s="2044"/>
      <c r="AB352" s="2044"/>
      <c r="AC352" s="2044"/>
      <c r="AD352" s="2044"/>
      <c r="AE352" s="2044"/>
      <c r="AF352" s="2044"/>
      <c r="AG352" s="2044"/>
      <c r="AH352" s="2044"/>
      <c r="AI352" s="2044"/>
      <c r="AJ352" s="2044"/>
      <c r="AK352" s="629"/>
      <c r="AL352" s="629"/>
      <c r="AM352" s="629"/>
      <c r="AN352" s="623"/>
      <c r="AO352" s="721" t="s">
        <v>788</v>
      </c>
      <c r="AP352" s="722">
        <f>IF(C401="Yes",5,0)</f>
        <v>0</v>
      </c>
    </row>
    <row r="353" spans="1:81" s="576" customFormat="1" ht="12.75" customHeight="1">
      <c r="A353" s="629"/>
      <c r="B353" s="637"/>
      <c r="C353" s="2044"/>
      <c r="D353" s="2044"/>
      <c r="E353" s="2044"/>
      <c r="F353" s="2044"/>
      <c r="G353" s="2044"/>
      <c r="H353" s="2044"/>
      <c r="I353" s="2044"/>
      <c r="J353" s="2044"/>
      <c r="K353" s="2044"/>
      <c r="L353" s="2044"/>
      <c r="M353" s="2044"/>
      <c r="N353" s="2044"/>
      <c r="O353" s="2044"/>
      <c r="P353" s="2044"/>
      <c r="Q353" s="2044"/>
      <c r="R353" s="2044"/>
      <c r="S353" s="2044"/>
      <c r="T353" s="2044"/>
      <c r="U353" s="2044"/>
      <c r="V353" s="2044"/>
      <c r="W353" s="2044"/>
      <c r="X353" s="2044"/>
      <c r="Y353" s="2044"/>
      <c r="Z353" s="2044"/>
      <c r="AA353" s="2044"/>
      <c r="AB353" s="2044"/>
      <c r="AC353" s="2044"/>
      <c r="AD353" s="2044"/>
      <c r="AE353" s="2044"/>
      <c r="AF353" s="2044"/>
      <c r="AG353" s="2044"/>
      <c r="AH353" s="2044"/>
      <c r="AI353" s="2044"/>
      <c r="AJ353" s="2044"/>
      <c r="AK353" s="629"/>
      <c r="AL353" s="629"/>
      <c r="AM353" s="629"/>
      <c r="AN353" s="623"/>
      <c r="AO353" s="721" t="s">
        <v>594</v>
      </c>
      <c r="AP353" s="722">
        <f>IF(C410="Yes",5,0)</f>
        <v>0</v>
      </c>
    </row>
    <row r="354" spans="1:81" s="576" customFormat="1" ht="11.75" customHeight="1">
      <c r="A354" s="629"/>
      <c r="B354" s="637"/>
      <c r="C354" s="2044"/>
      <c r="D354" s="2044"/>
      <c r="E354" s="2044"/>
      <c r="F354" s="2044"/>
      <c r="G354" s="2044"/>
      <c r="H354" s="2044"/>
      <c r="I354" s="2044"/>
      <c r="J354" s="2044"/>
      <c r="K354" s="2044"/>
      <c r="L354" s="2044"/>
      <c r="M354" s="2044"/>
      <c r="N354" s="2044"/>
      <c r="O354" s="2044"/>
      <c r="P354" s="2044"/>
      <c r="Q354" s="2044"/>
      <c r="R354" s="2044"/>
      <c r="S354" s="2044"/>
      <c r="T354" s="2044"/>
      <c r="U354" s="2044"/>
      <c r="V354" s="2044"/>
      <c r="W354" s="2044"/>
      <c r="X354" s="2044"/>
      <c r="Y354" s="2044"/>
      <c r="Z354" s="2044"/>
      <c r="AA354" s="2044"/>
      <c r="AB354" s="2044"/>
      <c r="AC354" s="2044"/>
      <c r="AD354" s="2044"/>
      <c r="AE354" s="2044"/>
      <c r="AF354" s="2044"/>
      <c r="AG354" s="2044"/>
      <c r="AH354" s="2044"/>
      <c r="AI354" s="2044"/>
      <c r="AJ354" s="2044"/>
      <c r="AK354" s="629"/>
      <c r="AL354" s="629"/>
      <c r="AM354" s="629"/>
      <c r="AN354" s="623"/>
      <c r="AO354" s="723"/>
      <c r="AP354" s="724">
        <f>IF(C412="Yes",3,0)</f>
        <v>0</v>
      </c>
    </row>
    <row r="355" spans="1:81" s="576" customFormat="1" ht="12.5" customHeight="1">
      <c r="A355" s="629"/>
      <c r="B355" s="637"/>
      <c r="C355" s="2044"/>
      <c r="D355" s="2044"/>
      <c r="E355" s="2044"/>
      <c r="F355" s="2044"/>
      <c r="G355" s="2044"/>
      <c r="H355" s="2044"/>
      <c r="I355" s="2044"/>
      <c r="J355" s="2044"/>
      <c r="K355" s="2044"/>
      <c r="L355" s="2044"/>
      <c r="M355" s="2044"/>
      <c r="N355" s="2044"/>
      <c r="O355" s="2044"/>
      <c r="P355" s="2044"/>
      <c r="Q355" s="2044"/>
      <c r="R355" s="2044"/>
      <c r="S355" s="2044"/>
      <c r="T355" s="2044"/>
      <c r="U355" s="2044"/>
      <c r="V355" s="2044"/>
      <c r="W355" s="2044"/>
      <c r="X355" s="2044"/>
      <c r="Y355" s="2044"/>
      <c r="Z355" s="2044"/>
      <c r="AA355" s="2044"/>
      <c r="AB355" s="2044"/>
      <c r="AC355" s="2044"/>
      <c r="AD355" s="2044"/>
      <c r="AE355" s="2044"/>
      <c r="AF355" s="2044"/>
      <c r="AG355" s="2044"/>
      <c r="AH355" s="2044"/>
      <c r="AI355" s="2044"/>
      <c r="AJ355" s="2044"/>
      <c r="AK355" s="629"/>
      <c r="AL355" s="629"/>
      <c r="AM355" s="629"/>
      <c r="AN355" s="623"/>
      <c r="AO355" s="725" t="s">
        <v>229</v>
      </c>
      <c r="AP355" s="726">
        <f>SUM(AP346:AP354)</f>
        <v>10</v>
      </c>
      <c r="AQ355" s="2045">
        <f>IF(AP355&gt;0,AP355,0)</f>
        <v>10</v>
      </c>
      <c r="AR355" s="2045"/>
    </row>
    <row r="356" spans="1:81" s="576" customFormat="1" ht="12.75" customHeight="1">
      <c r="A356" s="629"/>
      <c r="B356" s="637"/>
      <c r="C356" s="2044"/>
      <c r="D356" s="2044"/>
      <c r="E356" s="2044"/>
      <c r="F356" s="2044"/>
      <c r="G356" s="2044"/>
      <c r="H356" s="2044"/>
      <c r="I356" s="2044"/>
      <c r="J356" s="2044"/>
      <c r="K356" s="2044"/>
      <c r="L356" s="2044"/>
      <c r="M356" s="2044"/>
      <c r="N356" s="2044"/>
      <c r="O356" s="2044"/>
      <c r="P356" s="2044"/>
      <c r="Q356" s="2044"/>
      <c r="R356" s="2044"/>
      <c r="S356" s="2044"/>
      <c r="T356" s="2044"/>
      <c r="U356" s="2044"/>
      <c r="V356" s="2044"/>
      <c r="W356" s="2044"/>
      <c r="X356" s="2044"/>
      <c r="Y356" s="2044"/>
      <c r="Z356" s="2044"/>
      <c r="AA356" s="2044"/>
      <c r="AB356" s="2044"/>
      <c r="AC356" s="2044"/>
      <c r="AD356" s="2044"/>
      <c r="AE356" s="2044"/>
      <c r="AF356" s="2044"/>
      <c r="AG356" s="2044"/>
      <c r="AH356" s="2044"/>
      <c r="AI356" s="2044"/>
      <c r="AJ356" s="2044"/>
      <c r="AK356" s="629"/>
      <c r="AL356" s="629"/>
      <c r="AM356" s="629"/>
      <c r="AN356" s="623"/>
      <c r="AP356" s="596"/>
    </row>
    <row r="357" spans="1:81" s="576" customFormat="1" ht="12.75" customHeight="1">
      <c r="A357" s="629"/>
      <c r="B357" s="637"/>
      <c r="C357" s="718"/>
      <c r="D357" s="718"/>
      <c r="E357" s="718"/>
      <c r="F357" s="718"/>
      <c r="G357" s="718"/>
      <c r="H357" s="718"/>
      <c r="I357" s="718"/>
      <c r="J357" s="718"/>
      <c r="K357" s="718"/>
      <c r="L357" s="718"/>
      <c r="M357" s="718"/>
      <c r="N357" s="718"/>
      <c r="O357" s="718"/>
      <c r="P357" s="718"/>
      <c r="Q357" s="718"/>
      <c r="R357" s="718"/>
      <c r="S357" s="718"/>
      <c r="T357" s="718"/>
      <c r="U357" s="718"/>
      <c r="V357" s="718"/>
      <c r="W357" s="718"/>
      <c r="X357" s="718"/>
      <c r="Y357" s="718"/>
      <c r="Z357" s="718"/>
      <c r="AA357" s="718"/>
      <c r="AB357" s="718"/>
      <c r="AC357" s="718"/>
      <c r="AD357" s="718"/>
      <c r="AE357" s="718"/>
      <c r="AF357" s="718"/>
      <c r="AG357" s="718"/>
      <c r="AH357" s="718"/>
      <c r="AI357" s="718"/>
      <c r="AJ357" s="718"/>
      <c r="AK357" s="629"/>
      <c r="AL357" s="629"/>
      <c r="AM357" s="629"/>
      <c r="AN357" s="623"/>
      <c r="AO357" s="721" t="s">
        <v>465</v>
      </c>
      <c r="AP357" s="722">
        <f>IF(C419="Yes",5,0)</f>
        <v>0</v>
      </c>
    </row>
    <row r="358" spans="1:81" s="576" customFormat="1" ht="12.75" customHeight="1">
      <c r="A358" s="629"/>
      <c r="B358" s="637"/>
      <c r="C358" s="2026" t="s">
        <v>1632</v>
      </c>
      <c r="D358" s="2026"/>
      <c r="E358" s="2026"/>
      <c r="F358" s="2026"/>
      <c r="G358" s="2026"/>
      <c r="H358" s="2026"/>
      <c r="I358" s="2026"/>
      <c r="J358" s="2026"/>
      <c r="K358" s="2026"/>
      <c r="L358" s="2026"/>
      <c r="M358" s="2026"/>
      <c r="N358" s="2026"/>
      <c r="O358" s="2026"/>
      <c r="P358" s="2026"/>
      <c r="Q358" s="2026"/>
      <c r="R358" s="2026"/>
      <c r="S358" s="2026"/>
      <c r="T358" s="2026"/>
      <c r="U358" s="2026"/>
      <c r="V358" s="2026"/>
      <c r="W358" s="2026"/>
      <c r="X358" s="2026"/>
      <c r="Y358" s="2026"/>
      <c r="Z358" s="2026"/>
      <c r="AA358" s="2026"/>
      <c r="AB358" s="2026"/>
      <c r="AC358" s="2026"/>
      <c r="AD358" s="2026"/>
      <c r="AE358" s="2026"/>
      <c r="AF358" s="2026"/>
      <c r="AG358" s="2026"/>
      <c r="AH358" s="2026"/>
      <c r="AI358" s="2026"/>
      <c r="AJ358" s="2026"/>
      <c r="AK358" s="629"/>
      <c r="AL358" s="629"/>
      <c r="AM358" s="629"/>
      <c r="AN358" s="623"/>
      <c r="AO358" s="721" t="s">
        <v>466</v>
      </c>
      <c r="AP358" s="722">
        <f>IF(C431="Yes",5,0)</f>
        <v>0</v>
      </c>
    </row>
    <row r="359" spans="1:81" s="576" customFormat="1" ht="12.75" customHeight="1">
      <c r="A359" s="629"/>
      <c r="B359" s="637"/>
      <c r="C359" s="2026"/>
      <c r="D359" s="2026"/>
      <c r="E359" s="2026"/>
      <c r="F359" s="2026"/>
      <c r="G359" s="2026"/>
      <c r="H359" s="2026"/>
      <c r="I359" s="2026"/>
      <c r="J359" s="2026"/>
      <c r="K359" s="2026"/>
      <c r="L359" s="2026"/>
      <c r="M359" s="2026"/>
      <c r="N359" s="2026"/>
      <c r="O359" s="2026"/>
      <c r="P359" s="2026"/>
      <c r="Q359" s="2026"/>
      <c r="R359" s="2026"/>
      <c r="S359" s="2026"/>
      <c r="T359" s="2026"/>
      <c r="U359" s="2026"/>
      <c r="V359" s="2026"/>
      <c r="W359" s="2026"/>
      <c r="X359" s="2026"/>
      <c r="Y359" s="2026"/>
      <c r="Z359" s="2026"/>
      <c r="AA359" s="2026"/>
      <c r="AB359" s="2026"/>
      <c r="AC359" s="2026"/>
      <c r="AD359" s="2026"/>
      <c r="AE359" s="2026"/>
      <c r="AF359" s="2026"/>
      <c r="AG359" s="2026"/>
      <c r="AH359" s="2026"/>
      <c r="AI359" s="2026"/>
      <c r="AJ359" s="2026"/>
      <c r="AK359" s="629"/>
      <c r="AL359" s="629"/>
      <c r="AM359" s="629"/>
      <c r="AN359" s="623"/>
      <c r="AO359" s="721" t="s">
        <v>471</v>
      </c>
      <c r="AP359" s="722">
        <f>IF(C438="Yes",5,0)</f>
        <v>0</v>
      </c>
    </row>
    <row r="360" spans="1:81" s="576" customFormat="1" ht="68" customHeight="1">
      <c r="A360" s="629"/>
      <c r="B360" s="637"/>
      <c r="C360" s="2026"/>
      <c r="D360" s="2026"/>
      <c r="E360" s="2026"/>
      <c r="F360" s="2026"/>
      <c r="G360" s="2026"/>
      <c r="H360" s="2026"/>
      <c r="I360" s="2026"/>
      <c r="J360" s="2026"/>
      <c r="K360" s="2026"/>
      <c r="L360" s="2026"/>
      <c r="M360" s="2026"/>
      <c r="N360" s="2026"/>
      <c r="O360" s="2026"/>
      <c r="P360" s="2026"/>
      <c r="Q360" s="2026"/>
      <c r="R360" s="2026"/>
      <c r="S360" s="2026"/>
      <c r="T360" s="2026"/>
      <c r="U360" s="2026"/>
      <c r="V360" s="2026"/>
      <c r="W360" s="2026"/>
      <c r="X360" s="2026"/>
      <c r="Y360" s="2026"/>
      <c r="Z360" s="2026"/>
      <c r="AA360" s="2026"/>
      <c r="AB360" s="2026"/>
      <c r="AC360" s="2026"/>
      <c r="AD360" s="2026"/>
      <c r="AE360" s="2026"/>
      <c r="AF360" s="2026"/>
      <c r="AG360" s="2026"/>
      <c r="AH360" s="2026"/>
      <c r="AI360" s="2026"/>
      <c r="AJ360" s="2026"/>
      <c r="AK360" s="629"/>
      <c r="AL360" s="629"/>
      <c r="AM360" s="629"/>
      <c r="AN360" s="623"/>
      <c r="AO360" s="721" t="s">
        <v>656</v>
      </c>
      <c r="AP360" s="727">
        <f>IF(C442="Yes",5,0)</f>
        <v>0</v>
      </c>
    </row>
    <row r="361" spans="1:81" s="576" customFormat="1" ht="12.5" customHeight="1">
      <c r="A361" s="629"/>
      <c r="B361" s="637"/>
      <c r="C361" s="576" t="s">
        <v>1633</v>
      </c>
      <c r="AF361" s="629"/>
      <c r="AG361" s="629"/>
      <c r="AH361" s="629"/>
      <c r="AI361" s="629"/>
      <c r="AJ361" s="629"/>
      <c r="AK361" s="629"/>
      <c r="AL361" s="629"/>
      <c r="AM361" s="629"/>
      <c r="AN361" s="623"/>
      <c r="AO361" s="721" t="s">
        <v>364</v>
      </c>
      <c r="AP361" s="722">
        <f>IF(C446="Yes",5,0)</f>
        <v>0</v>
      </c>
    </row>
    <row r="362" spans="1:81" s="576" customFormat="1" ht="12.75" customHeight="1">
      <c r="A362" s="629"/>
      <c r="B362" s="637"/>
      <c r="C362" s="728" t="s">
        <v>1634</v>
      </c>
      <c r="D362" s="729"/>
      <c r="E362" s="729"/>
      <c r="F362" s="729"/>
      <c r="G362" s="729"/>
      <c r="H362" s="729"/>
      <c r="I362" s="729"/>
      <c r="J362" s="729"/>
      <c r="K362" s="729"/>
      <c r="L362" s="729"/>
      <c r="M362" s="693"/>
      <c r="N362" s="693"/>
      <c r="O362" s="730"/>
      <c r="P362" s="729"/>
      <c r="Q362" s="729"/>
      <c r="R362" s="693"/>
      <c r="S362" s="693"/>
      <c r="T362" s="729"/>
      <c r="U362" s="2131">
        <f>Application!CS649-U363</f>
        <v>284</v>
      </c>
      <c r="V362" s="2131"/>
      <c r="W362" s="2131"/>
      <c r="X362" s="729"/>
      <c r="Y362" s="729"/>
      <c r="Z362" s="729"/>
      <c r="AA362" s="731"/>
      <c r="AB362" s="732"/>
      <c r="AC362" s="732"/>
      <c r="AD362" s="732"/>
      <c r="AE362" s="629"/>
      <c r="AF362" s="629"/>
      <c r="AG362" s="629"/>
      <c r="AH362" s="629"/>
      <c r="AI362" s="629"/>
      <c r="AJ362" s="629"/>
      <c r="AK362" s="629"/>
      <c r="AL362" s="629"/>
      <c r="AM362" s="629"/>
      <c r="AN362" s="623"/>
      <c r="AO362" s="721" t="s">
        <v>365</v>
      </c>
      <c r="AP362" s="722">
        <f>IF(C455="Yes",5,0)</f>
        <v>0</v>
      </c>
    </row>
    <row r="363" spans="1:81" s="576" customFormat="1" ht="12.75" customHeight="1">
      <c r="A363" s="629"/>
      <c r="B363" s="637"/>
      <c r="C363" s="733" t="s">
        <v>1635</v>
      </c>
      <c r="D363" s="720"/>
      <c r="E363" s="720"/>
      <c r="F363" s="720"/>
      <c r="G363" s="720"/>
      <c r="H363" s="720"/>
      <c r="I363" s="720"/>
      <c r="J363" s="720"/>
      <c r="K363" s="720"/>
      <c r="L363" s="720"/>
      <c r="M363" s="720"/>
      <c r="N363" s="720"/>
      <c r="O363" s="720"/>
      <c r="P363" s="720"/>
      <c r="Q363" s="720"/>
      <c r="R363" s="720"/>
      <c r="S363" s="720"/>
      <c r="T363" s="720"/>
      <c r="U363" s="2132">
        <f>Application!AG742</f>
        <v>0</v>
      </c>
      <c r="V363" s="2132"/>
      <c r="W363" s="2132"/>
      <c r="X363" s="720"/>
      <c r="Y363" s="720"/>
      <c r="Z363" s="720"/>
      <c r="AA363" s="734"/>
      <c r="AC363" s="735"/>
      <c r="AD363" s="735"/>
      <c r="AE363" s="629"/>
      <c r="AF363" s="629"/>
      <c r="AG363" s="629"/>
      <c r="AH363" s="629"/>
      <c r="AI363" s="629"/>
      <c r="AJ363" s="629"/>
      <c r="AK363" s="629"/>
      <c r="AL363" s="629"/>
      <c r="AM363" s="629"/>
      <c r="AN363" s="623"/>
      <c r="AO363" s="723"/>
      <c r="AP363" s="724"/>
    </row>
    <row r="364" spans="1:81" s="576" customFormat="1" ht="12.75" customHeight="1">
      <c r="A364" s="629"/>
      <c r="B364" s="637"/>
      <c r="C364" s="622"/>
      <c r="U364" s="814"/>
      <c r="V364" s="814"/>
      <c r="W364" s="814"/>
      <c r="AC364" s="735"/>
      <c r="AD364" s="735"/>
      <c r="AE364" s="629"/>
      <c r="AF364" s="629"/>
      <c r="AG364" s="629"/>
      <c r="AH364" s="629"/>
      <c r="AI364" s="629"/>
      <c r="AJ364" s="629"/>
      <c r="AK364" s="629"/>
      <c r="AL364" s="629"/>
      <c r="AM364" s="629"/>
      <c r="AN364" s="623"/>
      <c r="AO364" s="736" t="s">
        <v>229</v>
      </c>
      <c r="AP364" s="737">
        <f>SUM(AP357:AP362)</f>
        <v>0</v>
      </c>
      <c r="AQ364" s="2045">
        <f>IF(AP364&gt;0,AP364,0)</f>
        <v>0</v>
      </c>
      <c r="AR364" s="2045"/>
    </row>
    <row r="365" spans="1:81" s="576" customFormat="1" ht="12.75" customHeight="1">
      <c r="A365" s="629"/>
      <c r="B365" s="14"/>
      <c r="C365" s="738" t="s">
        <v>1636</v>
      </c>
      <c r="D365" s="629"/>
      <c r="E365" s="629"/>
      <c r="F365" s="629"/>
      <c r="G365" s="629"/>
      <c r="H365" s="629"/>
      <c r="I365" s="629"/>
      <c r="J365" s="629"/>
      <c r="K365" s="629"/>
      <c r="L365" s="629"/>
      <c r="M365" s="629"/>
      <c r="N365" s="629"/>
      <c r="O365" s="629"/>
      <c r="P365" s="629"/>
      <c r="Q365" s="629"/>
      <c r="R365" s="629"/>
      <c r="S365" s="629"/>
      <c r="T365" s="629"/>
      <c r="U365" s="629"/>
      <c r="V365" s="629"/>
      <c r="W365" s="629"/>
      <c r="X365" s="629"/>
      <c r="Y365" s="629"/>
      <c r="Z365" s="629"/>
      <c r="AA365" s="629"/>
      <c r="AB365" s="629"/>
      <c r="AC365" s="629"/>
      <c r="AD365" s="629"/>
      <c r="AE365" s="629"/>
      <c r="AF365" s="629"/>
      <c r="AG365" s="629"/>
      <c r="AH365" s="629"/>
      <c r="AI365" s="629"/>
      <c r="AJ365" s="629"/>
      <c r="AK365" s="629"/>
      <c r="AL365" s="629"/>
      <c r="AM365" s="629"/>
      <c r="AN365" s="623"/>
      <c r="BS365" s="30"/>
      <c r="BT365" s="30"/>
      <c r="BU365" s="14"/>
      <c r="BV365" s="14"/>
      <c r="BW365" s="14"/>
    </row>
    <row r="366" spans="1:81" s="576" customFormat="1" ht="12.75" customHeight="1">
      <c r="A366" s="562"/>
      <c r="B366" s="14"/>
      <c r="C366" s="739"/>
      <c r="D366" s="740"/>
      <c r="E366" s="741" t="s">
        <v>1488</v>
      </c>
      <c r="F366" s="2030" t="s">
        <v>1637</v>
      </c>
      <c r="G366" s="2030"/>
      <c r="H366" s="2030"/>
      <c r="I366" s="2030"/>
      <c r="J366" s="2030"/>
      <c r="K366" s="2030"/>
      <c r="L366" s="2030"/>
      <c r="M366" s="2030"/>
      <c r="N366" s="2030"/>
      <c r="O366" s="2030"/>
      <c r="P366" s="2030"/>
      <c r="Q366" s="2030"/>
      <c r="R366" s="2030"/>
      <c r="S366" s="2030"/>
      <c r="T366" s="2030"/>
      <c r="U366" s="2030"/>
      <c r="V366" s="2030"/>
      <c r="W366" s="2030"/>
      <c r="X366" s="2030"/>
      <c r="Y366" s="2030"/>
      <c r="Z366" s="2030"/>
      <c r="AA366" s="2030"/>
      <c r="AB366" s="2030"/>
      <c r="AC366" s="2030"/>
      <c r="AD366" s="2030"/>
      <c r="AE366" s="2030"/>
      <c r="AF366" s="2030"/>
      <c r="AG366" s="742"/>
      <c r="AH366" s="742"/>
      <c r="AI366" s="742"/>
      <c r="AJ366" s="742"/>
      <c r="AK366" s="742"/>
      <c r="AL366" s="743"/>
      <c r="AM366" s="596"/>
      <c r="AN366" s="623"/>
      <c r="AP366" s="596"/>
      <c r="BS366" s="30"/>
      <c r="BT366" s="30"/>
      <c r="BU366" s="14"/>
      <c r="BV366" s="14"/>
      <c r="BW366" s="14"/>
      <c r="BX366" s="14"/>
      <c r="BY366" s="14"/>
      <c r="BZ366" s="14"/>
      <c r="CA366" s="14"/>
      <c r="CB366" s="14"/>
      <c r="CC366" s="14"/>
    </row>
    <row r="367" spans="1:81" s="576" customFormat="1" ht="12.75" customHeight="1">
      <c r="A367" s="562"/>
      <c r="B367" s="14"/>
      <c r="C367" s="744"/>
      <c r="D367" s="562"/>
      <c r="E367" s="745"/>
      <c r="F367" s="2031"/>
      <c r="G367" s="2031"/>
      <c r="H367" s="2031"/>
      <c r="I367" s="2031"/>
      <c r="J367" s="2031"/>
      <c r="K367" s="2031"/>
      <c r="L367" s="2031"/>
      <c r="M367" s="2031"/>
      <c r="N367" s="2031"/>
      <c r="O367" s="2031"/>
      <c r="P367" s="2031"/>
      <c r="Q367" s="2031"/>
      <c r="R367" s="2031"/>
      <c r="S367" s="2031"/>
      <c r="T367" s="2031"/>
      <c r="U367" s="2031"/>
      <c r="V367" s="2031"/>
      <c r="W367" s="2031"/>
      <c r="X367" s="2031"/>
      <c r="Y367" s="2031"/>
      <c r="Z367" s="2031"/>
      <c r="AA367" s="2031"/>
      <c r="AB367" s="2031"/>
      <c r="AC367" s="2031"/>
      <c r="AD367" s="2031"/>
      <c r="AE367" s="2031"/>
      <c r="AF367" s="2031"/>
      <c r="AG367" s="565"/>
      <c r="AH367" s="565"/>
      <c r="AI367" s="565"/>
      <c r="AJ367" s="565"/>
      <c r="AK367" s="565"/>
      <c r="AL367" s="746"/>
      <c r="AM367" s="596"/>
      <c r="AN367" s="623"/>
      <c r="AP367" s="596"/>
      <c r="BS367" s="30"/>
      <c r="BT367" s="30"/>
      <c r="BU367" s="14"/>
      <c r="BV367" s="14"/>
      <c r="BW367" s="14"/>
      <c r="BX367" s="14"/>
      <c r="BY367" s="14"/>
      <c r="BZ367" s="14"/>
      <c r="CA367" s="14"/>
      <c r="CB367" s="14"/>
      <c r="CC367" s="14"/>
    </row>
    <row r="368" spans="1:81" s="576" customFormat="1" ht="12.75" customHeight="1">
      <c r="A368" s="562"/>
      <c r="B368" s="14"/>
      <c r="C368" s="744"/>
      <c r="D368" s="562"/>
      <c r="E368" s="745"/>
      <c r="F368" s="2031"/>
      <c r="G368" s="2031"/>
      <c r="H368" s="2031"/>
      <c r="I368" s="2031"/>
      <c r="J368" s="2031"/>
      <c r="K368" s="2031"/>
      <c r="L368" s="2031"/>
      <c r="M368" s="2031"/>
      <c r="N368" s="2031"/>
      <c r="O368" s="2031"/>
      <c r="P368" s="2031"/>
      <c r="Q368" s="2031"/>
      <c r="R368" s="2031"/>
      <c r="S368" s="2031"/>
      <c r="T368" s="2031"/>
      <c r="U368" s="2031"/>
      <c r="V368" s="2031"/>
      <c r="W368" s="2031"/>
      <c r="X368" s="2031"/>
      <c r="Y368" s="2031"/>
      <c r="Z368" s="2031"/>
      <c r="AA368" s="2031"/>
      <c r="AB368" s="2031"/>
      <c r="AC368" s="2031"/>
      <c r="AD368" s="2031"/>
      <c r="AE368" s="2031"/>
      <c r="AF368" s="2031"/>
      <c r="AG368" s="565"/>
      <c r="AH368" s="565"/>
      <c r="AI368" s="565"/>
      <c r="AJ368" s="565"/>
      <c r="AK368" s="565"/>
      <c r="AL368" s="746"/>
      <c r="AM368" s="596"/>
      <c r="AN368" s="623"/>
      <c r="BS368" s="30"/>
      <c r="BT368" s="30"/>
      <c r="BU368" s="14"/>
      <c r="BV368" s="14"/>
      <c r="BW368" s="14"/>
      <c r="BX368" s="14"/>
      <c r="BY368" s="14"/>
      <c r="BZ368" s="14"/>
      <c r="CA368" s="14"/>
      <c r="CB368" s="14"/>
      <c r="CC368" s="14"/>
    </row>
    <row r="369" spans="1:81" s="576" customFormat="1" ht="12.75" customHeight="1">
      <c r="A369" s="562"/>
      <c r="B369" s="14"/>
      <c r="C369" s="744"/>
      <c r="D369" s="562"/>
      <c r="E369" s="745"/>
      <c r="F369" s="2031"/>
      <c r="G369" s="2031"/>
      <c r="H369" s="2031"/>
      <c r="I369" s="2031"/>
      <c r="J369" s="2031"/>
      <c r="K369" s="2031"/>
      <c r="L369" s="2031"/>
      <c r="M369" s="2031"/>
      <c r="N369" s="2031"/>
      <c r="O369" s="2031"/>
      <c r="P369" s="2031"/>
      <c r="Q369" s="2031"/>
      <c r="R369" s="2031"/>
      <c r="S369" s="2031"/>
      <c r="T369" s="2031"/>
      <c r="U369" s="2031"/>
      <c r="V369" s="2031"/>
      <c r="W369" s="2031"/>
      <c r="X369" s="2031"/>
      <c r="Y369" s="2031"/>
      <c r="Z369" s="2031"/>
      <c r="AA369" s="2031"/>
      <c r="AB369" s="2031"/>
      <c r="AC369" s="2031"/>
      <c r="AD369" s="2031"/>
      <c r="AE369" s="2031"/>
      <c r="AF369" s="2031"/>
      <c r="AG369" s="565"/>
      <c r="AH369" s="565"/>
      <c r="AI369" s="565"/>
      <c r="AJ369" s="565"/>
      <c r="AK369" s="565"/>
      <c r="AL369" s="746"/>
      <c r="AM369" s="596"/>
      <c r="AN369" s="623"/>
      <c r="BS369" s="30"/>
      <c r="BT369" s="30"/>
      <c r="BU369" s="14"/>
      <c r="BV369" s="14"/>
      <c r="BW369" s="14"/>
      <c r="BX369" s="14"/>
      <c r="BY369" s="14"/>
      <c r="BZ369" s="14"/>
      <c r="CA369" s="14"/>
      <c r="CB369" s="14"/>
      <c r="CC369" s="14"/>
    </row>
    <row r="370" spans="1:81" s="576" customFormat="1" ht="12.75" customHeight="1">
      <c r="A370" s="562"/>
      <c r="B370" s="14"/>
      <c r="C370" s="2027" t="s">
        <v>555</v>
      </c>
      <c r="D370" s="1984"/>
      <c r="E370" s="745"/>
      <c r="F370" s="747" t="s">
        <v>1638</v>
      </c>
      <c r="G370" s="629"/>
      <c r="H370" s="629"/>
      <c r="I370" s="629"/>
      <c r="J370" s="629"/>
      <c r="K370" s="629"/>
      <c r="L370" s="629"/>
      <c r="M370" s="629"/>
      <c r="N370" s="629"/>
      <c r="O370" s="629"/>
      <c r="P370" s="629"/>
      <c r="Q370" s="629"/>
      <c r="R370" s="629"/>
      <c r="S370" s="629"/>
      <c r="T370" s="629"/>
      <c r="U370" s="629"/>
      <c r="V370" s="629"/>
      <c r="W370" s="629"/>
      <c r="X370" s="629"/>
      <c r="Y370" s="629"/>
      <c r="Z370" s="629"/>
      <c r="AA370" s="629"/>
      <c r="AB370" s="629"/>
      <c r="AC370" s="629"/>
      <c r="AD370" s="629"/>
      <c r="AF370" s="2028" t="s">
        <v>1639</v>
      </c>
      <c r="AG370" s="2028"/>
      <c r="AH370" s="2028"/>
      <c r="AI370" s="2028"/>
      <c r="AJ370" s="2028"/>
      <c r="AK370" s="2028"/>
      <c r="AL370" s="2029"/>
      <c r="AM370" s="748"/>
      <c r="BS370" s="30"/>
      <c r="BT370" s="30"/>
      <c r="BU370" s="14"/>
      <c r="BV370" s="14"/>
      <c r="BW370" s="14"/>
      <c r="BX370" s="14"/>
      <c r="BY370" s="14"/>
      <c r="BZ370" s="14"/>
      <c r="CA370" s="14"/>
      <c r="CB370" s="14"/>
      <c r="CC370" s="14"/>
    </row>
    <row r="371" spans="1:81" s="576" customFormat="1" ht="12.75" customHeight="1">
      <c r="A371" s="562"/>
      <c r="B371" s="14"/>
      <c r="C371" s="783"/>
      <c r="D371" s="749"/>
      <c r="E371" s="750"/>
      <c r="F371" s="751"/>
      <c r="G371" s="752"/>
      <c r="H371" s="752"/>
      <c r="I371" s="752"/>
      <c r="J371" s="752"/>
      <c r="K371" s="752"/>
      <c r="L371" s="752"/>
      <c r="M371" s="752"/>
      <c r="N371" s="752"/>
      <c r="O371" s="752"/>
      <c r="P371" s="752"/>
      <c r="Q371" s="752"/>
      <c r="R371" s="752"/>
      <c r="S371" s="752"/>
      <c r="T371" s="752"/>
      <c r="U371" s="752"/>
      <c r="V371" s="752"/>
      <c r="W371" s="752"/>
      <c r="X371" s="752"/>
      <c r="Y371" s="752"/>
      <c r="Z371" s="752"/>
      <c r="AA371" s="752"/>
      <c r="AB371" s="752"/>
      <c r="AC371" s="752"/>
      <c r="AD371" s="752"/>
      <c r="AE371" s="753"/>
      <c r="AF371" s="753"/>
      <c r="AG371" s="753"/>
      <c r="AH371" s="753"/>
      <c r="AI371" s="753"/>
      <c r="AJ371" s="753"/>
      <c r="AK371" s="753"/>
      <c r="AL371" s="784"/>
      <c r="AM371" s="755"/>
      <c r="AN371" s="623"/>
      <c r="CC371" s="14"/>
    </row>
    <row r="372" spans="1:81" s="576" customFormat="1" ht="12.75" customHeight="1">
      <c r="A372" s="562"/>
      <c r="B372" s="14"/>
      <c r="C372" s="756"/>
      <c r="D372" s="756"/>
      <c r="E372" s="745"/>
      <c r="F372" s="702"/>
      <c r="G372" s="702"/>
      <c r="H372" s="702"/>
      <c r="I372" s="702"/>
      <c r="J372" s="702"/>
      <c r="K372" s="702"/>
      <c r="L372" s="702"/>
      <c r="M372" s="702"/>
      <c r="N372" s="702"/>
      <c r="O372" s="702"/>
      <c r="P372" s="702"/>
      <c r="Q372" s="702"/>
      <c r="R372" s="702"/>
      <c r="S372" s="702"/>
      <c r="T372" s="702"/>
      <c r="U372" s="702"/>
      <c r="V372" s="702"/>
      <c r="W372" s="702"/>
      <c r="X372" s="702"/>
      <c r="Y372" s="702"/>
      <c r="Z372" s="702"/>
      <c r="AA372" s="702"/>
      <c r="AB372" s="702"/>
      <c r="AC372" s="702"/>
      <c r="AD372" s="702"/>
      <c r="AE372" s="617"/>
      <c r="AF372" s="617"/>
      <c r="AG372" s="617"/>
      <c r="AH372" s="617"/>
      <c r="AI372" s="617"/>
      <c r="AJ372" s="617"/>
      <c r="AK372" s="617"/>
      <c r="AL372" s="617"/>
      <c r="AM372" s="596"/>
      <c r="AN372" s="623"/>
      <c r="BS372" s="30"/>
      <c r="BT372" s="30"/>
      <c r="BU372" s="14"/>
      <c r="BV372" s="14"/>
      <c r="BW372" s="14"/>
      <c r="BX372" s="14"/>
      <c r="BY372" s="14"/>
      <c r="BZ372" s="14"/>
      <c r="CA372" s="14"/>
      <c r="CB372" s="14"/>
      <c r="CC372" s="14"/>
    </row>
    <row r="373" spans="1:81" s="576" customFormat="1" ht="12.75" customHeight="1">
      <c r="A373" s="562"/>
      <c r="B373" s="14"/>
      <c r="C373" s="739"/>
      <c r="D373" s="740"/>
      <c r="E373" s="741" t="s">
        <v>1490</v>
      </c>
      <c r="F373" s="2030" t="s">
        <v>1640</v>
      </c>
      <c r="G373" s="2030"/>
      <c r="H373" s="2030"/>
      <c r="I373" s="2030"/>
      <c r="J373" s="2030"/>
      <c r="K373" s="2030"/>
      <c r="L373" s="2030"/>
      <c r="M373" s="2030"/>
      <c r="N373" s="2030"/>
      <c r="O373" s="2030"/>
      <c r="P373" s="2030"/>
      <c r="Q373" s="2030"/>
      <c r="R373" s="2030"/>
      <c r="S373" s="2030"/>
      <c r="T373" s="2030"/>
      <c r="U373" s="2030"/>
      <c r="V373" s="2030"/>
      <c r="W373" s="2030"/>
      <c r="X373" s="2030"/>
      <c r="Y373" s="2030"/>
      <c r="Z373" s="2030"/>
      <c r="AA373" s="2030"/>
      <c r="AB373" s="2030"/>
      <c r="AC373" s="2030"/>
      <c r="AD373" s="2030"/>
      <c r="AE373" s="2030"/>
      <c r="AF373" s="2030"/>
      <c r="AG373" s="742"/>
      <c r="AH373" s="742"/>
      <c r="AI373" s="742"/>
      <c r="AJ373" s="742"/>
      <c r="AK373" s="742"/>
      <c r="AL373" s="743"/>
      <c r="AM373" s="596"/>
      <c r="AN373" s="623"/>
      <c r="BS373" s="30"/>
      <c r="BT373" s="30"/>
      <c r="BU373" s="14"/>
      <c r="BV373" s="14"/>
      <c r="BW373" s="14"/>
      <c r="BX373" s="14"/>
      <c r="BY373" s="14"/>
      <c r="BZ373" s="14"/>
      <c r="CA373" s="14"/>
      <c r="CB373" s="14"/>
      <c r="CC373" s="14"/>
    </row>
    <row r="374" spans="1:81" s="576" customFormat="1" ht="12.75" customHeight="1">
      <c r="A374" s="562"/>
      <c r="B374" s="14"/>
      <c r="C374" s="757"/>
      <c r="D374" s="14"/>
      <c r="E374" s="717"/>
      <c r="F374" s="2031"/>
      <c r="G374" s="2031"/>
      <c r="H374" s="2031"/>
      <c r="I374" s="2031"/>
      <c r="J374" s="2031"/>
      <c r="K374" s="2031"/>
      <c r="L374" s="2031"/>
      <c r="M374" s="2031"/>
      <c r="N374" s="2031"/>
      <c r="O374" s="2031"/>
      <c r="P374" s="2031"/>
      <c r="Q374" s="2031"/>
      <c r="R374" s="2031"/>
      <c r="S374" s="2031"/>
      <c r="T374" s="2031"/>
      <c r="U374" s="2031"/>
      <c r="V374" s="2031"/>
      <c r="W374" s="2031"/>
      <c r="X374" s="2031"/>
      <c r="Y374" s="2031"/>
      <c r="Z374" s="2031"/>
      <c r="AA374" s="2031"/>
      <c r="AB374" s="2031"/>
      <c r="AC374" s="2031"/>
      <c r="AD374" s="2031"/>
      <c r="AE374" s="2031"/>
      <c r="AF374" s="2031"/>
      <c r="AG374" s="565"/>
      <c r="AH374" s="565"/>
      <c r="AI374" s="565"/>
      <c r="AJ374" s="565"/>
      <c r="AK374" s="565"/>
      <c r="AL374" s="746"/>
      <c r="AM374" s="596"/>
      <c r="AN374" s="623"/>
      <c r="BS374" s="30"/>
      <c r="BT374" s="30"/>
      <c r="BU374" s="14"/>
      <c r="BV374" s="14"/>
      <c r="BW374" s="14"/>
      <c r="BX374" s="14"/>
      <c r="BY374" s="14"/>
      <c r="BZ374" s="14"/>
      <c r="CA374" s="14"/>
      <c r="CB374" s="14"/>
      <c r="CC374" s="14"/>
    </row>
    <row r="375" spans="1:81" s="576" customFormat="1" ht="12.75" customHeight="1">
      <c r="A375" s="562"/>
      <c r="B375" s="14"/>
      <c r="C375" s="757"/>
      <c r="D375" s="14"/>
      <c r="E375" s="717"/>
      <c r="F375" s="2031"/>
      <c r="G375" s="2031"/>
      <c r="H375" s="2031"/>
      <c r="I375" s="2031"/>
      <c r="J375" s="2031"/>
      <c r="K375" s="2031"/>
      <c r="L375" s="2031"/>
      <c r="M375" s="2031"/>
      <c r="N375" s="2031"/>
      <c r="O375" s="2031"/>
      <c r="P375" s="2031"/>
      <c r="Q375" s="2031"/>
      <c r="R375" s="2031"/>
      <c r="S375" s="2031"/>
      <c r="T375" s="2031"/>
      <c r="U375" s="2031"/>
      <c r="V375" s="2031"/>
      <c r="W375" s="2031"/>
      <c r="X375" s="2031"/>
      <c r="Y375" s="2031"/>
      <c r="Z375" s="2031"/>
      <c r="AA375" s="2031"/>
      <c r="AB375" s="2031"/>
      <c r="AC375" s="2031"/>
      <c r="AD375" s="2031"/>
      <c r="AE375" s="2031"/>
      <c r="AF375" s="2031"/>
      <c r="AG375" s="565"/>
      <c r="AH375" s="565"/>
      <c r="AI375" s="565"/>
      <c r="AJ375" s="565"/>
      <c r="AK375" s="565"/>
      <c r="AL375" s="746"/>
      <c r="AM375" s="596"/>
      <c r="AN375" s="623"/>
      <c r="BS375" s="30"/>
      <c r="BT375" s="30"/>
      <c r="BU375" s="14"/>
      <c r="BV375" s="14"/>
      <c r="BW375" s="14"/>
      <c r="BX375" s="14"/>
      <c r="BY375" s="14"/>
      <c r="BZ375" s="14"/>
      <c r="CA375" s="14"/>
      <c r="CB375" s="14"/>
      <c r="CC375" s="14"/>
    </row>
    <row r="376" spans="1:81" s="576" customFormat="1" ht="12.75" customHeight="1">
      <c r="A376" s="562"/>
      <c r="B376" s="14"/>
      <c r="C376" s="757"/>
      <c r="D376" s="14"/>
      <c r="E376" s="717"/>
      <c r="F376" s="2031"/>
      <c r="G376" s="2031"/>
      <c r="H376" s="2031"/>
      <c r="I376" s="2031"/>
      <c r="J376" s="2031"/>
      <c r="K376" s="2031"/>
      <c r="L376" s="2031"/>
      <c r="M376" s="2031"/>
      <c r="N376" s="2031"/>
      <c r="O376" s="2031"/>
      <c r="P376" s="2031"/>
      <c r="Q376" s="2031"/>
      <c r="R376" s="2031"/>
      <c r="S376" s="2031"/>
      <c r="T376" s="2031"/>
      <c r="U376" s="2031"/>
      <c r="V376" s="2031"/>
      <c r="W376" s="2031"/>
      <c r="X376" s="2031"/>
      <c r="Y376" s="2031"/>
      <c r="Z376" s="2031"/>
      <c r="AA376" s="2031"/>
      <c r="AB376" s="2031"/>
      <c r="AC376" s="2031"/>
      <c r="AD376" s="2031"/>
      <c r="AE376" s="2031"/>
      <c r="AF376" s="2031"/>
      <c r="AG376" s="565"/>
      <c r="AH376" s="565"/>
      <c r="AI376" s="565"/>
      <c r="AJ376" s="565"/>
      <c r="AK376" s="565"/>
      <c r="AL376" s="746"/>
      <c r="AM376" s="596"/>
      <c r="AN376" s="623"/>
      <c r="BS376" s="30"/>
      <c r="BT376" s="30"/>
      <c r="BU376" s="14"/>
      <c r="BV376" s="14"/>
      <c r="BW376" s="14"/>
      <c r="BX376" s="14"/>
      <c r="BY376" s="14"/>
      <c r="BZ376" s="14"/>
      <c r="CA376" s="14"/>
      <c r="CB376" s="14"/>
      <c r="CC376" s="14"/>
    </row>
    <row r="377" spans="1:81" s="576" customFormat="1" ht="12.75" customHeight="1">
      <c r="A377" s="562"/>
      <c r="B377" s="14"/>
      <c r="C377" s="757"/>
      <c r="D377" s="14"/>
      <c r="E377" s="717"/>
      <c r="F377" s="2031"/>
      <c r="G377" s="2031"/>
      <c r="H377" s="2031"/>
      <c r="I377" s="2031"/>
      <c r="J377" s="2031"/>
      <c r="K377" s="2031"/>
      <c r="L377" s="2031"/>
      <c r="M377" s="2031"/>
      <c r="N377" s="2031"/>
      <c r="O377" s="2031"/>
      <c r="P377" s="2031"/>
      <c r="Q377" s="2031"/>
      <c r="R377" s="2031"/>
      <c r="S377" s="2031"/>
      <c r="T377" s="2031"/>
      <c r="U377" s="2031"/>
      <c r="V377" s="2031"/>
      <c r="W377" s="2031"/>
      <c r="X377" s="2031"/>
      <c r="Y377" s="2031"/>
      <c r="Z377" s="2031"/>
      <c r="AA377" s="2031"/>
      <c r="AB377" s="2031"/>
      <c r="AC377" s="2031"/>
      <c r="AD377" s="2031"/>
      <c r="AE377" s="2031"/>
      <c r="AF377" s="2031"/>
      <c r="AL377" s="758"/>
      <c r="AN377" s="623"/>
      <c r="BS377" s="30"/>
      <c r="BT377" s="30"/>
      <c r="BU377" s="14"/>
      <c r="BV377" s="14"/>
      <c r="BW377" s="14"/>
      <c r="BX377" s="14"/>
      <c r="BY377" s="14"/>
      <c r="BZ377" s="14"/>
      <c r="CA377" s="14"/>
      <c r="CB377" s="14"/>
      <c r="CC377" s="14"/>
    </row>
    <row r="378" spans="1:81" s="576" customFormat="1" ht="12.75" customHeight="1">
      <c r="A378" s="562"/>
      <c r="B378" s="14"/>
      <c r="C378" s="2027" t="s">
        <v>601</v>
      </c>
      <c r="D378" s="1984"/>
      <c r="E378" s="717"/>
      <c r="F378" s="747" t="s">
        <v>1641</v>
      </c>
      <c r="G378" s="629"/>
      <c r="H378" s="629"/>
      <c r="I378" s="629"/>
      <c r="J378" s="629"/>
      <c r="K378" s="629"/>
      <c r="L378" s="629"/>
      <c r="M378" s="629"/>
      <c r="N378" s="629"/>
      <c r="O378" s="629"/>
      <c r="P378" s="629"/>
      <c r="Q378" s="629"/>
      <c r="R378" s="629"/>
      <c r="S378" s="629"/>
      <c r="T378" s="629"/>
      <c r="U378" s="629"/>
      <c r="V378" s="629"/>
      <c r="W378" s="629"/>
      <c r="X378" s="629"/>
      <c r="Y378" s="629"/>
      <c r="Z378" s="629"/>
      <c r="AA378" s="629"/>
      <c r="AB378" s="629"/>
      <c r="AC378" s="629"/>
      <c r="AD378" s="629"/>
      <c r="AF378" s="2028" t="s">
        <v>1639</v>
      </c>
      <c r="AG378" s="2028"/>
      <c r="AH378" s="2028"/>
      <c r="AI378" s="2028"/>
      <c r="AJ378" s="2028"/>
      <c r="AK378" s="2028"/>
      <c r="AL378" s="2029"/>
      <c r="AM378" s="755"/>
      <c r="AN378" s="623"/>
      <c r="BS378" s="30"/>
      <c r="BT378" s="30"/>
      <c r="BU378" s="14"/>
      <c r="BV378" s="14"/>
      <c r="BW378" s="14"/>
      <c r="BX378" s="14"/>
      <c r="BY378" s="14"/>
      <c r="BZ378" s="14"/>
      <c r="CA378" s="14"/>
      <c r="CB378" s="14"/>
      <c r="CC378" s="14"/>
    </row>
    <row r="379" spans="1:81" s="576" customFormat="1" ht="12.75" customHeight="1">
      <c r="A379" s="562"/>
      <c r="B379" s="14"/>
      <c r="C379" s="766"/>
      <c r="D379" s="759"/>
      <c r="E379" s="760"/>
      <c r="F379" s="761"/>
      <c r="G379" s="762"/>
      <c r="H379" s="762"/>
      <c r="I379" s="762"/>
      <c r="J379" s="762"/>
      <c r="K379" s="762"/>
      <c r="L379" s="762"/>
      <c r="M379" s="762"/>
      <c r="N379" s="762"/>
      <c r="O379" s="762"/>
      <c r="P379" s="762"/>
      <c r="Q379" s="762"/>
      <c r="R379" s="762"/>
      <c r="S379" s="762"/>
      <c r="T379" s="762"/>
      <c r="U379" s="762"/>
      <c r="V379" s="762"/>
      <c r="W379" s="762"/>
      <c r="X379" s="762"/>
      <c r="Y379" s="762"/>
      <c r="Z379" s="762"/>
      <c r="AA379" s="762"/>
      <c r="AB379" s="762"/>
      <c r="AC379" s="762"/>
      <c r="AD379" s="762"/>
      <c r="AE379" s="763"/>
      <c r="AF379" s="609"/>
      <c r="AG379" s="763"/>
      <c r="AH379" s="753"/>
      <c r="AI379" s="753"/>
      <c r="AJ379" s="753"/>
      <c r="AK379" s="753"/>
      <c r="AL379" s="768"/>
      <c r="AM379" s="755"/>
      <c r="AN379" s="623"/>
      <c r="BS379" s="30"/>
      <c r="BT379" s="30"/>
      <c r="BU379" s="14"/>
      <c r="BV379" s="14"/>
      <c r="BW379" s="14"/>
      <c r="BX379" s="14"/>
      <c r="BY379" s="14"/>
      <c r="BZ379" s="14"/>
      <c r="CA379" s="14"/>
      <c r="CB379" s="14"/>
      <c r="CC379" s="14"/>
    </row>
    <row r="380" spans="1:81" s="576" customFormat="1" ht="12.75" customHeight="1">
      <c r="A380" s="562"/>
      <c r="B380" s="14"/>
      <c r="C380" s="14"/>
      <c r="D380" s="14"/>
      <c r="E380" s="717"/>
      <c r="F380" s="702"/>
      <c r="G380" s="702"/>
      <c r="H380" s="702"/>
      <c r="I380" s="702"/>
      <c r="J380" s="702"/>
      <c r="K380" s="702"/>
      <c r="L380" s="702"/>
      <c r="M380" s="702"/>
      <c r="N380" s="702"/>
      <c r="O380" s="702"/>
      <c r="P380" s="702"/>
      <c r="Q380" s="702"/>
      <c r="R380" s="702"/>
      <c r="S380" s="702"/>
      <c r="T380" s="702"/>
      <c r="U380" s="702"/>
      <c r="V380" s="702"/>
      <c r="W380" s="702"/>
      <c r="X380" s="702"/>
      <c r="Y380" s="702"/>
      <c r="Z380" s="702"/>
      <c r="AA380" s="702"/>
      <c r="AB380" s="702"/>
      <c r="AC380" s="702"/>
      <c r="AD380" s="702"/>
      <c r="AE380" s="562"/>
      <c r="AF380" s="565"/>
      <c r="AG380" s="562"/>
      <c r="AM380" s="596"/>
      <c r="AN380" s="623"/>
      <c r="BS380" s="30"/>
      <c r="BT380" s="30"/>
      <c r="BU380" s="14"/>
      <c r="BV380" s="14"/>
      <c r="BW380" s="14"/>
      <c r="BX380" s="14"/>
      <c r="BY380" s="14"/>
      <c r="BZ380" s="14"/>
      <c r="CA380" s="14"/>
      <c r="CB380" s="14"/>
      <c r="CC380" s="14"/>
    </row>
    <row r="381" spans="1:81" s="576" customFormat="1" ht="12.75" customHeight="1">
      <c r="A381" s="562"/>
      <c r="B381" s="14"/>
      <c r="C381" s="739"/>
      <c r="D381" s="740"/>
      <c r="E381" s="741" t="s">
        <v>1493</v>
      </c>
      <c r="F381" s="2030" t="s">
        <v>1642</v>
      </c>
      <c r="G381" s="2030"/>
      <c r="H381" s="2030"/>
      <c r="I381" s="2030"/>
      <c r="J381" s="2030"/>
      <c r="K381" s="2030"/>
      <c r="L381" s="2030"/>
      <c r="M381" s="2030"/>
      <c r="N381" s="2030"/>
      <c r="O381" s="2030"/>
      <c r="P381" s="2030"/>
      <c r="Q381" s="2030"/>
      <c r="R381" s="2030"/>
      <c r="S381" s="2030"/>
      <c r="T381" s="2030"/>
      <c r="U381" s="2030"/>
      <c r="V381" s="2030"/>
      <c r="W381" s="2030"/>
      <c r="X381" s="2030"/>
      <c r="Y381" s="2030"/>
      <c r="Z381" s="2030"/>
      <c r="AA381" s="2030"/>
      <c r="AB381" s="2030"/>
      <c r="AC381" s="2030"/>
      <c r="AD381" s="2030"/>
      <c r="AE381" s="2030"/>
      <c r="AF381" s="2030"/>
      <c r="AG381" s="742"/>
      <c r="AH381" s="742"/>
      <c r="AI381" s="742"/>
      <c r="AJ381" s="742"/>
      <c r="AK381" s="742"/>
      <c r="AL381" s="743"/>
      <c r="AM381" s="596"/>
      <c r="AN381" s="623"/>
      <c r="BS381" s="596"/>
      <c r="BT381" s="596"/>
      <c r="BU381" s="596"/>
      <c r="BV381" s="596"/>
      <c r="BW381" s="596"/>
      <c r="BX381" s="596"/>
      <c r="BY381" s="596"/>
      <c r="BZ381" s="596"/>
      <c r="CA381" s="596"/>
      <c r="CB381" s="596"/>
      <c r="CC381" s="596"/>
    </row>
    <row r="382" spans="1:81" s="576" customFormat="1" ht="12.75" customHeight="1">
      <c r="A382" s="562"/>
      <c r="B382" s="14"/>
      <c r="C382" s="757"/>
      <c r="D382" s="14"/>
      <c r="E382" s="717"/>
      <c r="F382" s="2031"/>
      <c r="G382" s="2031"/>
      <c r="H382" s="2031"/>
      <c r="I382" s="2031"/>
      <c r="J382" s="2031"/>
      <c r="K382" s="2031"/>
      <c r="L382" s="2031"/>
      <c r="M382" s="2031"/>
      <c r="N382" s="2031"/>
      <c r="O382" s="2031"/>
      <c r="P382" s="2031"/>
      <c r="Q382" s="2031"/>
      <c r="R382" s="2031"/>
      <c r="S382" s="2031"/>
      <c r="T382" s="2031"/>
      <c r="U382" s="2031"/>
      <c r="V382" s="2031"/>
      <c r="W382" s="2031"/>
      <c r="X382" s="2031"/>
      <c r="Y382" s="2031"/>
      <c r="Z382" s="2031"/>
      <c r="AA382" s="2031"/>
      <c r="AB382" s="2031"/>
      <c r="AC382" s="2031"/>
      <c r="AD382" s="2031"/>
      <c r="AE382" s="2031"/>
      <c r="AF382" s="2031"/>
      <c r="AG382" s="565"/>
      <c r="AH382" s="565"/>
      <c r="AI382" s="565"/>
      <c r="AJ382" s="565"/>
      <c r="AK382" s="565"/>
      <c r="AL382" s="746"/>
      <c r="AM382" s="596"/>
      <c r="AN382" s="623"/>
      <c r="BS382" s="596"/>
      <c r="BT382" s="596"/>
      <c r="BU382" s="596"/>
      <c r="BV382" s="596"/>
      <c r="BW382" s="596"/>
      <c r="BX382" s="596"/>
      <c r="BY382" s="596"/>
      <c r="BZ382" s="596"/>
      <c r="CA382" s="596"/>
      <c r="CB382" s="596"/>
      <c r="CC382" s="596"/>
    </row>
    <row r="383" spans="1:81" s="576" customFormat="1" ht="12.75" customHeight="1">
      <c r="A383" s="562"/>
      <c r="B383" s="14"/>
      <c r="C383" s="757"/>
      <c r="D383" s="14"/>
      <c r="E383" s="717"/>
      <c r="F383" s="2031"/>
      <c r="G383" s="2031"/>
      <c r="H383" s="2031"/>
      <c r="I383" s="2031"/>
      <c r="J383" s="2031"/>
      <c r="K383" s="2031"/>
      <c r="L383" s="2031"/>
      <c r="M383" s="2031"/>
      <c r="N383" s="2031"/>
      <c r="O383" s="2031"/>
      <c r="P383" s="2031"/>
      <c r="Q383" s="2031"/>
      <c r="R383" s="2031"/>
      <c r="S383" s="2031"/>
      <c r="T383" s="2031"/>
      <c r="U383" s="2031"/>
      <c r="V383" s="2031"/>
      <c r="W383" s="2031"/>
      <c r="X383" s="2031"/>
      <c r="Y383" s="2031"/>
      <c r="Z383" s="2031"/>
      <c r="AA383" s="2031"/>
      <c r="AB383" s="2031"/>
      <c r="AC383" s="2031"/>
      <c r="AD383" s="2031"/>
      <c r="AE383" s="2031"/>
      <c r="AF383" s="2031"/>
      <c r="AG383" s="565"/>
      <c r="AH383" s="565"/>
      <c r="AI383" s="565"/>
      <c r="AJ383" s="565"/>
      <c r="AK383" s="565"/>
      <c r="AL383" s="746"/>
      <c r="AM383" s="596"/>
      <c r="AN383" s="623"/>
      <c r="BS383" s="596"/>
      <c r="BT383" s="596"/>
      <c r="BU383" s="596"/>
      <c r="BV383" s="596"/>
      <c r="BW383" s="596"/>
      <c r="BX383" s="596"/>
      <c r="BY383" s="596"/>
      <c r="BZ383" s="596"/>
      <c r="CA383" s="596"/>
      <c r="CB383" s="596"/>
      <c r="CC383" s="596"/>
    </row>
    <row r="384" spans="1:81" s="576" customFormat="1" ht="12.75" customHeight="1">
      <c r="A384" s="562"/>
      <c r="B384" s="14"/>
      <c r="C384" s="757"/>
      <c r="D384" s="14"/>
      <c r="E384" s="717"/>
      <c r="F384" s="2031"/>
      <c r="G384" s="2031"/>
      <c r="H384" s="2031"/>
      <c r="I384" s="2031"/>
      <c r="J384" s="2031"/>
      <c r="K384" s="2031"/>
      <c r="L384" s="2031"/>
      <c r="M384" s="2031"/>
      <c r="N384" s="2031"/>
      <c r="O384" s="2031"/>
      <c r="P384" s="2031"/>
      <c r="Q384" s="2031"/>
      <c r="R384" s="2031"/>
      <c r="S384" s="2031"/>
      <c r="T384" s="2031"/>
      <c r="U384" s="2031"/>
      <c r="V384" s="2031"/>
      <c r="W384" s="2031"/>
      <c r="X384" s="2031"/>
      <c r="Y384" s="2031"/>
      <c r="Z384" s="2031"/>
      <c r="AA384" s="2031"/>
      <c r="AB384" s="2031"/>
      <c r="AC384" s="2031"/>
      <c r="AD384" s="2031"/>
      <c r="AE384" s="2031"/>
      <c r="AF384" s="2031"/>
      <c r="AG384" s="565"/>
      <c r="AH384" s="565"/>
      <c r="AI384" s="565"/>
      <c r="AJ384" s="565"/>
      <c r="AK384" s="565"/>
      <c r="AL384" s="746"/>
      <c r="AM384" s="596"/>
      <c r="AN384" s="623"/>
      <c r="BS384" s="596"/>
      <c r="BT384" s="596"/>
      <c r="BU384" s="596"/>
      <c r="BV384" s="596"/>
      <c r="BW384" s="596"/>
      <c r="BX384" s="596"/>
      <c r="BY384" s="596"/>
      <c r="BZ384" s="596"/>
      <c r="CA384" s="596"/>
      <c r="CB384" s="596"/>
      <c r="CC384" s="596"/>
    </row>
    <row r="385" spans="1:81" s="576" customFormat="1" ht="12.75" customHeight="1">
      <c r="A385" s="562"/>
      <c r="B385" s="14"/>
      <c r="C385" s="757"/>
      <c r="D385" s="14"/>
      <c r="E385" s="717"/>
      <c r="F385" s="2031"/>
      <c r="G385" s="2031"/>
      <c r="H385" s="2031"/>
      <c r="I385" s="2031"/>
      <c r="J385" s="2031"/>
      <c r="K385" s="2031"/>
      <c r="L385" s="2031"/>
      <c r="M385" s="2031"/>
      <c r="N385" s="2031"/>
      <c r="O385" s="2031"/>
      <c r="P385" s="2031"/>
      <c r="Q385" s="2031"/>
      <c r="R385" s="2031"/>
      <c r="S385" s="2031"/>
      <c r="T385" s="2031"/>
      <c r="U385" s="2031"/>
      <c r="V385" s="2031"/>
      <c r="W385" s="2031"/>
      <c r="X385" s="2031"/>
      <c r="Y385" s="2031"/>
      <c r="Z385" s="2031"/>
      <c r="AA385" s="2031"/>
      <c r="AB385" s="2031"/>
      <c r="AC385" s="2031"/>
      <c r="AD385" s="2031"/>
      <c r="AE385" s="2031"/>
      <c r="AF385" s="2031"/>
      <c r="AG385" s="565"/>
      <c r="AH385" s="565"/>
      <c r="AI385" s="565"/>
      <c r="AJ385" s="565"/>
      <c r="AK385" s="565"/>
      <c r="AL385" s="746"/>
      <c r="AM385" s="596"/>
      <c r="AN385" s="623"/>
      <c r="BS385" s="596"/>
      <c r="BT385" s="596"/>
      <c r="BU385" s="596"/>
      <c r="BV385" s="596"/>
      <c r="BW385" s="596"/>
      <c r="BX385" s="596"/>
      <c r="BY385" s="596"/>
      <c r="BZ385" s="596"/>
      <c r="CA385" s="596"/>
      <c r="CB385" s="596"/>
      <c r="CC385" s="596"/>
    </row>
    <row r="386" spans="1:81" s="576" customFormat="1" ht="12.75" customHeight="1">
      <c r="A386" s="562"/>
      <c r="B386" s="14"/>
      <c r="C386" s="2027" t="s">
        <v>601</v>
      </c>
      <c r="D386" s="1984"/>
      <c r="E386" s="717"/>
      <c r="F386" s="747" t="s">
        <v>1643</v>
      </c>
      <c r="G386" s="629"/>
      <c r="H386" s="629"/>
      <c r="I386" s="629"/>
      <c r="J386" s="629"/>
      <c r="K386" s="629"/>
      <c r="L386" s="629"/>
      <c r="M386" s="629"/>
      <c r="N386" s="629"/>
      <c r="O386" s="629"/>
      <c r="P386" s="629"/>
      <c r="Q386" s="629"/>
      <c r="R386" s="629"/>
      <c r="S386" s="629"/>
      <c r="T386" s="629"/>
      <c r="U386" s="629"/>
      <c r="V386" s="629"/>
      <c r="W386" s="629"/>
      <c r="X386" s="629"/>
      <c r="Y386" s="629"/>
      <c r="Z386" s="629"/>
      <c r="AA386" s="629"/>
      <c r="AB386" s="629"/>
      <c r="AC386" s="629"/>
      <c r="AD386" s="629"/>
      <c r="AF386" s="2028" t="s">
        <v>1644</v>
      </c>
      <c r="AG386" s="2028"/>
      <c r="AH386" s="2028"/>
      <c r="AI386" s="2028"/>
      <c r="AJ386" s="2028"/>
      <c r="AK386" s="2028"/>
      <c r="AL386" s="2029"/>
      <c r="AM386" s="748"/>
      <c r="BS386" s="596"/>
      <c r="BT386" s="596"/>
      <c r="BU386" s="596"/>
      <c r="BV386" s="596"/>
      <c r="BW386" s="596"/>
      <c r="BX386" s="596"/>
      <c r="BY386" s="596"/>
      <c r="BZ386" s="596"/>
      <c r="CA386" s="596"/>
      <c r="CB386" s="596"/>
      <c r="CC386" s="596"/>
    </row>
    <row r="387" spans="1:81" s="576" customFormat="1" ht="12.75" customHeight="1">
      <c r="A387" s="562"/>
      <c r="B387" s="14"/>
      <c r="C387" s="757"/>
      <c r="D387" s="14"/>
      <c r="E387" s="717"/>
      <c r="F387" s="599"/>
      <c r="G387" s="599"/>
      <c r="H387" s="599"/>
      <c r="I387" s="599"/>
      <c r="J387" s="599"/>
      <c r="K387" s="599"/>
      <c r="L387" s="599"/>
      <c r="M387" s="599"/>
      <c r="N387" s="599"/>
      <c r="O387" s="599"/>
      <c r="P387" s="599"/>
      <c r="Q387" s="599"/>
      <c r="R387" s="599"/>
      <c r="S387" s="599"/>
      <c r="T387" s="599"/>
      <c r="U387" s="599"/>
      <c r="V387" s="599"/>
      <c r="W387" s="599"/>
      <c r="X387" s="599"/>
      <c r="Y387" s="599"/>
      <c r="Z387" s="599"/>
      <c r="AA387" s="599"/>
      <c r="AB387" s="599"/>
      <c r="AC387" s="599"/>
      <c r="AD387" s="599"/>
      <c r="AL387" s="758"/>
      <c r="AM387" s="596"/>
      <c r="AN387" s="623"/>
      <c r="BS387" s="596"/>
      <c r="BT387" s="596"/>
      <c r="BU387" s="596"/>
      <c r="BV387" s="596"/>
      <c r="BW387" s="596"/>
      <c r="BX387" s="596"/>
      <c r="BY387" s="596"/>
      <c r="BZ387" s="596"/>
      <c r="CA387" s="596"/>
      <c r="CB387" s="596"/>
      <c r="CC387" s="596"/>
    </row>
    <row r="388" spans="1:81" s="576" customFormat="1" ht="12.75" customHeight="1">
      <c r="A388" s="562"/>
      <c r="B388" s="14"/>
      <c r="C388" s="2027" t="s">
        <v>555</v>
      </c>
      <c r="D388" s="1984"/>
      <c r="E388" s="717"/>
      <c r="F388" s="764" t="s">
        <v>1645</v>
      </c>
      <c r="G388" s="599"/>
      <c r="H388" s="599"/>
      <c r="I388" s="599"/>
      <c r="J388" s="599"/>
      <c r="K388" s="599"/>
      <c r="L388" s="599"/>
      <c r="M388" s="599"/>
      <c r="N388" s="599"/>
      <c r="O388" s="599"/>
      <c r="P388" s="599"/>
      <c r="Q388" s="599"/>
      <c r="R388" s="599"/>
      <c r="S388" s="599"/>
      <c r="T388" s="599"/>
      <c r="U388" s="599"/>
      <c r="V388" s="599"/>
      <c r="W388" s="599"/>
      <c r="X388" s="599"/>
      <c r="Y388" s="599"/>
      <c r="Z388" s="599"/>
      <c r="AA388" s="599"/>
      <c r="AB388" s="599"/>
      <c r="AC388" s="599"/>
      <c r="AD388" s="599"/>
      <c r="AF388" s="2028" t="s">
        <v>1639</v>
      </c>
      <c r="AG388" s="2028"/>
      <c r="AH388" s="2028"/>
      <c r="AI388" s="2028"/>
      <c r="AJ388" s="2028"/>
      <c r="AK388" s="2028"/>
      <c r="AL388" s="2029"/>
      <c r="AM388" s="596"/>
      <c r="AN388" s="623"/>
      <c r="BS388" s="596"/>
      <c r="BT388" s="596"/>
      <c r="BU388" s="596"/>
    </row>
    <row r="389" spans="1:81" s="576" customFormat="1" ht="12.75" customHeight="1">
      <c r="A389" s="562"/>
      <c r="B389" s="14"/>
      <c r="C389" s="765"/>
      <c r="E389" s="717"/>
      <c r="G389" s="599"/>
      <c r="H389" s="599"/>
      <c r="I389" s="599"/>
      <c r="J389" s="599"/>
      <c r="K389" s="599"/>
      <c r="L389" s="599"/>
      <c r="M389" s="599"/>
      <c r="N389" s="599"/>
      <c r="O389" s="599"/>
      <c r="P389" s="599"/>
      <c r="Q389" s="599"/>
      <c r="R389" s="599"/>
      <c r="S389" s="599"/>
      <c r="T389" s="599"/>
      <c r="U389" s="599"/>
      <c r="V389" s="599"/>
      <c r="W389" s="599"/>
      <c r="X389" s="599"/>
      <c r="Y389" s="599"/>
      <c r="Z389" s="599"/>
      <c r="AA389" s="599"/>
      <c r="AB389" s="599"/>
      <c r="AC389" s="599"/>
      <c r="AD389" s="599"/>
      <c r="AL389" s="758"/>
      <c r="AM389" s="596"/>
      <c r="AN389" s="623"/>
      <c r="BS389" s="596"/>
      <c r="BT389" s="596"/>
      <c r="BU389" s="596"/>
    </row>
    <row r="390" spans="1:81" s="576" customFormat="1" ht="12.75" customHeight="1">
      <c r="A390" s="562"/>
      <c r="B390" s="14"/>
      <c r="C390" s="766"/>
      <c r="D390" s="759"/>
      <c r="E390" s="760"/>
      <c r="F390" s="767" t="s">
        <v>1646</v>
      </c>
      <c r="G390" s="761"/>
      <c r="H390" s="761"/>
      <c r="I390" s="761"/>
      <c r="J390" s="761"/>
      <c r="K390" s="761"/>
      <c r="L390" s="761"/>
      <c r="M390" s="761"/>
      <c r="N390" s="761"/>
      <c r="O390" s="761"/>
      <c r="P390" s="761"/>
      <c r="Q390" s="761"/>
      <c r="R390" s="761"/>
      <c r="S390" s="761"/>
      <c r="T390" s="761"/>
      <c r="U390" s="761"/>
      <c r="V390" s="761"/>
      <c r="W390" s="761"/>
      <c r="X390" s="761"/>
      <c r="Y390" s="761"/>
      <c r="Z390" s="761"/>
      <c r="AA390" s="761"/>
      <c r="AB390" s="761"/>
      <c r="AC390" s="761"/>
      <c r="AD390" s="761"/>
      <c r="AE390" s="763"/>
      <c r="AF390" s="609"/>
      <c r="AG390" s="763"/>
      <c r="AH390" s="753"/>
      <c r="AI390" s="753"/>
      <c r="AJ390" s="753"/>
      <c r="AK390" s="753"/>
      <c r="AL390" s="768"/>
      <c r="AM390" s="596"/>
      <c r="AN390" s="623"/>
      <c r="BS390" s="596"/>
      <c r="BT390" s="596"/>
      <c r="BU390" s="596"/>
    </row>
    <row r="391" spans="1:81" s="576" customFormat="1" ht="12.75" customHeight="1">
      <c r="A391" s="562"/>
      <c r="B391" s="14"/>
      <c r="C391" s="14"/>
      <c r="D391" s="14"/>
      <c r="E391" s="717"/>
      <c r="F391" s="702"/>
      <c r="G391" s="702"/>
      <c r="H391" s="702"/>
      <c r="I391" s="702"/>
      <c r="J391" s="702"/>
      <c r="K391" s="702"/>
      <c r="L391" s="702"/>
      <c r="M391" s="702"/>
      <c r="N391" s="702"/>
      <c r="O391" s="702"/>
      <c r="P391" s="702"/>
      <c r="Q391" s="702"/>
      <c r="R391" s="702"/>
      <c r="S391" s="702"/>
      <c r="T391" s="702"/>
      <c r="U391" s="702"/>
      <c r="V391" s="702"/>
      <c r="W391" s="702"/>
      <c r="X391" s="702"/>
      <c r="Y391" s="702"/>
      <c r="Z391" s="702"/>
      <c r="AA391" s="702"/>
      <c r="AB391" s="702"/>
      <c r="AC391" s="702"/>
      <c r="AD391" s="702"/>
      <c r="AE391" s="562"/>
      <c r="AF391" s="565"/>
      <c r="AG391" s="562"/>
      <c r="AM391" s="596"/>
      <c r="AN391" s="623"/>
      <c r="BS391" s="596"/>
      <c r="BT391" s="596"/>
      <c r="BU391" s="596"/>
    </row>
    <row r="392" spans="1:81" s="576" customFormat="1" ht="12.75" customHeight="1">
      <c r="A392" s="562"/>
      <c r="B392" s="14"/>
      <c r="C392" s="739"/>
      <c r="D392" s="740"/>
      <c r="E392" s="741" t="s">
        <v>1647</v>
      </c>
      <c r="F392" s="2030" t="s">
        <v>1648</v>
      </c>
      <c r="G392" s="2030"/>
      <c r="H392" s="2030"/>
      <c r="I392" s="2030"/>
      <c r="J392" s="2030"/>
      <c r="K392" s="2030"/>
      <c r="L392" s="2030"/>
      <c r="M392" s="2030"/>
      <c r="N392" s="2030"/>
      <c r="O392" s="2030"/>
      <c r="P392" s="2030"/>
      <c r="Q392" s="2030"/>
      <c r="R392" s="2030"/>
      <c r="S392" s="2030"/>
      <c r="T392" s="2030"/>
      <c r="U392" s="2030"/>
      <c r="V392" s="2030"/>
      <c r="W392" s="2030"/>
      <c r="X392" s="2030"/>
      <c r="Y392" s="2030"/>
      <c r="Z392" s="2030"/>
      <c r="AA392" s="2030"/>
      <c r="AB392" s="2030"/>
      <c r="AC392" s="2030"/>
      <c r="AD392" s="2030"/>
      <c r="AE392" s="2030"/>
      <c r="AF392" s="2030"/>
      <c r="AG392" s="742"/>
      <c r="AH392" s="742"/>
      <c r="AI392" s="742"/>
      <c r="AJ392" s="742"/>
      <c r="AK392" s="742"/>
      <c r="AL392" s="743"/>
      <c r="AM392" s="596"/>
      <c r="AN392" s="623"/>
      <c r="BS392" s="596"/>
      <c r="BT392" s="596"/>
      <c r="BU392" s="596"/>
      <c r="BV392" s="596"/>
      <c r="BW392" s="596"/>
      <c r="BX392" s="596"/>
      <c r="BY392" s="596"/>
      <c r="BZ392" s="596"/>
      <c r="CA392" s="596"/>
      <c r="CB392" s="596"/>
      <c r="CC392" s="596"/>
    </row>
    <row r="393" spans="1:81" s="576" customFormat="1" ht="12.75" customHeight="1">
      <c r="A393" s="562"/>
      <c r="B393" s="14"/>
      <c r="C393" s="757"/>
      <c r="D393" s="14"/>
      <c r="E393" s="717"/>
      <c r="F393" s="2031"/>
      <c r="G393" s="2031"/>
      <c r="H393" s="2031"/>
      <c r="I393" s="2031"/>
      <c r="J393" s="2031"/>
      <c r="K393" s="2031"/>
      <c r="L393" s="2031"/>
      <c r="M393" s="2031"/>
      <c r="N393" s="2031"/>
      <c r="O393" s="2031"/>
      <c r="P393" s="2031"/>
      <c r="Q393" s="2031"/>
      <c r="R393" s="2031"/>
      <c r="S393" s="2031"/>
      <c r="T393" s="2031"/>
      <c r="U393" s="2031"/>
      <c r="V393" s="2031"/>
      <c r="W393" s="2031"/>
      <c r="X393" s="2031"/>
      <c r="Y393" s="2031"/>
      <c r="Z393" s="2031"/>
      <c r="AA393" s="2031"/>
      <c r="AB393" s="2031"/>
      <c r="AC393" s="2031"/>
      <c r="AD393" s="2031"/>
      <c r="AE393" s="2031"/>
      <c r="AF393" s="2031"/>
      <c r="AG393" s="565"/>
      <c r="AH393" s="565"/>
      <c r="AI393" s="565"/>
      <c r="AJ393" s="565"/>
      <c r="AK393" s="565"/>
      <c r="AL393" s="746"/>
      <c r="AM393" s="596"/>
      <c r="AN393" s="623"/>
      <c r="BS393" s="596"/>
      <c r="BT393" s="596"/>
      <c r="BU393" s="596"/>
      <c r="BV393" s="596"/>
      <c r="BW393" s="596"/>
      <c r="BX393" s="596"/>
      <c r="BY393" s="596"/>
      <c r="BZ393" s="596"/>
      <c r="CA393" s="596"/>
      <c r="CB393" s="596"/>
      <c r="CC393" s="596"/>
    </row>
    <row r="394" spans="1:81" ht="13">
      <c r="A394" s="562"/>
      <c r="C394" s="757"/>
      <c r="E394" s="717"/>
      <c r="F394" s="2031"/>
      <c r="G394" s="2031"/>
      <c r="H394" s="2031"/>
      <c r="I394" s="2031"/>
      <c r="J394" s="2031"/>
      <c r="K394" s="2031"/>
      <c r="L394" s="2031"/>
      <c r="M394" s="2031"/>
      <c r="N394" s="2031"/>
      <c r="O394" s="2031"/>
      <c r="P394" s="2031"/>
      <c r="Q394" s="2031"/>
      <c r="R394" s="2031"/>
      <c r="S394" s="2031"/>
      <c r="T394" s="2031"/>
      <c r="U394" s="2031"/>
      <c r="V394" s="2031"/>
      <c r="W394" s="2031"/>
      <c r="X394" s="2031"/>
      <c r="Y394" s="2031"/>
      <c r="Z394" s="2031"/>
      <c r="AA394" s="2031"/>
      <c r="AB394" s="2031"/>
      <c r="AC394" s="2031"/>
      <c r="AD394" s="2031"/>
      <c r="AE394" s="2031"/>
      <c r="AF394" s="2031"/>
      <c r="AG394" s="565"/>
      <c r="AH394" s="565"/>
      <c r="AI394" s="565"/>
      <c r="AJ394" s="565"/>
      <c r="AK394" s="565"/>
      <c r="AL394" s="746"/>
      <c r="AM394" s="596"/>
      <c r="BS394" s="596"/>
      <c r="BT394" s="596"/>
      <c r="BU394" s="596"/>
      <c r="BV394" s="596"/>
      <c r="BW394" s="596"/>
      <c r="BX394" s="596"/>
      <c r="BY394" s="596"/>
      <c r="BZ394" s="596"/>
      <c r="CA394" s="596"/>
      <c r="CB394" s="596"/>
      <c r="CC394" s="596"/>
    </row>
    <row r="395" spans="1:81" s="576" customFormat="1" ht="12.75" customHeight="1">
      <c r="A395" s="562"/>
      <c r="B395" s="14"/>
      <c r="C395" s="757"/>
      <c r="D395" s="14"/>
      <c r="E395" s="717"/>
      <c r="F395" s="2031"/>
      <c r="G395" s="2031"/>
      <c r="H395" s="2031"/>
      <c r="I395" s="2031"/>
      <c r="J395" s="2031"/>
      <c r="K395" s="2031"/>
      <c r="L395" s="2031"/>
      <c r="M395" s="2031"/>
      <c r="N395" s="2031"/>
      <c r="O395" s="2031"/>
      <c r="P395" s="2031"/>
      <c r="Q395" s="2031"/>
      <c r="R395" s="2031"/>
      <c r="S395" s="2031"/>
      <c r="T395" s="2031"/>
      <c r="U395" s="2031"/>
      <c r="V395" s="2031"/>
      <c r="W395" s="2031"/>
      <c r="X395" s="2031"/>
      <c r="Y395" s="2031"/>
      <c r="Z395" s="2031"/>
      <c r="AA395" s="2031"/>
      <c r="AB395" s="2031"/>
      <c r="AC395" s="2031"/>
      <c r="AD395" s="2031"/>
      <c r="AE395" s="2031"/>
      <c r="AF395" s="2031"/>
      <c r="AG395" s="565"/>
      <c r="AH395" s="565"/>
      <c r="AI395" s="565"/>
      <c r="AJ395" s="565"/>
      <c r="AK395" s="565"/>
      <c r="AL395" s="746"/>
      <c r="AM395" s="596"/>
      <c r="AN395" s="623"/>
      <c r="BS395" s="596"/>
      <c r="BT395" s="596"/>
      <c r="BY395" s="596"/>
      <c r="BZ395" s="596"/>
      <c r="CA395" s="596"/>
      <c r="CB395" s="596"/>
      <c r="CC395" s="596"/>
    </row>
    <row r="396" spans="1:81" s="576" customFormat="1" ht="12.75" customHeight="1">
      <c r="A396" s="562"/>
      <c r="B396" s="14"/>
      <c r="C396" s="2027" t="s">
        <v>601</v>
      </c>
      <c r="D396" s="1984"/>
      <c r="E396" s="717"/>
      <c r="F396" s="747" t="s">
        <v>1649</v>
      </c>
      <c r="G396" s="629"/>
      <c r="H396" s="629"/>
      <c r="I396" s="629"/>
      <c r="J396" s="629"/>
      <c r="K396" s="629"/>
      <c r="L396" s="629"/>
      <c r="M396" s="629"/>
      <c r="N396" s="629"/>
      <c r="O396" s="629"/>
      <c r="P396" s="629"/>
      <c r="Q396" s="629"/>
      <c r="R396" s="629"/>
      <c r="S396" s="629"/>
      <c r="T396" s="629"/>
      <c r="U396" s="629"/>
      <c r="V396" s="629"/>
      <c r="W396" s="629"/>
      <c r="X396" s="629"/>
      <c r="Y396" s="629"/>
      <c r="Z396" s="629"/>
      <c r="AA396" s="629"/>
      <c r="AB396" s="629"/>
      <c r="AC396" s="629"/>
      <c r="AD396" s="629"/>
      <c r="AF396" s="2028" t="s">
        <v>1639</v>
      </c>
      <c r="AG396" s="2028"/>
      <c r="AH396" s="2028"/>
      <c r="AI396" s="2028"/>
      <c r="AJ396" s="2028"/>
      <c r="AK396" s="2028"/>
      <c r="AL396" s="2029"/>
      <c r="AM396" s="596"/>
      <c r="AN396" s="623"/>
      <c r="BS396" s="596"/>
      <c r="BT396" s="596"/>
      <c r="BY396" s="596"/>
      <c r="BZ396" s="596"/>
      <c r="CA396" s="596"/>
      <c r="CB396" s="596"/>
      <c r="CC396" s="596"/>
    </row>
    <row r="397" spans="1:81" s="576" customFormat="1" ht="12.75" customHeight="1">
      <c r="A397" s="562"/>
      <c r="B397" s="14"/>
      <c r="C397" s="757"/>
      <c r="D397" s="14"/>
      <c r="E397" s="717"/>
      <c r="G397" s="629"/>
      <c r="H397" s="629"/>
      <c r="I397" s="629"/>
      <c r="J397" s="629"/>
      <c r="K397" s="629"/>
      <c r="L397" s="629"/>
      <c r="M397" s="629"/>
      <c r="N397" s="629"/>
      <c r="O397" s="629"/>
      <c r="P397" s="629"/>
      <c r="Q397" s="629"/>
      <c r="R397" s="629"/>
      <c r="S397" s="629"/>
      <c r="T397" s="629"/>
      <c r="U397" s="629"/>
      <c r="V397" s="629"/>
      <c r="W397" s="629"/>
      <c r="X397" s="629"/>
      <c r="Y397" s="629"/>
      <c r="Z397" s="629"/>
      <c r="AA397" s="629"/>
      <c r="AB397" s="629"/>
      <c r="AC397" s="629"/>
      <c r="AD397" s="629"/>
      <c r="AL397" s="758"/>
      <c r="AM397" s="596"/>
      <c r="AN397" s="623"/>
      <c r="BS397" s="596"/>
      <c r="BT397" s="596"/>
      <c r="BY397" s="596"/>
      <c r="BZ397" s="596"/>
      <c r="CA397" s="596"/>
      <c r="CB397" s="596"/>
      <c r="CC397" s="596"/>
    </row>
    <row r="398" spans="1:81" s="576" customFormat="1" ht="12.75" customHeight="1">
      <c r="A398" s="562"/>
      <c r="B398" s="14"/>
      <c r="C398" s="2027" t="s">
        <v>601</v>
      </c>
      <c r="D398" s="1984"/>
      <c r="E398" s="745"/>
      <c r="F398" s="747" t="s">
        <v>1650</v>
      </c>
      <c r="G398" s="629"/>
      <c r="H398" s="629"/>
      <c r="I398" s="629"/>
      <c r="J398" s="629"/>
      <c r="K398" s="629"/>
      <c r="L398" s="629"/>
      <c r="M398" s="629"/>
      <c r="N398" s="629"/>
      <c r="O398" s="629"/>
      <c r="P398" s="629"/>
      <c r="Q398" s="629"/>
      <c r="R398" s="629"/>
      <c r="S398" s="629"/>
      <c r="T398" s="629"/>
      <c r="U398" s="629"/>
      <c r="V398" s="629"/>
      <c r="W398" s="629"/>
      <c r="X398" s="629"/>
      <c r="Y398" s="629"/>
      <c r="Z398" s="629"/>
      <c r="AA398" s="629"/>
      <c r="AB398" s="629"/>
      <c r="AC398" s="629"/>
      <c r="AD398" s="629"/>
      <c r="AF398" s="2028" t="s">
        <v>1651</v>
      </c>
      <c r="AG398" s="2028"/>
      <c r="AH398" s="2028"/>
      <c r="AI398" s="2028"/>
      <c r="AJ398" s="2028"/>
      <c r="AK398" s="2028"/>
      <c r="AL398" s="2029"/>
      <c r="AM398" s="596"/>
      <c r="AN398" s="623"/>
      <c r="BS398" s="596"/>
      <c r="BT398" s="596"/>
      <c r="BY398" s="596"/>
      <c r="BZ398" s="596"/>
      <c r="CA398" s="596"/>
      <c r="CB398" s="596"/>
      <c r="CC398" s="596"/>
    </row>
    <row r="399" spans="1:81" s="576" customFormat="1" ht="12.75" customHeight="1">
      <c r="A399" s="562"/>
      <c r="B399" s="14"/>
      <c r="C399" s="769"/>
      <c r="D399" s="753"/>
      <c r="E399" s="750"/>
      <c r="F399" s="753"/>
      <c r="G399" s="752"/>
      <c r="H399" s="752"/>
      <c r="I399" s="752"/>
      <c r="J399" s="752"/>
      <c r="K399" s="752"/>
      <c r="L399" s="752"/>
      <c r="M399" s="752"/>
      <c r="N399" s="752"/>
      <c r="O399" s="752"/>
      <c r="P399" s="752"/>
      <c r="Q399" s="752"/>
      <c r="R399" s="752"/>
      <c r="S399" s="752"/>
      <c r="T399" s="752"/>
      <c r="U399" s="752"/>
      <c r="V399" s="752"/>
      <c r="W399" s="752"/>
      <c r="X399" s="752"/>
      <c r="Y399" s="752"/>
      <c r="Z399" s="752"/>
      <c r="AA399" s="752"/>
      <c r="AB399" s="752"/>
      <c r="AC399" s="752"/>
      <c r="AD399" s="752"/>
      <c r="AE399" s="753"/>
      <c r="AF399" s="753"/>
      <c r="AG399" s="753"/>
      <c r="AH399" s="753"/>
      <c r="AI399" s="753"/>
      <c r="AJ399" s="753"/>
      <c r="AK399" s="753"/>
      <c r="AL399" s="768"/>
      <c r="AM399" s="596"/>
      <c r="AN399" s="623"/>
      <c r="BS399" s="596"/>
      <c r="BT399" s="596"/>
      <c r="BY399" s="596"/>
      <c r="BZ399" s="596"/>
      <c r="CA399" s="596"/>
      <c r="CB399" s="596"/>
      <c r="CC399" s="596"/>
    </row>
    <row r="400" spans="1:81" s="576" customFormat="1" ht="12.75" customHeight="1">
      <c r="A400" s="562"/>
      <c r="B400" s="14"/>
      <c r="C400" s="14"/>
      <c r="D400" s="14"/>
      <c r="E400" s="717"/>
      <c r="G400" s="629"/>
      <c r="H400" s="629"/>
      <c r="I400" s="629"/>
      <c r="J400" s="629"/>
      <c r="K400" s="629"/>
      <c r="L400" s="629"/>
      <c r="M400" s="629"/>
      <c r="N400" s="629"/>
      <c r="O400" s="629"/>
      <c r="P400" s="629"/>
      <c r="Q400" s="629"/>
      <c r="R400" s="629"/>
      <c r="S400" s="629"/>
      <c r="T400" s="629"/>
      <c r="U400" s="629"/>
      <c r="V400" s="629"/>
      <c r="W400" s="629"/>
      <c r="X400" s="629"/>
      <c r="Y400" s="629"/>
      <c r="Z400" s="629"/>
      <c r="AA400" s="629"/>
      <c r="AB400" s="629"/>
      <c r="AC400" s="629"/>
      <c r="AD400" s="629"/>
      <c r="AE400" s="562"/>
      <c r="AF400" s="565"/>
      <c r="AG400" s="562"/>
      <c r="AM400" s="596"/>
      <c r="AN400" s="623"/>
      <c r="BS400" s="596"/>
      <c r="BT400" s="596"/>
      <c r="BY400" s="596"/>
      <c r="BZ400" s="596"/>
      <c r="CA400" s="596"/>
      <c r="CB400" s="596"/>
      <c r="CC400" s="596"/>
    </row>
    <row r="401" spans="1:81" s="576" customFormat="1" ht="12.75" customHeight="1">
      <c r="A401" s="562"/>
      <c r="B401" s="14"/>
      <c r="C401" s="2027" t="s">
        <v>601</v>
      </c>
      <c r="D401" s="1984"/>
      <c r="E401" s="741" t="s">
        <v>1652</v>
      </c>
      <c r="F401" s="2030" t="s">
        <v>1653</v>
      </c>
      <c r="G401" s="2030"/>
      <c r="H401" s="2030"/>
      <c r="I401" s="2030"/>
      <c r="J401" s="2030"/>
      <c r="K401" s="2030"/>
      <c r="L401" s="2030"/>
      <c r="M401" s="2030"/>
      <c r="N401" s="2030"/>
      <c r="O401" s="2030"/>
      <c r="P401" s="2030"/>
      <c r="Q401" s="2030"/>
      <c r="R401" s="2030"/>
      <c r="S401" s="2030"/>
      <c r="T401" s="2030"/>
      <c r="U401" s="2030"/>
      <c r="V401" s="2030"/>
      <c r="W401" s="2030"/>
      <c r="X401" s="2030"/>
      <c r="Y401" s="2030"/>
      <c r="Z401" s="2030"/>
      <c r="AA401" s="2030"/>
      <c r="AB401" s="2030"/>
      <c r="AC401" s="2030"/>
      <c r="AD401" s="2030"/>
      <c r="AE401" s="2030"/>
      <c r="AF401" s="742"/>
      <c r="AG401" s="770"/>
      <c r="AH401" s="740"/>
      <c r="AI401" s="740"/>
      <c r="AJ401" s="740"/>
      <c r="AK401" s="740"/>
      <c r="AL401" s="771"/>
      <c r="AM401" s="596"/>
      <c r="AN401" s="623"/>
      <c r="BS401" s="596"/>
      <c r="BT401" s="596"/>
      <c r="BY401" s="596"/>
      <c r="BZ401" s="596"/>
      <c r="CA401" s="596"/>
      <c r="CB401" s="596"/>
      <c r="CC401" s="596"/>
    </row>
    <row r="402" spans="1:81" s="576" customFormat="1" ht="12.75" customHeight="1">
      <c r="A402" s="562"/>
      <c r="B402" s="14"/>
      <c r="C402" s="765"/>
      <c r="F402" s="2031"/>
      <c r="G402" s="2031"/>
      <c r="H402" s="2031"/>
      <c r="I402" s="2031"/>
      <c r="J402" s="2031"/>
      <c r="K402" s="2031"/>
      <c r="L402" s="2031"/>
      <c r="M402" s="2031"/>
      <c r="N402" s="2031"/>
      <c r="O402" s="2031"/>
      <c r="P402" s="2031"/>
      <c r="Q402" s="2031"/>
      <c r="R402" s="2031"/>
      <c r="S402" s="2031"/>
      <c r="T402" s="2031"/>
      <c r="U402" s="2031"/>
      <c r="V402" s="2031"/>
      <c r="W402" s="2031"/>
      <c r="X402" s="2031"/>
      <c r="Y402" s="2031"/>
      <c r="Z402" s="2031"/>
      <c r="AA402" s="2031"/>
      <c r="AB402" s="2031"/>
      <c r="AC402" s="2031"/>
      <c r="AD402" s="2031"/>
      <c r="AE402" s="2031"/>
      <c r="AF402" s="1954" t="s">
        <v>1639</v>
      </c>
      <c r="AG402" s="1954"/>
      <c r="AH402" s="1954"/>
      <c r="AI402" s="1954"/>
      <c r="AJ402" s="1954"/>
      <c r="AK402" s="1954"/>
      <c r="AL402" s="2032"/>
      <c r="AM402" s="596"/>
      <c r="AN402" s="623"/>
      <c r="BS402" s="596"/>
      <c r="BT402" s="596"/>
      <c r="BY402" s="596"/>
      <c r="BZ402" s="596"/>
      <c r="CA402" s="596"/>
      <c r="CB402" s="596"/>
      <c r="CC402" s="596"/>
    </row>
    <row r="403" spans="1:81" s="576" customFormat="1" ht="12.75" customHeight="1">
      <c r="A403" s="562"/>
      <c r="B403" s="14"/>
      <c r="C403" s="757"/>
      <c r="D403" s="14"/>
      <c r="E403" s="717"/>
      <c r="F403" s="2031"/>
      <c r="G403" s="2031"/>
      <c r="H403" s="2031"/>
      <c r="I403" s="2031"/>
      <c r="J403" s="2031"/>
      <c r="K403" s="2031"/>
      <c r="L403" s="2031"/>
      <c r="M403" s="2031"/>
      <c r="N403" s="2031"/>
      <c r="O403" s="2031"/>
      <c r="P403" s="2031"/>
      <c r="Q403" s="2031"/>
      <c r="R403" s="2031"/>
      <c r="S403" s="2031"/>
      <c r="T403" s="2031"/>
      <c r="U403" s="2031"/>
      <c r="V403" s="2031"/>
      <c r="W403" s="2031"/>
      <c r="X403" s="2031"/>
      <c r="Y403" s="2031"/>
      <c r="Z403" s="2031"/>
      <c r="AA403" s="2031"/>
      <c r="AB403" s="2031"/>
      <c r="AC403" s="2031"/>
      <c r="AD403" s="2031"/>
      <c r="AE403" s="2031"/>
      <c r="AL403" s="758"/>
      <c r="AM403" s="596"/>
      <c r="AN403" s="623"/>
      <c r="BS403" s="596"/>
      <c r="BT403" s="596"/>
      <c r="BU403" s="596"/>
      <c r="BV403" s="596"/>
      <c r="BW403" s="596"/>
      <c r="BX403" s="596"/>
      <c r="BY403" s="596"/>
      <c r="BZ403" s="596"/>
      <c r="CA403" s="596"/>
      <c r="CB403" s="596"/>
      <c r="CC403" s="596"/>
    </row>
    <row r="404" spans="1:81" s="576" customFormat="1" ht="12.75" customHeight="1">
      <c r="A404" s="562"/>
      <c r="B404" s="14"/>
      <c r="C404" s="766"/>
      <c r="D404" s="759"/>
      <c r="E404" s="760"/>
      <c r="F404" s="2046"/>
      <c r="G404" s="2046"/>
      <c r="H404" s="2046"/>
      <c r="I404" s="2046"/>
      <c r="J404" s="2046"/>
      <c r="K404" s="2046"/>
      <c r="L404" s="2046"/>
      <c r="M404" s="2046"/>
      <c r="N404" s="2046"/>
      <c r="O404" s="2046"/>
      <c r="P404" s="2046"/>
      <c r="Q404" s="2046"/>
      <c r="R404" s="2046"/>
      <c r="S404" s="2046"/>
      <c r="T404" s="2046"/>
      <c r="U404" s="2046"/>
      <c r="V404" s="2046"/>
      <c r="W404" s="2046"/>
      <c r="X404" s="2046"/>
      <c r="Y404" s="2046"/>
      <c r="Z404" s="2046"/>
      <c r="AA404" s="2046"/>
      <c r="AB404" s="2046"/>
      <c r="AC404" s="2046"/>
      <c r="AD404" s="2046"/>
      <c r="AE404" s="2046"/>
      <c r="AF404" s="609"/>
      <c r="AG404" s="763"/>
      <c r="AH404" s="753"/>
      <c r="AI404" s="753"/>
      <c r="AJ404" s="753"/>
      <c r="AK404" s="753"/>
      <c r="AL404" s="768"/>
      <c r="AM404" s="596"/>
      <c r="AN404" s="623"/>
    </row>
    <row r="405" spans="1:81" ht="13">
      <c r="A405" s="562"/>
      <c r="E405" s="717"/>
      <c r="F405" s="629"/>
      <c r="G405" s="629"/>
      <c r="H405" s="629"/>
      <c r="I405" s="629"/>
      <c r="J405" s="629"/>
      <c r="K405" s="629"/>
      <c r="L405" s="629"/>
      <c r="M405" s="629"/>
      <c r="N405" s="629"/>
      <c r="O405" s="629"/>
      <c r="P405" s="629"/>
      <c r="Q405" s="629"/>
      <c r="R405" s="629"/>
      <c r="S405" s="629"/>
      <c r="T405" s="629"/>
      <c r="U405" s="629"/>
      <c r="V405" s="629"/>
      <c r="W405" s="629"/>
      <c r="X405" s="629"/>
      <c r="Y405" s="629"/>
      <c r="Z405" s="629"/>
      <c r="AA405" s="629"/>
      <c r="AB405" s="629"/>
      <c r="AC405" s="629"/>
      <c r="AD405" s="629"/>
      <c r="AE405" s="562"/>
      <c r="AF405" s="565"/>
      <c r="AG405" s="562"/>
      <c r="AH405" s="576"/>
      <c r="AI405" s="576"/>
      <c r="AJ405" s="576"/>
      <c r="AK405" s="576"/>
      <c r="AL405" s="576"/>
      <c r="AM405" s="596"/>
    </row>
    <row r="406" spans="1:81" ht="12.75" customHeight="1">
      <c r="A406" s="562"/>
      <c r="C406" s="772"/>
      <c r="D406" s="773"/>
      <c r="E406" s="741" t="s">
        <v>1654</v>
      </c>
      <c r="F406" s="2030" t="s">
        <v>1655</v>
      </c>
      <c r="G406" s="2030"/>
      <c r="H406" s="2030"/>
      <c r="I406" s="2030"/>
      <c r="J406" s="2030"/>
      <c r="K406" s="2030"/>
      <c r="L406" s="2030"/>
      <c r="M406" s="2030"/>
      <c r="N406" s="2030"/>
      <c r="O406" s="2030"/>
      <c r="P406" s="2030"/>
      <c r="Q406" s="2030"/>
      <c r="R406" s="2030"/>
      <c r="S406" s="2030"/>
      <c r="T406" s="2030"/>
      <c r="U406" s="2030"/>
      <c r="V406" s="2030"/>
      <c r="W406" s="2030"/>
      <c r="X406" s="2030"/>
      <c r="Y406" s="2030"/>
      <c r="Z406" s="2030"/>
      <c r="AA406" s="2030"/>
      <c r="AB406" s="2030"/>
      <c r="AC406" s="2030"/>
      <c r="AD406" s="2030"/>
      <c r="AE406" s="2030"/>
      <c r="AF406" s="773"/>
      <c r="AG406" s="773"/>
      <c r="AH406" s="773"/>
      <c r="AI406" s="773"/>
      <c r="AJ406" s="773"/>
      <c r="AK406" s="773"/>
      <c r="AL406" s="774"/>
      <c r="AM406" s="596"/>
    </row>
    <row r="407" spans="1:81" ht="13">
      <c r="A407" s="562"/>
      <c r="C407" s="757"/>
      <c r="E407" s="717"/>
      <c r="F407" s="2031"/>
      <c r="G407" s="2031"/>
      <c r="H407" s="2031"/>
      <c r="I407" s="2031"/>
      <c r="J407" s="2031"/>
      <c r="K407" s="2031"/>
      <c r="L407" s="2031"/>
      <c r="M407" s="2031"/>
      <c r="N407" s="2031"/>
      <c r="O407" s="2031"/>
      <c r="P407" s="2031"/>
      <c r="Q407" s="2031"/>
      <c r="R407" s="2031"/>
      <c r="S407" s="2031"/>
      <c r="T407" s="2031"/>
      <c r="U407" s="2031"/>
      <c r="V407" s="2031"/>
      <c r="W407" s="2031"/>
      <c r="X407" s="2031"/>
      <c r="Y407" s="2031"/>
      <c r="Z407" s="2031"/>
      <c r="AA407" s="2031"/>
      <c r="AB407" s="2031"/>
      <c r="AC407" s="2031"/>
      <c r="AD407" s="2031"/>
      <c r="AE407" s="2031"/>
      <c r="AF407" s="565"/>
      <c r="AG407" s="562"/>
      <c r="AH407" s="576"/>
      <c r="AI407" s="576"/>
      <c r="AJ407" s="576"/>
      <c r="AK407" s="576"/>
      <c r="AL407" s="758"/>
      <c r="AM407" s="596"/>
    </row>
    <row r="408" spans="1:81" s="576" customFormat="1" ht="12.75" customHeight="1">
      <c r="A408" s="562"/>
      <c r="B408" s="14"/>
      <c r="C408" s="757"/>
      <c r="D408" s="14"/>
      <c r="E408" s="717"/>
      <c r="F408" s="2031"/>
      <c r="G408" s="2031"/>
      <c r="H408" s="2031"/>
      <c r="I408" s="2031"/>
      <c r="J408" s="2031"/>
      <c r="K408" s="2031"/>
      <c r="L408" s="2031"/>
      <c r="M408" s="2031"/>
      <c r="N408" s="2031"/>
      <c r="O408" s="2031"/>
      <c r="P408" s="2031"/>
      <c r="Q408" s="2031"/>
      <c r="R408" s="2031"/>
      <c r="S408" s="2031"/>
      <c r="T408" s="2031"/>
      <c r="U408" s="2031"/>
      <c r="V408" s="2031"/>
      <c r="W408" s="2031"/>
      <c r="X408" s="2031"/>
      <c r="Y408" s="2031"/>
      <c r="Z408" s="2031"/>
      <c r="AA408" s="2031"/>
      <c r="AB408" s="2031"/>
      <c r="AC408" s="2031"/>
      <c r="AD408" s="2031"/>
      <c r="AE408" s="2031"/>
      <c r="AL408" s="758"/>
      <c r="AM408" s="596"/>
      <c r="AN408" s="623"/>
    </row>
    <row r="409" spans="1:81" s="576" customFormat="1" ht="12.75" customHeight="1">
      <c r="A409" s="562"/>
      <c r="B409" s="14"/>
      <c r="C409" s="765"/>
      <c r="F409" s="2031"/>
      <c r="G409" s="2031"/>
      <c r="H409" s="2031"/>
      <c r="I409" s="2031"/>
      <c r="J409" s="2031"/>
      <c r="K409" s="2031"/>
      <c r="L409" s="2031"/>
      <c r="M409" s="2031"/>
      <c r="N409" s="2031"/>
      <c r="O409" s="2031"/>
      <c r="P409" s="2031"/>
      <c r="Q409" s="2031"/>
      <c r="R409" s="2031"/>
      <c r="S409" s="2031"/>
      <c r="T409" s="2031"/>
      <c r="U409" s="2031"/>
      <c r="V409" s="2031"/>
      <c r="W409" s="2031"/>
      <c r="X409" s="2031"/>
      <c r="Y409" s="2031"/>
      <c r="Z409" s="2031"/>
      <c r="AA409" s="2031"/>
      <c r="AB409" s="2031"/>
      <c r="AC409" s="2031"/>
      <c r="AD409" s="2031"/>
      <c r="AE409" s="2031"/>
      <c r="AL409" s="758"/>
      <c r="AM409" s="596"/>
      <c r="AN409" s="623"/>
    </row>
    <row r="410" spans="1:81" s="576" customFormat="1" ht="12.75" customHeight="1">
      <c r="A410" s="562"/>
      <c r="B410" s="14"/>
      <c r="C410" s="2027" t="s">
        <v>601</v>
      </c>
      <c r="D410" s="1984"/>
      <c r="E410" s="717"/>
      <c r="F410" s="747" t="s">
        <v>1656</v>
      </c>
      <c r="G410" s="629"/>
      <c r="H410" s="629"/>
      <c r="I410" s="629"/>
      <c r="J410" s="629"/>
      <c r="K410" s="629"/>
      <c r="L410" s="629"/>
      <c r="M410" s="629"/>
      <c r="N410" s="629"/>
      <c r="O410" s="629"/>
      <c r="P410" s="629"/>
      <c r="Q410" s="629"/>
      <c r="R410" s="629"/>
      <c r="S410" s="629"/>
      <c r="T410" s="629"/>
      <c r="U410" s="629"/>
      <c r="V410" s="629"/>
      <c r="W410" s="629"/>
      <c r="X410" s="629"/>
      <c r="Y410" s="629"/>
      <c r="Z410" s="629"/>
      <c r="AA410" s="629"/>
      <c r="AB410" s="629"/>
      <c r="AC410" s="629"/>
      <c r="AD410" s="629"/>
      <c r="AF410" s="1954" t="s">
        <v>1639</v>
      </c>
      <c r="AG410" s="1954"/>
      <c r="AH410" s="1954"/>
      <c r="AI410" s="1954"/>
      <c r="AJ410" s="1954"/>
      <c r="AK410" s="1954"/>
      <c r="AL410" s="2032"/>
      <c r="AM410" s="596"/>
      <c r="AN410" s="623"/>
    </row>
    <row r="411" spans="1:81" s="576" customFormat="1" ht="12.75" customHeight="1">
      <c r="A411" s="562"/>
      <c r="B411" s="14"/>
      <c r="C411" s="765"/>
      <c r="AL411" s="758"/>
      <c r="AM411" s="596"/>
      <c r="AN411" s="623"/>
    </row>
    <row r="412" spans="1:81" s="576" customFormat="1" ht="12.75" customHeight="1">
      <c r="A412" s="562"/>
      <c r="B412" s="14"/>
      <c r="C412" s="2027" t="s">
        <v>601</v>
      </c>
      <c r="D412" s="1984"/>
      <c r="E412" s="745"/>
      <c r="F412" s="747" t="s">
        <v>1657</v>
      </c>
      <c r="G412" s="629"/>
      <c r="H412" s="629"/>
      <c r="I412" s="629"/>
      <c r="J412" s="629"/>
      <c r="K412" s="629"/>
      <c r="L412" s="629"/>
      <c r="M412" s="629"/>
      <c r="N412" s="629"/>
      <c r="O412" s="629"/>
      <c r="P412" s="629"/>
      <c r="Q412" s="629"/>
      <c r="R412" s="629"/>
      <c r="S412" s="629"/>
      <c r="T412" s="629"/>
      <c r="U412" s="629"/>
      <c r="V412" s="629"/>
      <c r="W412" s="629"/>
      <c r="X412" s="629"/>
      <c r="Y412" s="629"/>
      <c r="Z412" s="629"/>
      <c r="AA412" s="629"/>
      <c r="AB412" s="629"/>
      <c r="AC412" s="629"/>
      <c r="AD412" s="629"/>
      <c r="AF412" s="1954" t="s">
        <v>1651</v>
      </c>
      <c r="AG412" s="1954"/>
      <c r="AH412" s="1954"/>
      <c r="AI412" s="1954"/>
      <c r="AJ412" s="1954"/>
      <c r="AK412" s="1954"/>
      <c r="AL412" s="2032"/>
      <c r="AM412" s="596"/>
      <c r="AN412" s="623"/>
      <c r="AO412" s="622"/>
      <c r="AP412" s="622"/>
      <c r="BC412" s="14"/>
    </row>
    <row r="413" spans="1:81" s="576" customFormat="1" ht="12.75" customHeight="1">
      <c r="A413" s="562"/>
      <c r="B413" s="14"/>
      <c r="C413" s="759"/>
      <c r="D413" s="759"/>
      <c r="E413" s="760"/>
      <c r="F413" s="751"/>
      <c r="G413" s="752"/>
      <c r="H413" s="752"/>
      <c r="I413" s="752"/>
      <c r="J413" s="752"/>
      <c r="K413" s="752"/>
      <c r="L413" s="752"/>
      <c r="M413" s="752"/>
      <c r="N413" s="752"/>
      <c r="O413" s="752"/>
      <c r="P413" s="752"/>
      <c r="Q413" s="752"/>
      <c r="R413" s="752"/>
      <c r="S413" s="752"/>
      <c r="T413" s="752"/>
      <c r="U413" s="752"/>
      <c r="V413" s="752"/>
      <c r="W413" s="752"/>
      <c r="X413" s="752"/>
      <c r="Y413" s="752"/>
      <c r="Z413" s="752"/>
      <c r="AA413" s="752"/>
      <c r="AB413" s="752"/>
      <c r="AC413" s="752"/>
      <c r="AD413" s="752"/>
      <c r="AE413" s="763"/>
      <c r="AF413" s="609"/>
      <c r="AG413" s="763"/>
      <c r="AH413" s="753"/>
      <c r="AI413" s="753"/>
      <c r="AJ413" s="753"/>
      <c r="AK413" s="753"/>
      <c r="AL413" s="775"/>
      <c r="AM413" s="596"/>
      <c r="AN413" s="623"/>
    </row>
    <row r="414" spans="1:81" s="576" customFormat="1" ht="12.75" customHeight="1">
      <c r="A414" s="562"/>
      <c r="B414" s="14"/>
      <c r="C414" s="14"/>
      <c r="D414" s="14"/>
      <c r="E414" s="717"/>
      <c r="F414" s="747"/>
      <c r="G414" s="629"/>
      <c r="H414" s="629"/>
      <c r="I414" s="629"/>
      <c r="J414" s="629"/>
      <c r="K414" s="629"/>
      <c r="L414" s="629"/>
      <c r="M414" s="629"/>
      <c r="N414" s="629"/>
      <c r="O414" s="629"/>
      <c r="P414" s="629"/>
      <c r="Q414" s="629"/>
      <c r="R414" s="629"/>
      <c r="S414" s="629"/>
      <c r="T414" s="629"/>
      <c r="U414" s="629"/>
      <c r="V414" s="629"/>
      <c r="W414" s="629"/>
      <c r="X414" s="629"/>
      <c r="Y414" s="629"/>
      <c r="Z414" s="629"/>
      <c r="AA414" s="629"/>
      <c r="AB414" s="629"/>
      <c r="AC414" s="629"/>
      <c r="AD414" s="629"/>
      <c r="AE414" s="562"/>
      <c r="AF414" s="565"/>
      <c r="AG414" s="562"/>
      <c r="AM414" s="596"/>
      <c r="AN414" s="623"/>
    </row>
    <row r="415" spans="1:81" s="576" customFormat="1" ht="12.75" customHeight="1">
      <c r="A415" s="562"/>
      <c r="B415" s="14"/>
      <c r="C415" s="738" t="s">
        <v>1658</v>
      </c>
      <c r="D415" s="14"/>
      <c r="E415" s="717"/>
      <c r="F415" s="629"/>
      <c r="G415" s="629"/>
      <c r="H415" s="629"/>
      <c r="I415" s="629"/>
      <c r="J415" s="629"/>
      <c r="K415" s="629"/>
      <c r="L415" s="629"/>
      <c r="M415" s="629"/>
      <c r="N415" s="629"/>
      <c r="O415" s="629"/>
      <c r="P415" s="629"/>
      <c r="Q415" s="629"/>
      <c r="R415" s="629"/>
      <c r="S415" s="629"/>
      <c r="T415" s="629"/>
      <c r="U415" s="629"/>
      <c r="V415" s="629"/>
      <c r="W415" s="629"/>
      <c r="X415" s="629"/>
      <c r="Y415" s="629"/>
      <c r="Z415" s="629"/>
      <c r="AA415" s="629"/>
      <c r="AB415" s="629"/>
      <c r="AC415" s="629"/>
      <c r="AD415" s="629"/>
      <c r="AE415" s="562"/>
      <c r="AF415" s="565"/>
      <c r="AG415" s="562"/>
      <c r="AM415" s="596"/>
      <c r="AN415" s="623"/>
    </row>
    <row r="416" spans="1:81" s="576" customFormat="1" ht="12.75" customHeight="1">
      <c r="A416" s="562"/>
      <c r="B416" s="14"/>
      <c r="C416" s="739"/>
      <c r="D416" s="740"/>
      <c r="E416" s="741" t="s">
        <v>1659</v>
      </c>
      <c r="F416" s="2030" t="s">
        <v>1660</v>
      </c>
      <c r="G416" s="2030"/>
      <c r="H416" s="2030"/>
      <c r="I416" s="2030"/>
      <c r="J416" s="2030"/>
      <c r="K416" s="2030"/>
      <c r="L416" s="2030"/>
      <c r="M416" s="2030"/>
      <c r="N416" s="2030"/>
      <c r="O416" s="2030"/>
      <c r="P416" s="2030"/>
      <c r="Q416" s="2030"/>
      <c r="R416" s="2030"/>
      <c r="S416" s="2030"/>
      <c r="T416" s="2030"/>
      <c r="U416" s="2030"/>
      <c r="V416" s="2030"/>
      <c r="W416" s="2030"/>
      <c r="X416" s="2030"/>
      <c r="Y416" s="2030"/>
      <c r="Z416" s="2030"/>
      <c r="AA416" s="2030"/>
      <c r="AB416" s="2030"/>
      <c r="AC416" s="2030"/>
      <c r="AD416" s="2030"/>
      <c r="AE416" s="2030"/>
      <c r="AF416" s="740"/>
      <c r="AG416" s="740"/>
      <c r="AH416" s="740"/>
      <c r="AI416" s="740"/>
      <c r="AJ416" s="740"/>
      <c r="AK416" s="740"/>
      <c r="AL416" s="771"/>
      <c r="AM416" s="596"/>
      <c r="AN416" s="623"/>
    </row>
    <row r="417" spans="1:60" s="576" customFormat="1" ht="12.75" customHeight="1">
      <c r="A417" s="562"/>
      <c r="B417" s="14"/>
      <c r="C417" s="757"/>
      <c r="D417" s="14"/>
      <c r="E417" s="717"/>
      <c r="F417" s="2031"/>
      <c r="G417" s="2031"/>
      <c r="H417" s="2031"/>
      <c r="I417" s="2031"/>
      <c r="J417" s="2031"/>
      <c r="K417" s="2031"/>
      <c r="L417" s="2031"/>
      <c r="M417" s="2031"/>
      <c r="N417" s="2031"/>
      <c r="O417" s="2031"/>
      <c r="P417" s="2031"/>
      <c r="Q417" s="2031"/>
      <c r="R417" s="2031"/>
      <c r="S417" s="2031"/>
      <c r="T417" s="2031"/>
      <c r="U417" s="2031"/>
      <c r="V417" s="2031"/>
      <c r="W417" s="2031"/>
      <c r="X417" s="2031"/>
      <c r="Y417" s="2031"/>
      <c r="Z417" s="2031"/>
      <c r="AA417" s="2031"/>
      <c r="AB417" s="2031"/>
      <c r="AC417" s="2031"/>
      <c r="AD417" s="2031"/>
      <c r="AE417" s="2031"/>
      <c r="AF417" s="565"/>
      <c r="AG417" s="562"/>
      <c r="AL417" s="758"/>
      <c r="AM417" s="596"/>
      <c r="AN417" s="623"/>
    </row>
    <row r="418" spans="1:60" s="576" customFormat="1" ht="12.5" customHeight="1">
      <c r="A418" s="562"/>
      <c r="B418" s="14"/>
      <c r="C418" s="757"/>
      <c r="D418" s="14"/>
      <c r="E418" s="717"/>
      <c r="F418" s="2031"/>
      <c r="G418" s="2031"/>
      <c r="H418" s="2031"/>
      <c r="I418" s="2031"/>
      <c r="J418" s="2031"/>
      <c r="K418" s="2031"/>
      <c r="L418" s="2031"/>
      <c r="M418" s="2031"/>
      <c r="N418" s="2031"/>
      <c r="O418" s="2031"/>
      <c r="P418" s="2031"/>
      <c r="Q418" s="2031"/>
      <c r="R418" s="2031"/>
      <c r="S418" s="2031"/>
      <c r="T418" s="2031"/>
      <c r="U418" s="2031"/>
      <c r="V418" s="2031"/>
      <c r="W418" s="2031"/>
      <c r="X418" s="2031"/>
      <c r="Y418" s="2031"/>
      <c r="Z418" s="2031"/>
      <c r="AA418" s="2031"/>
      <c r="AB418" s="2031"/>
      <c r="AC418" s="2031"/>
      <c r="AD418" s="2031"/>
      <c r="AE418" s="2031"/>
      <c r="AL418" s="758"/>
      <c r="AM418" s="596"/>
      <c r="AN418" s="623"/>
    </row>
    <row r="419" spans="1:60" s="576" customFormat="1" ht="12.75" customHeight="1">
      <c r="A419" s="562"/>
      <c r="B419" s="14"/>
      <c r="C419" s="2027" t="s">
        <v>601</v>
      </c>
      <c r="D419" s="1984"/>
      <c r="E419" s="717"/>
      <c r="F419" s="747" t="s">
        <v>1661</v>
      </c>
      <c r="G419" s="776"/>
      <c r="H419" s="776"/>
      <c r="I419" s="776"/>
      <c r="J419" s="776"/>
      <c r="K419" s="776"/>
      <c r="L419" s="776"/>
      <c r="M419" s="776"/>
      <c r="N419" s="776"/>
      <c r="O419" s="776"/>
      <c r="P419" s="776"/>
      <c r="Q419" s="776"/>
      <c r="R419" s="776"/>
      <c r="S419" s="776"/>
      <c r="T419" s="776"/>
      <c r="U419" s="776"/>
      <c r="V419" s="776"/>
      <c r="W419" s="776"/>
      <c r="X419" s="776"/>
      <c r="Y419" s="776"/>
      <c r="Z419" s="776"/>
      <c r="AA419" s="776"/>
      <c r="AB419" s="776"/>
      <c r="AC419" s="776"/>
      <c r="AD419" s="776"/>
      <c r="AF419" s="1954" t="s">
        <v>1639</v>
      </c>
      <c r="AG419" s="1954"/>
      <c r="AH419" s="1954"/>
      <c r="AI419" s="1954"/>
      <c r="AJ419" s="1954"/>
      <c r="AK419" s="1954"/>
      <c r="AL419" s="2032"/>
      <c r="AM419" s="596"/>
      <c r="AN419" s="623"/>
    </row>
    <row r="420" spans="1:60" s="576" customFormat="1" ht="12.75" customHeight="1">
      <c r="A420" s="562"/>
      <c r="B420" s="14"/>
      <c r="C420" s="769"/>
      <c r="D420" s="753"/>
      <c r="E420" s="750"/>
      <c r="F420" s="767"/>
      <c r="G420" s="752"/>
      <c r="H420" s="752"/>
      <c r="I420" s="752"/>
      <c r="J420" s="752"/>
      <c r="K420" s="752"/>
      <c r="L420" s="752"/>
      <c r="M420" s="752"/>
      <c r="N420" s="752"/>
      <c r="O420" s="752"/>
      <c r="P420" s="752"/>
      <c r="Q420" s="752"/>
      <c r="R420" s="752"/>
      <c r="S420" s="752"/>
      <c r="T420" s="752"/>
      <c r="U420" s="752"/>
      <c r="V420" s="752"/>
      <c r="W420" s="752"/>
      <c r="X420" s="752"/>
      <c r="Y420" s="752"/>
      <c r="Z420" s="752"/>
      <c r="AA420" s="752"/>
      <c r="AB420" s="752"/>
      <c r="AC420" s="752"/>
      <c r="AD420" s="752"/>
      <c r="AE420" s="753"/>
      <c r="AF420" s="753"/>
      <c r="AG420" s="753"/>
      <c r="AH420" s="753"/>
      <c r="AI420" s="753"/>
      <c r="AJ420" s="753"/>
      <c r="AK420" s="753"/>
      <c r="AL420" s="768"/>
      <c r="AM420" s="596"/>
      <c r="AN420" s="623"/>
    </row>
    <row r="421" spans="1:60" s="576" customFormat="1" ht="12.75" customHeight="1">
      <c r="A421" s="562"/>
      <c r="B421" s="14"/>
      <c r="C421" s="756"/>
      <c r="D421" s="756"/>
      <c r="E421" s="745"/>
      <c r="F421" s="747"/>
      <c r="G421" s="629"/>
      <c r="H421" s="629"/>
      <c r="I421" s="629"/>
      <c r="J421" s="629"/>
      <c r="K421" s="629"/>
      <c r="L421" s="629"/>
      <c r="M421" s="629"/>
      <c r="N421" s="629"/>
      <c r="O421" s="629"/>
      <c r="P421" s="629"/>
      <c r="Q421" s="629"/>
      <c r="R421" s="629"/>
      <c r="S421" s="629"/>
      <c r="T421" s="629"/>
      <c r="U421" s="629"/>
      <c r="V421" s="629"/>
      <c r="W421" s="629"/>
      <c r="X421" s="629"/>
      <c r="Y421" s="629"/>
      <c r="Z421" s="629"/>
      <c r="AA421" s="629"/>
      <c r="AB421" s="629"/>
      <c r="AC421" s="629"/>
      <c r="AD421" s="629"/>
      <c r="AE421" s="562"/>
      <c r="AM421" s="596"/>
      <c r="AN421" s="623"/>
    </row>
    <row r="422" spans="1:60" ht="13.25" customHeight="1">
      <c r="A422" s="562"/>
      <c r="C422" s="772"/>
      <c r="D422" s="773"/>
      <c r="E422" s="741" t="s">
        <v>1662</v>
      </c>
      <c r="F422" s="2030" t="s">
        <v>1663</v>
      </c>
      <c r="G422" s="2030"/>
      <c r="H422" s="2030"/>
      <c r="I422" s="2030"/>
      <c r="J422" s="2030"/>
      <c r="K422" s="2030"/>
      <c r="L422" s="2030"/>
      <c r="M422" s="2030"/>
      <c r="N422" s="2030"/>
      <c r="O422" s="2030"/>
      <c r="P422" s="2030"/>
      <c r="Q422" s="2030"/>
      <c r="R422" s="2030"/>
      <c r="S422" s="2030"/>
      <c r="T422" s="2030"/>
      <c r="U422" s="2030"/>
      <c r="V422" s="2030"/>
      <c r="W422" s="2030"/>
      <c r="X422" s="2030"/>
      <c r="Y422" s="2030"/>
      <c r="Z422" s="2030"/>
      <c r="AA422" s="2030"/>
      <c r="AB422" s="2030"/>
      <c r="AC422" s="2030"/>
      <c r="AD422" s="2030"/>
      <c r="AE422" s="2030"/>
      <c r="AF422" s="773"/>
      <c r="AG422" s="773"/>
      <c r="AH422" s="773"/>
      <c r="AI422" s="773"/>
      <c r="AJ422" s="773"/>
      <c r="AK422" s="773"/>
      <c r="AL422" s="774"/>
      <c r="AM422" s="596"/>
      <c r="AO422" s="576"/>
      <c r="AP422" s="576"/>
      <c r="BD422" s="14"/>
      <c r="BE422" s="14"/>
      <c r="BF422" s="14"/>
      <c r="BG422" s="14"/>
      <c r="BH422" s="14"/>
    </row>
    <row r="423" spans="1:60" ht="13">
      <c r="A423" s="562"/>
      <c r="C423" s="757"/>
      <c r="E423" s="717"/>
      <c r="F423" s="2031"/>
      <c r="G423" s="2031"/>
      <c r="H423" s="2031"/>
      <c r="I423" s="2031"/>
      <c r="J423" s="2031"/>
      <c r="K423" s="2031"/>
      <c r="L423" s="2031"/>
      <c r="M423" s="2031"/>
      <c r="N423" s="2031"/>
      <c r="O423" s="2031"/>
      <c r="P423" s="2031"/>
      <c r="Q423" s="2031"/>
      <c r="R423" s="2031"/>
      <c r="S423" s="2031"/>
      <c r="T423" s="2031"/>
      <c r="U423" s="2031"/>
      <c r="V423" s="2031"/>
      <c r="W423" s="2031"/>
      <c r="X423" s="2031"/>
      <c r="Y423" s="2031"/>
      <c r="Z423" s="2031"/>
      <c r="AA423" s="2031"/>
      <c r="AB423" s="2031"/>
      <c r="AC423" s="2031"/>
      <c r="AD423" s="2031"/>
      <c r="AE423" s="2031"/>
      <c r="AF423" s="620"/>
      <c r="AG423" s="620"/>
      <c r="AH423" s="620"/>
      <c r="AI423" s="620"/>
      <c r="AJ423" s="620"/>
      <c r="AK423" s="620"/>
      <c r="AL423" s="777"/>
      <c r="AM423" s="596"/>
      <c r="AO423" s="576"/>
      <c r="AP423" s="576"/>
    </row>
    <row r="424" spans="1:60" s="576" customFormat="1" ht="12.75" customHeight="1">
      <c r="A424" s="562"/>
      <c r="B424" s="14"/>
      <c r="C424" s="757"/>
      <c r="D424" s="14"/>
      <c r="E424" s="717"/>
      <c r="F424" s="2031"/>
      <c r="G424" s="2031"/>
      <c r="H424" s="2031"/>
      <c r="I424" s="2031"/>
      <c r="J424" s="2031"/>
      <c r="K424" s="2031"/>
      <c r="L424" s="2031"/>
      <c r="M424" s="2031"/>
      <c r="N424" s="2031"/>
      <c r="O424" s="2031"/>
      <c r="P424" s="2031"/>
      <c r="Q424" s="2031"/>
      <c r="R424" s="2031"/>
      <c r="S424" s="2031"/>
      <c r="T424" s="2031"/>
      <c r="U424" s="2031"/>
      <c r="V424" s="2031"/>
      <c r="W424" s="2031"/>
      <c r="X424" s="2031"/>
      <c r="Y424" s="2031"/>
      <c r="Z424" s="2031"/>
      <c r="AA424" s="2031"/>
      <c r="AB424" s="2031"/>
      <c r="AC424" s="2031"/>
      <c r="AD424" s="2031"/>
      <c r="AE424" s="2031"/>
      <c r="AF424" s="620"/>
      <c r="AG424" s="620"/>
      <c r="AH424" s="620"/>
      <c r="AI424" s="620"/>
      <c r="AJ424" s="620"/>
      <c r="AK424" s="620"/>
      <c r="AL424" s="777"/>
      <c r="AM424" s="596"/>
      <c r="AN424" s="623"/>
    </row>
    <row r="425" spans="1:60" s="576" customFormat="1" ht="12.75" customHeight="1">
      <c r="A425" s="562"/>
      <c r="B425" s="14"/>
      <c r="C425" s="778"/>
      <c r="D425" s="756"/>
      <c r="E425" s="745"/>
      <c r="F425" s="2031"/>
      <c r="G425" s="2031"/>
      <c r="H425" s="2031"/>
      <c r="I425" s="2031"/>
      <c r="J425" s="2031"/>
      <c r="K425" s="2031"/>
      <c r="L425" s="2031"/>
      <c r="M425" s="2031"/>
      <c r="N425" s="2031"/>
      <c r="O425" s="2031"/>
      <c r="P425" s="2031"/>
      <c r="Q425" s="2031"/>
      <c r="R425" s="2031"/>
      <c r="S425" s="2031"/>
      <c r="T425" s="2031"/>
      <c r="U425" s="2031"/>
      <c r="V425" s="2031"/>
      <c r="W425" s="2031"/>
      <c r="X425" s="2031"/>
      <c r="Y425" s="2031"/>
      <c r="Z425" s="2031"/>
      <c r="AA425" s="2031"/>
      <c r="AB425" s="2031"/>
      <c r="AC425" s="2031"/>
      <c r="AD425" s="2031"/>
      <c r="AE425" s="2031"/>
      <c r="AF425" s="620"/>
      <c r="AG425" s="620"/>
      <c r="AH425" s="620"/>
      <c r="AI425" s="620"/>
      <c r="AJ425" s="620"/>
      <c r="AK425" s="620"/>
      <c r="AL425" s="777"/>
      <c r="AM425" s="596"/>
      <c r="AN425" s="623"/>
      <c r="AO425" s="30"/>
      <c r="AP425" s="14"/>
    </row>
    <row r="426" spans="1:60" s="576" customFormat="1" ht="12.75" customHeight="1">
      <c r="A426" s="562"/>
      <c r="B426" s="14"/>
      <c r="C426" s="778"/>
      <c r="D426" s="756"/>
      <c r="E426" s="745"/>
      <c r="F426" s="2031"/>
      <c r="G426" s="2031"/>
      <c r="H426" s="2031"/>
      <c r="I426" s="2031"/>
      <c r="J426" s="2031"/>
      <c r="K426" s="2031"/>
      <c r="L426" s="2031"/>
      <c r="M426" s="2031"/>
      <c r="N426" s="2031"/>
      <c r="O426" s="2031"/>
      <c r="P426" s="2031"/>
      <c r="Q426" s="2031"/>
      <c r="R426" s="2031"/>
      <c r="S426" s="2031"/>
      <c r="T426" s="2031"/>
      <c r="U426" s="2031"/>
      <c r="V426" s="2031"/>
      <c r="W426" s="2031"/>
      <c r="X426" s="2031"/>
      <c r="Y426" s="2031"/>
      <c r="Z426" s="2031"/>
      <c r="AA426" s="2031"/>
      <c r="AB426" s="2031"/>
      <c r="AC426" s="2031"/>
      <c r="AD426" s="2031"/>
      <c r="AE426" s="2031"/>
      <c r="AF426" s="620"/>
      <c r="AG426" s="620"/>
      <c r="AH426" s="620"/>
      <c r="AI426" s="620"/>
      <c r="AJ426" s="620"/>
      <c r="AK426" s="620"/>
      <c r="AL426" s="777"/>
      <c r="AM426" s="596"/>
      <c r="AN426" s="623"/>
    </row>
    <row r="427" spans="1:60" s="576" customFormat="1" ht="12.75" customHeight="1">
      <c r="A427" s="562"/>
      <c r="B427" s="14"/>
      <c r="C427" s="778"/>
      <c r="D427" s="756"/>
      <c r="E427" s="745"/>
      <c r="F427" s="2031"/>
      <c r="G427" s="2031"/>
      <c r="H427" s="2031"/>
      <c r="I427" s="2031"/>
      <c r="J427" s="2031"/>
      <c r="K427" s="2031"/>
      <c r="L427" s="2031"/>
      <c r="M427" s="2031"/>
      <c r="N427" s="2031"/>
      <c r="O427" s="2031"/>
      <c r="P427" s="2031"/>
      <c r="Q427" s="2031"/>
      <c r="R427" s="2031"/>
      <c r="S427" s="2031"/>
      <c r="T427" s="2031"/>
      <c r="U427" s="2031"/>
      <c r="V427" s="2031"/>
      <c r="W427" s="2031"/>
      <c r="X427" s="2031"/>
      <c r="Y427" s="2031"/>
      <c r="Z427" s="2031"/>
      <c r="AA427" s="2031"/>
      <c r="AB427" s="2031"/>
      <c r="AC427" s="2031"/>
      <c r="AD427" s="2031"/>
      <c r="AE427" s="2031"/>
      <c r="AF427" s="620"/>
      <c r="AG427" s="620"/>
      <c r="AH427" s="620"/>
      <c r="AI427" s="620"/>
      <c r="AJ427" s="620"/>
      <c r="AK427" s="620"/>
      <c r="AL427" s="777"/>
      <c r="AM427" s="596"/>
      <c r="AN427" s="623"/>
    </row>
    <row r="428" spans="1:60" s="576" customFormat="1" ht="12.75" customHeight="1">
      <c r="A428" s="562"/>
      <c r="B428" s="14"/>
      <c r="C428" s="778"/>
      <c r="D428" s="756"/>
      <c r="E428" s="745"/>
      <c r="F428" s="2031"/>
      <c r="G428" s="2031"/>
      <c r="H428" s="2031"/>
      <c r="I428" s="2031"/>
      <c r="J428" s="2031"/>
      <c r="K428" s="2031"/>
      <c r="L428" s="2031"/>
      <c r="M428" s="2031"/>
      <c r="N428" s="2031"/>
      <c r="O428" s="2031"/>
      <c r="P428" s="2031"/>
      <c r="Q428" s="2031"/>
      <c r="R428" s="2031"/>
      <c r="S428" s="2031"/>
      <c r="T428" s="2031"/>
      <c r="U428" s="2031"/>
      <c r="V428" s="2031"/>
      <c r="W428" s="2031"/>
      <c r="X428" s="2031"/>
      <c r="Y428" s="2031"/>
      <c r="Z428" s="2031"/>
      <c r="AA428" s="2031"/>
      <c r="AB428" s="2031"/>
      <c r="AC428" s="2031"/>
      <c r="AD428" s="2031"/>
      <c r="AE428" s="2031"/>
      <c r="AF428" s="620"/>
      <c r="AG428" s="620"/>
      <c r="AH428" s="620"/>
      <c r="AI428" s="620"/>
      <c r="AJ428" s="620"/>
      <c r="AK428" s="620"/>
      <c r="AL428" s="777"/>
      <c r="AM428" s="596"/>
      <c r="AN428" s="623"/>
    </row>
    <row r="429" spans="1:60" s="576" customFormat="1" ht="12.75" customHeight="1">
      <c r="A429" s="562"/>
      <c r="B429" s="14"/>
      <c r="C429" s="778"/>
      <c r="D429" s="756"/>
      <c r="E429" s="745"/>
      <c r="F429" s="2031"/>
      <c r="G429" s="2031"/>
      <c r="H429" s="2031"/>
      <c r="I429" s="2031"/>
      <c r="J429" s="2031"/>
      <c r="K429" s="2031"/>
      <c r="L429" s="2031"/>
      <c r="M429" s="2031"/>
      <c r="N429" s="2031"/>
      <c r="O429" s="2031"/>
      <c r="P429" s="2031"/>
      <c r="Q429" s="2031"/>
      <c r="R429" s="2031"/>
      <c r="S429" s="2031"/>
      <c r="T429" s="2031"/>
      <c r="U429" s="2031"/>
      <c r="V429" s="2031"/>
      <c r="W429" s="2031"/>
      <c r="X429" s="2031"/>
      <c r="Y429" s="2031"/>
      <c r="Z429" s="2031"/>
      <c r="AA429" s="2031"/>
      <c r="AB429" s="2031"/>
      <c r="AC429" s="2031"/>
      <c r="AD429" s="2031"/>
      <c r="AE429" s="2031"/>
      <c r="AF429" s="620"/>
      <c r="AG429" s="620"/>
      <c r="AH429" s="620"/>
      <c r="AI429" s="620"/>
      <c r="AJ429" s="620"/>
      <c r="AK429" s="620"/>
      <c r="AL429" s="777"/>
      <c r="AM429" s="596"/>
      <c r="AN429" s="623"/>
    </row>
    <row r="430" spans="1:60" s="576" customFormat="1" ht="17.25" customHeight="1">
      <c r="A430" s="562"/>
      <c r="B430" s="14"/>
      <c r="C430" s="778"/>
      <c r="D430" s="756"/>
      <c r="E430" s="745"/>
      <c r="F430" s="2031"/>
      <c r="G430" s="2031"/>
      <c r="H430" s="2031"/>
      <c r="I430" s="2031"/>
      <c r="J430" s="2031"/>
      <c r="K430" s="2031"/>
      <c r="L430" s="2031"/>
      <c r="M430" s="2031"/>
      <c r="N430" s="2031"/>
      <c r="O430" s="2031"/>
      <c r="P430" s="2031"/>
      <c r="Q430" s="2031"/>
      <c r="R430" s="2031"/>
      <c r="S430" s="2031"/>
      <c r="T430" s="2031"/>
      <c r="U430" s="2031"/>
      <c r="V430" s="2031"/>
      <c r="W430" s="2031"/>
      <c r="X430" s="2031"/>
      <c r="Y430" s="2031"/>
      <c r="Z430" s="2031"/>
      <c r="AA430" s="2031"/>
      <c r="AB430" s="2031"/>
      <c r="AC430" s="2031"/>
      <c r="AD430" s="2031"/>
      <c r="AE430" s="2031"/>
      <c r="AL430" s="758"/>
      <c r="AM430" s="596"/>
      <c r="AN430" s="623"/>
    </row>
    <row r="431" spans="1:60" s="576" customFormat="1" ht="12.75" customHeight="1">
      <c r="A431" s="562"/>
      <c r="B431" s="14"/>
      <c r="C431" s="2027" t="s">
        <v>601</v>
      </c>
      <c r="D431" s="1984"/>
      <c r="E431" s="745"/>
      <c r="F431" s="622" t="s">
        <v>1664</v>
      </c>
      <c r="G431" s="702"/>
      <c r="H431" s="702"/>
      <c r="I431" s="702"/>
      <c r="J431" s="702"/>
      <c r="K431" s="702"/>
      <c r="L431" s="702"/>
      <c r="M431" s="702"/>
      <c r="N431" s="702"/>
      <c r="O431" s="702"/>
      <c r="P431" s="702"/>
      <c r="Q431" s="702"/>
      <c r="R431" s="702"/>
      <c r="S431" s="702"/>
      <c r="T431" s="702"/>
      <c r="U431" s="702"/>
      <c r="V431" s="702"/>
      <c r="W431" s="702"/>
      <c r="X431" s="702"/>
      <c r="Y431" s="702"/>
      <c r="Z431" s="702"/>
      <c r="AA431" s="702"/>
      <c r="AB431" s="702"/>
      <c r="AC431" s="702"/>
      <c r="AD431" s="702"/>
      <c r="AF431" s="1954" t="s">
        <v>1639</v>
      </c>
      <c r="AG431" s="1954"/>
      <c r="AH431" s="1954"/>
      <c r="AI431" s="1954"/>
      <c r="AJ431" s="1954"/>
      <c r="AK431" s="1954"/>
      <c r="AL431" s="2032"/>
      <c r="AM431" s="596"/>
      <c r="AN431" s="623"/>
    </row>
    <row r="432" spans="1:60" s="576" customFormat="1" ht="12.75" customHeight="1">
      <c r="A432" s="562"/>
      <c r="B432" s="14"/>
      <c r="C432" s="769"/>
      <c r="D432" s="753"/>
      <c r="E432" s="750"/>
      <c r="F432" s="767"/>
      <c r="G432" s="752"/>
      <c r="H432" s="752"/>
      <c r="I432" s="752"/>
      <c r="J432" s="752"/>
      <c r="K432" s="752"/>
      <c r="L432" s="752"/>
      <c r="M432" s="752"/>
      <c r="N432" s="752"/>
      <c r="O432" s="752"/>
      <c r="P432" s="752"/>
      <c r="Q432" s="752"/>
      <c r="R432" s="752"/>
      <c r="S432" s="752"/>
      <c r="T432" s="752"/>
      <c r="U432" s="752"/>
      <c r="V432" s="752"/>
      <c r="W432" s="752"/>
      <c r="X432" s="752"/>
      <c r="Y432" s="752"/>
      <c r="Z432" s="752"/>
      <c r="AA432" s="752"/>
      <c r="AB432" s="752"/>
      <c r="AC432" s="752"/>
      <c r="AD432" s="752"/>
      <c r="AE432" s="753"/>
      <c r="AF432" s="753"/>
      <c r="AG432" s="753"/>
      <c r="AH432" s="753"/>
      <c r="AI432" s="753"/>
      <c r="AJ432" s="753"/>
      <c r="AK432" s="753"/>
      <c r="AL432" s="768"/>
      <c r="AM432" s="596"/>
      <c r="AN432" s="623"/>
    </row>
    <row r="433" spans="1:54" s="576" customFormat="1" ht="12.75" customHeight="1">
      <c r="A433" s="562"/>
      <c r="B433" s="14"/>
      <c r="C433" s="756"/>
      <c r="D433" s="756"/>
      <c r="E433" s="745"/>
      <c r="F433" s="747"/>
      <c r="G433" s="629"/>
      <c r="H433" s="629"/>
      <c r="I433" s="629"/>
      <c r="J433" s="629"/>
      <c r="K433" s="629"/>
      <c r="L433" s="629"/>
      <c r="M433" s="629"/>
      <c r="N433" s="629"/>
      <c r="O433" s="629"/>
      <c r="P433" s="629"/>
      <c r="Q433" s="629"/>
      <c r="R433" s="629"/>
      <c r="S433" s="629"/>
      <c r="T433" s="629"/>
      <c r="U433" s="629"/>
      <c r="V433" s="629"/>
      <c r="W433" s="629"/>
      <c r="X433" s="629"/>
      <c r="Y433" s="629"/>
      <c r="Z433" s="629"/>
      <c r="AA433" s="629"/>
      <c r="AB433" s="629"/>
      <c r="AC433" s="629"/>
      <c r="AD433" s="629"/>
      <c r="AE433" s="617"/>
      <c r="AF433" s="617"/>
      <c r="AG433" s="617"/>
      <c r="AH433" s="617"/>
      <c r="AI433" s="617"/>
      <c r="AJ433" s="617"/>
      <c r="AK433" s="617"/>
      <c r="AL433" s="617"/>
      <c r="AM433" s="596"/>
      <c r="AN433" s="623"/>
    </row>
    <row r="434" spans="1:54" s="576" customFormat="1" ht="12.75" customHeight="1">
      <c r="A434" s="562"/>
      <c r="B434" s="14"/>
      <c r="C434" s="739"/>
      <c r="D434" s="740"/>
      <c r="E434" s="741" t="s">
        <v>1665</v>
      </c>
      <c r="F434" s="2030" t="s">
        <v>1666</v>
      </c>
      <c r="G434" s="2030"/>
      <c r="H434" s="2030"/>
      <c r="I434" s="2030"/>
      <c r="J434" s="2030"/>
      <c r="K434" s="2030"/>
      <c r="L434" s="2030"/>
      <c r="M434" s="2030"/>
      <c r="N434" s="2030"/>
      <c r="O434" s="2030"/>
      <c r="P434" s="2030"/>
      <c r="Q434" s="2030"/>
      <c r="R434" s="2030"/>
      <c r="S434" s="2030"/>
      <c r="T434" s="2030"/>
      <c r="U434" s="2030"/>
      <c r="V434" s="2030"/>
      <c r="W434" s="2030"/>
      <c r="X434" s="2030"/>
      <c r="Y434" s="2030"/>
      <c r="Z434" s="2030"/>
      <c r="AA434" s="2030"/>
      <c r="AB434" s="2030"/>
      <c r="AC434" s="2030"/>
      <c r="AD434" s="2030"/>
      <c r="AE434" s="2030"/>
      <c r="AF434" s="740"/>
      <c r="AG434" s="740"/>
      <c r="AH434" s="740"/>
      <c r="AI434" s="740"/>
      <c r="AJ434" s="740"/>
      <c r="AK434" s="740"/>
      <c r="AL434" s="771"/>
      <c r="AM434" s="596"/>
      <c r="AN434" s="623"/>
      <c r="AO434" s="576" t="s">
        <v>601</v>
      </c>
      <c r="AP434" s="576">
        <v>0</v>
      </c>
      <c r="AQ434" s="779"/>
    </row>
    <row r="435" spans="1:54" s="576" customFormat="1" ht="12.75" customHeight="1">
      <c r="A435" s="562"/>
      <c r="B435" s="14"/>
      <c r="C435" s="778"/>
      <c r="D435" s="756"/>
      <c r="E435" s="745"/>
      <c r="F435" s="2031"/>
      <c r="G435" s="2031"/>
      <c r="H435" s="2031"/>
      <c r="I435" s="2031"/>
      <c r="J435" s="2031"/>
      <c r="K435" s="2031"/>
      <c r="L435" s="2031"/>
      <c r="M435" s="2031"/>
      <c r="N435" s="2031"/>
      <c r="O435" s="2031"/>
      <c r="P435" s="2031"/>
      <c r="Q435" s="2031"/>
      <c r="R435" s="2031"/>
      <c r="S435" s="2031"/>
      <c r="T435" s="2031"/>
      <c r="U435" s="2031"/>
      <c r="V435" s="2031"/>
      <c r="W435" s="2031"/>
      <c r="X435" s="2031"/>
      <c r="Y435" s="2031"/>
      <c r="Z435" s="2031"/>
      <c r="AA435" s="2031"/>
      <c r="AB435" s="2031"/>
      <c r="AC435" s="2031"/>
      <c r="AD435" s="2031"/>
      <c r="AE435" s="2031"/>
      <c r="AF435" s="617"/>
      <c r="AG435" s="617"/>
      <c r="AH435" s="617"/>
      <c r="AI435" s="617"/>
      <c r="AJ435" s="617"/>
      <c r="AK435" s="617"/>
      <c r="AL435" s="746"/>
      <c r="AM435" s="596"/>
      <c r="AN435" s="623"/>
      <c r="AO435" s="576" t="s">
        <v>1667</v>
      </c>
      <c r="AP435" s="576">
        <v>5</v>
      </c>
      <c r="AQ435" s="779"/>
    </row>
    <row r="436" spans="1:54" s="576" customFormat="1" ht="12.75" customHeight="1">
      <c r="A436" s="562"/>
      <c r="B436" s="14"/>
      <c r="C436" s="778"/>
      <c r="D436" s="756"/>
      <c r="E436" s="745"/>
      <c r="F436" s="2031"/>
      <c r="G436" s="2031"/>
      <c r="H436" s="2031"/>
      <c r="I436" s="2031"/>
      <c r="J436" s="2031"/>
      <c r="K436" s="2031"/>
      <c r="L436" s="2031"/>
      <c r="M436" s="2031"/>
      <c r="N436" s="2031"/>
      <c r="O436" s="2031"/>
      <c r="P436" s="2031"/>
      <c r="Q436" s="2031"/>
      <c r="R436" s="2031"/>
      <c r="S436" s="2031"/>
      <c r="T436" s="2031"/>
      <c r="U436" s="2031"/>
      <c r="V436" s="2031"/>
      <c r="W436" s="2031"/>
      <c r="X436" s="2031"/>
      <c r="Y436" s="2031"/>
      <c r="Z436" s="2031"/>
      <c r="AA436" s="2031"/>
      <c r="AB436" s="2031"/>
      <c r="AC436" s="2031"/>
      <c r="AD436" s="2031"/>
      <c r="AE436" s="2031"/>
      <c r="AF436" s="617"/>
      <c r="AG436" s="617"/>
      <c r="AH436" s="617"/>
      <c r="AI436" s="617"/>
      <c r="AJ436" s="617"/>
      <c r="AK436" s="617"/>
      <c r="AL436" s="746"/>
      <c r="AM436" s="596"/>
      <c r="AN436" s="623"/>
      <c r="AO436" s="576" t="s">
        <v>1668</v>
      </c>
      <c r="AP436" s="576">
        <v>5</v>
      </c>
      <c r="AQ436" s="779"/>
    </row>
    <row r="437" spans="1:54" s="576" customFormat="1" ht="12.75" customHeight="1">
      <c r="A437" s="562"/>
      <c r="B437" s="14"/>
      <c r="C437" s="778"/>
      <c r="D437" s="756"/>
      <c r="E437" s="745"/>
      <c r="F437" s="2031"/>
      <c r="G437" s="2031"/>
      <c r="H437" s="2031"/>
      <c r="I437" s="2031"/>
      <c r="J437" s="2031"/>
      <c r="K437" s="2031"/>
      <c r="L437" s="2031"/>
      <c r="M437" s="2031"/>
      <c r="N437" s="2031"/>
      <c r="O437" s="2031"/>
      <c r="P437" s="2031"/>
      <c r="Q437" s="2031"/>
      <c r="R437" s="2031"/>
      <c r="S437" s="2031"/>
      <c r="T437" s="2031"/>
      <c r="U437" s="2031"/>
      <c r="V437" s="2031"/>
      <c r="W437" s="2031"/>
      <c r="X437" s="2031"/>
      <c r="Y437" s="2031"/>
      <c r="Z437" s="2031"/>
      <c r="AA437" s="2031"/>
      <c r="AB437" s="2031"/>
      <c r="AC437" s="2031"/>
      <c r="AD437" s="2031"/>
      <c r="AE437" s="2031"/>
      <c r="AL437" s="758"/>
      <c r="AM437" s="596"/>
      <c r="AN437" s="623"/>
      <c r="AO437" s="576" t="s">
        <v>1669</v>
      </c>
      <c r="AP437" s="576">
        <v>5</v>
      </c>
      <c r="AQ437" s="562"/>
    </row>
    <row r="438" spans="1:54" s="576" customFormat="1" ht="12.75" customHeight="1">
      <c r="A438" s="562"/>
      <c r="B438" s="14"/>
      <c r="C438" s="2027" t="s">
        <v>601</v>
      </c>
      <c r="D438" s="1984"/>
      <c r="E438" s="745"/>
      <c r="F438" s="747" t="s">
        <v>1670</v>
      </c>
      <c r="G438" s="629"/>
      <c r="H438" s="629"/>
      <c r="I438" s="629"/>
      <c r="J438" s="629"/>
      <c r="K438" s="629"/>
      <c r="L438" s="629"/>
      <c r="M438" s="629"/>
      <c r="N438" s="629"/>
      <c r="O438" s="629"/>
      <c r="P438" s="629"/>
      <c r="Q438" s="629"/>
      <c r="R438" s="629"/>
      <c r="S438" s="629"/>
      <c r="T438" s="629"/>
      <c r="U438" s="629"/>
      <c r="V438" s="629"/>
      <c r="W438" s="629"/>
      <c r="X438" s="629"/>
      <c r="Y438" s="629"/>
      <c r="Z438" s="629"/>
      <c r="AA438" s="629"/>
      <c r="AB438" s="629"/>
      <c r="AC438" s="629"/>
      <c r="AD438" s="629"/>
      <c r="AF438" s="1954" t="s">
        <v>1639</v>
      </c>
      <c r="AG438" s="1954"/>
      <c r="AH438" s="1954"/>
      <c r="AI438" s="1954"/>
      <c r="AJ438" s="1954"/>
      <c r="AK438" s="1954"/>
      <c r="AL438" s="2032"/>
      <c r="AM438" s="596"/>
      <c r="AN438" s="780"/>
      <c r="AO438" s="576" t="s">
        <v>1671</v>
      </c>
      <c r="AP438" s="576">
        <v>5</v>
      </c>
    </row>
    <row r="439" spans="1:54" s="576" customFormat="1" ht="12.75" customHeight="1">
      <c r="A439" s="562"/>
      <c r="B439" s="14"/>
      <c r="C439" s="778"/>
      <c r="D439" s="756"/>
      <c r="E439" s="745"/>
      <c r="F439" s="747"/>
      <c r="G439" s="629"/>
      <c r="H439" s="629"/>
      <c r="I439" s="629"/>
      <c r="J439" s="629"/>
      <c r="K439" s="629"/>
      <c r="L439" s="629"/>
      <c r="M439" s="629"/>
      <c r="N439" s="629"/>
      <c r="O439" s="629"/>
      <c r="P439" s="629"/>
      <c r="Q439" s="629"/>
      <c r="R439" s="629"/>
      <c r="S439" s="629"/>
      <c r="T439" s="629"/>
      <c r="U439" s="629"/>
      <c r="V439" s="629"/>
      <c r="W439" s="629"/>
      <c r="X439" s="629"/>
      <c r="Y439" s="629"/>
      <c r="Z439" s="629"/>
      <c r="AA439" s="629"/>
      <c r="AB439" s="629"/>
      <c r="AC439" s="629"/>
      <c r="AD439" s="629"/>
      <c r="AE439" s="617"/>
      <c r="AL439" s="758"/>
      <c r="AM439" s="596"/>
      <c r="AN439" s="780"/>
      <c r="AO439" s="576" t="s">
        <v>1672</v>
      </c>
      <c r="AP439" s="576">
        <v>5</v>
      </c>
    </row>
    <row r="440" spans="1:54" s="576" customFormat="1" ht="12.75" customHeight="1">
      <c r="A440" s="562"/>
      <c r="B440" s="14"/>
      <c r="C440" s="766"/>
      <c r="D440" s="759"/>
      <c r="E440" s="760"/>
      <c r="F440" s="753" t="s">
        <v>1646</v>
      </c>
      <c r="G440" s="761"/>
      <c r="H440" s="761"/>
      <c r="I440" s="761"/>
      <c r="J440" s="761"/>
      <c r="K440" s="761"/>
      <c r="L440" s="761"/>
      <c r="M440" s="761"/>
      <c r="N440" s="761"/>
      <c r="O440" s="761"/>
      <c r="P440" s="761"/>
      <c r="Q440" s="761"/>
      <c r="R440" s="761"/>
      <c r="S440" s="761"/>
      <c r="T440" s="761"/>
      <c r="U440" s="761"/>
      <c r="V440" s="761"/>
      <c r="W440" s="761"/>
      <c r="X440" s="761"/>
      <c r="Y440" s="761"/>
      <c r="Z440" s="761"/>
      <c r="AA440" s="761"/>
      <c r="AB440" s="761"/>
      <c r="AC440" s="761"/>
      <c r="AD440" s="761"/>
      <c r="AE440" s="763"/>
      <c r="AF440" s="609"/>
      <c r="AG440" s="763"/>
      <c r="AH440" s="753"/>
      <c r="AI440" s="753"/>
      <c r="AJ440" s="753"/>
      <c r="AK440" s="753"/>
      <c r="AL440" s="768"/>
      <c r="AM440" s="596"/>
      <c r="AN440" s="780"/>
      <c r="AO440" s="576" t="s">
        <v>1673</v>
      </c>
      <c r="AP440" s="576">
        <v>5</v>
      </c>
    </row>
    <row r="441" spans="1:54" s="576" customFormat="1" ht="12.75" customHeight="1">
      <c r="A441" s="562"/>
      <c r="B441" s="14"/>
      <c r="C441" s="756"/>
      <c r="D441" s="756"/>
      <c r="E441" s="745"/>
      <c r="F441" s="747"/>
      <c r="G441" s="629"/>
      <c r="H441" s="629"/>
      <c r="I441" s="629"/>
      <c r="J441" s="629"/>
      <c r="K441" s="629"/>
      <c r="L441" s="629"/>
      <c r="M441" s="629"/>
      <c r="N441" s="629"/>
      <c r="O441" s="629"/>
      <c r="P441" s="629"/>
      <c r="Q441" s="629"/>
      <c r="R441" s="629"/>
      <c r="S441" s="629"/>
      <c r="T441" s="629"/>
      <c r="U441" s="629"/>
      <c r="V441" s="629"/>
      <c r="W441" s="629"/>
      <c r="X441" s="629"/>
      <c r="Y441" s="629"/>
      <c r="Z441" s="629"/>
      <c r="AA441" s="629"/>
      <c r="AB441" s="629"/>
      <c r="AC441" s="629"/>
      <c r="AD441" s="629"/>
      <c r="AE441" s="617"/>
      <c r="AM441" s="596"/>
      <c r="AN441" s="780"/>
      <c r="AO441" s="576" t="s">
        <v>1674</v>
      </c>
      <c r="AP441" s="576">
        <v>5</v>
      </c>
    </row>
    <row r="442" spans="1:54" s="576" customFormat="1" ht="12.75" customHeight="1">
      <c r="A442" s="562"/>
      <c r="B442" s="14"/>
      <c r="C442" s="2033" t="s">
        <v>601</v>
      </c>
      <c r="D442" s="2034"/>
      <c r="E442" s="741" t="s">
        <v>1675</v>
      </c>
      <c r="F442" s="2030" t="s">
        <v>1676</v>
      </c>
      <c r="G442" s="2030"/>
      <c r="H442" s="2030"/>
      <c r="I442" s="2030"/>
      <c r="J442" s="2030"/>
      <c r="K442" s="2030"/>
      <c r="L442" s="2030"/>
      <c r="M442" s="2030"/>
      <c r="N442" s="2030"/>
      <c r="O442" s="2030"/>
      <c r="P442" s="2030"/>
      <c r="Q442" s="2030"/>
      <c r="R442" s="2030"/>
      <c r="S442" s="2030"/>
      <c r="T442" s="2030"/>
      <c r="U442" s="2030"/>
      <c r="V442" s="2030"/>
      <c r="W442" s="2030"/>
      <c r="X442" s="2030"/>
      <c r="Y442" s="2030"/>
      <c r="Z442" s="2030"/>
      <c r="AA442" s="2030"/>
      <c r="AB442" s="2030"/>
      <c r="AC442" s="2030"/>
      <c r="AD442" s="2030"/>
      <c r="AE442" s="2030"/>
      <c r="AF442" s="2047" t="s">
        <v>1639</v>
      </c>
      <c r="AG442" s="2047"/>
      <c r="AH442" s="2047"/>
      <c r="AI442" s="2047"/>
      <c r="AJ442" s="2047"/>
      <c r="AK442" s="2047"/>
      <c r="AL442" s="2048"/>
      <c r="AM442" s="596"/>
      <c r="AN442" s="780"/>
      <c r="AO442" s="576" t="s">
        <v>1677</v>
      </c>
      <c r="AP442" s="576">
        <v>1</v>
      </c>
    </row>
    <row r="443" spans="1:54" s="576" customFormat="1" ht="12.75" customHeight="1">
      <c r="A443" s="562"/>
      <c r="B443" s="14"/>
      <c r="C443" s="778"/>
      <c r="D443" s="756"/>
      <c r="E443" s="745"/>
      <c r="F443" s="2031"/>
      <c r="G443" s="2031"/>
      <c r="H443" s="2031"/>
      <c r="I443" s="2031"/>
      <c r="J443" s="2031"/>
      <c r="K443" s="2031"/>
      <c r="L443" s="2031"/>
      <c r="M443" s="2031"/>
      <c r="N443" s="2031"/>
      <c r="O443" s="2031"/>
      <c r="P443" s="2031"/>
      <c r="Q443" s="2031"/>
      <c r="R443" s="2031"/>
      <c r="S443" s="2031"/>
      <c r="T443" s="2031"/>
      <c r="U443" s="2031"/>
      <c r="V443" s="2031"/>
      <c r="W443" s="2031"/>
      <c r="X443" s="2031"/>
      <c r="Y443" s="2031"/>
      <c r="Z443" s="2031"/>
      <c r="AA443" s="2031"/>
      <c r="AB443" s="2031"/>
      <c r="AC443" s="2031"/>
      <c r="AD443" s="2031"/>
      <c r="AE443" s="2031"/>
      <c r="AF443" s="617"/>
      <c r="AG443" s="617"/>
      <c r="AH443" s="617"/>
      <c r="AI443" s="617"/>
      <c r="AJ443" s="617"/>
      <c r="AK443" s="617"/>
      <c r="AL443" s="746"/>
      <c r="AM443" s="596"/>
      <c r="AN443" s="781"/>
      <c r="AS443" s="782"/>
      <c r="AW443" s="782" t="s">
        <v>1678</v>
      </c>
      <c r="BA443" s="782" t="s">
        <v>1679</v>
      </c>
    </row>
    <row r="444" spans="1:54" s="576" customFormat="1" ht="17.75" customHeight="1">
      <c r="A444" s="562"/>
      <c r="B444" s="14"/>
      <c r="C444" s="783"/>
      <c r="D444" s="749"/>
      <c r="E444" s="750"/>
      <c r="F444" s="2046"/>
      <c r="G444" s="2046"/>
      <c r="H444" s="2046"/>
      <c r="I444" s="2046"/>
      <c r="J444" s="2046"/>
      <c r="K444" s="2046"/>
      <c r="L444" s="2046"/>
      <c r="M444" s="2046"/>
      <c r="N444" s="2046"/>
      <c r="O444" s="2046"/>
      <c r="P444" s="2046"/>
      <c r="Q444" s="2046"/>
      <c r="R444" s="2046"/>
      <c r="S444" s="2046"/>
      <c r="T444" s="2046"/>
      <c r="U444" s="2046"/>
      <c r="V444" s="2046"/>
      <c r="W444" s="2046"/>
      <c r="X444" s="2046"/>
      <c r="Y444" s="2046"/>
      <c r="Z444" s="2046"/>
      <c r="AA444" s="2046"/>
      <c r="AB444" s="2046"/>
      <c r="AC444" s="2046"/>
      <c r="AD444" s="2046"/>
      <c r="AE444" s="2046"/>
      <c r="AF444" s="754"/>
      <c r="AG444" s="754"/>
      <c r="AH444" s="754"/>
      <c r="AI444" s="754"/>
      <c r="AJ444" s="754"/>
      <c r="AK444" s="754"/>
      <c r="AL444" s="784"/>
      <c r="AM444" s="596"/>
      <c r="AN444" s="561"/>
      <c r="AO444" s="576" t="s">
        <v>601</v>
      </c>
      <c r="AP444" s="663">
        <v>0</v>
      </c>
      <c r="AR444" s="576" t="s">
        <v>601</v>
      </c>
      <c r="AS444" s="663">
        <v>0</v>
      </c>
      <c r="AT444" s="619"/>
      <c r="AW444" s="576" t="s">
        <v>601</v>
      </c>
      <c r="AX444" s="619">
        <v>0</v>
      </c>
      <c r="BA444" s="576" t="s">
        <v>601</v>
      </c>
      <c r="BB444" s="619">
        <v>0</v>
      </c>
    </row>
    <row r="445" spans="1:54" s="576" customFormat="1" ht="12.75" customHeight="1">
      <c r="A445" s="562"/>
      <c r="B445" s="14"/>
      <c r="C445" s="756"/>
      <c r="D445" s="756"/>
      <c r="E445" s="745"/>
      <c r="F445" s="747"/>
      <c r="G445" s="629"/>
      <c r="H445" s="629"/>
      <c r="I445" s="629"/>
      <c r="J445" s="629"/>
      <c r="K445" s="629"/>
      <c r="L445" s="629"/>
      <c r="M445" s="629"/>
      <c r="N445" s="629"/>
      <c r="O445" s="629"/>
      <c r="P445" s="629"/>
      <c r="Q445" s="629"/>
      <c r="R445" s="629"/>
      <c r="S445" s="629"/>
      <c r="T445" s="629"/>
      <c r="U445" s="629"/>
      <c r="V445" s="629"/>
      <c r="W445" s="629"/>
      <c r="X445" s="629"/>
      <c r="Y445" s="629"/>
      <c r="Z445" s="629"/>
      <c r="AA445" s="629"/>
      <c r="AB445" s="629"/>
      <c r="AC445" s="629"/>
      <c r="AD445" s="629"/>
      <c r="AE445" s="617"/>
      <c r="AM445" s="596"/>
      <c r="AN445" s="561"/>
      <c r="AO445" s="785">
        <v>7.0000000000000007E-2</v>
      </c>
      <c r="AP445" s="663">
        <v>3</v>
      </c>
      <c r="AR445" s="576" t="s">
        <v>1680</v>
      </c>
      <c r="AS445" s="663">
        <v>3</v>
      </c>
      <c r="AT445" s="619"/>
      <c r="AW445" s="785">
        <v>0.4</v>
      </c>
      <c r="AX445" s="619">
        <v>3</v>
      </c>
      <c r="BA445" s="785">
        <v>0.4</v>
      </c>
      <c r="BB445" s="619">
        <v>4</v>
      </c>
    </row>
    <row r="446" spans="1:54" s="576" customFormat="1" ht="12.75" customHeight="1">
      <c r="A446" s="562"/>
      <c r="B446" s="14"/>
      <c r="C446" s="2027" t="s">
        <v>601</v>
      </c>
      <c r="D446" s="1984"/>
      <c r="E446" s="741" t="s">
        <v>1681</v>
      </c>
      <c r="F446" s="2030" t="s">
        <v>1682</v>
      </c>
      <c r="G446" s="2030"/>
      <c r="H446" s="2030"/>
      <c r="I446" s="2030"/>
      <c r="J446" s="2030"/>
      <c r="K446" s="2030"/>
      <c r="L446" s="2030"/>
      <c r="M446" s="2030"/>
      <c r="N446" s="2030"/>
      <c r="O446" s="2030"/>
      <c r="P446" s="2030"/>
      <c r="Q446" s="2030"/>
      <c r="R446" s="2030"/>
      <c r="S446" s="2030"/>
      <c r="T446" s="2030"/>
      <c r="U446" s="2030"/>
      <c r="V446" s="2030"/>
      <c r="W446" s="2030"/>
      <c r="X446" s="2030"/>
      <c r="Y446" s="2030"/>
      <c r="Z446" s="2030"/>
      <c r="AA446" s="2030"/>
      <c r="AB446" s="2030"/>
      <c r="AC446" s="2030"/>
      <c r="AD446" s="2030"/>
      <c r="AE446" s="2030"/>
      <c r="AF446" s="2047" t="s">
        <v>1639</v>
      </c>
      <c r="AG446" s="2047"/>
      <c r="AH446" s="2047"/>
      <c r="AI446" s="2047"/>
      <c r="AJ446" s="2047"/>
      <c r="AK446" s="2047"/>
      <c r="AL446" s="2048"/>
      <c r="AM446" s="596"/>
      <c r="AN446" s="561"/>
      <c r="AO446" s="785">
        <v>0.12</v>
      </c>
      <c r="AP446" s="663">
        <v>5</v>
      </c>
      <c r="AR446" s="576" t="s">
        <v>1683</v>
      </c>
      <c r="AS446" s="663">
        <v>5</v>
      </c>
      <c r="AT446" s="619"/>
      <c r="AW446" s="785">
        <v>0.6</v>
      </c>
      <c r="AX446" s="619">
        <v>4</v>
      </c>
      <c r="BA446" s="785">
        <v>0.6</v>
      </c>
      <c r="BB446" s="619">
        <v>5</v>
      </c>
    </row>
    <row r="447" spans="1:54" s="576" customFormat="1" ht="12.75" customHeight="1">
      <c r="A447" s="562"/>
      <c r="B447" s="14"/>
      <c r="C447" s="757"/>
      <c r="D447" s="14"/>
      <c r="E447" s="717"/>
      <c r="F447" s="2031"/>
      <c r="G447" s="2031"/>
      <c r="H447" s="2031"/>
      <c r="I447" s="2031"/>
      <c r="J447" s="2031"/>
      <c r="K447" s="2031"/>
      <c r="L447" s="2031"/>
      <c r="M447" s="2031"/>
      <c r="N447" s="2031"/>
      <c r="O447" s="2031"/>
      <c r="P447" s="2031"/>
      <c r="Q447" s="2031"/>
      <c r="R447" s="2031"/>
      <c r="S447" s="2031"/>
      <c r="T447" s="2031"/>
      <c r="U447" s="2031"/>
      <c r="V447" s="2031"/>
      <c r="W447" s="2031"/>
      <c r="X447" s="2031"/>
      <c r="Y447" s="2031"/>
      <c r="Z447" s="2031"/>
      <c r="AA447" s="2031"/>
      <c r="AB447" s="2031"/>
      <c r="AC447" s="2031"/>
      <c r="AD447" s="2031"/>
      <c r="AE447" s="2031"/>
      <c r="AF447" s="565"/>
      <c r="AG447" s="562"/>
      <c r="AL447" s="758"/>
      <c r="AM447" s="596"/>
      <c r="AN447" s="561"/>
      <c r="AO447" s="785"/>
      <c r="AP447" s="619"/>
      <c r="AS447" s="785"/>
      <c r="AT447" s="619"/>
      <c r="AW447" s="785">
        <v>0.8</v>
      </c>
      <c r="AX447" s="619">
        <v>5</v>
      </c>
      <c r="BA447" s="785"/>
      <c r="BB447" s="619"/>
    </row>
    <row r="448" spans="1:54" s="576" customFormat="1" ht="12.75" customHeight="1">
      <c r="A448" s="562"/>
      <c r="B448" s="14"/>
      <c r="C448" s="757"/>
      <c r="D448" s="14"/>
      <c r="E448" s="717"/>
      <c r="F448" s="2031"/>
      <c r="G448" s="2031"/>
      <c r="H448" s="2031"/>
      <c r="I448" s="2031"/>
      <c r="J448" s="2031"/>
      <c r="K448" s="2031"/>
      <c r="L448" s="2031"/>
      <c r="M448" s="2031"/>
      <c r="N448" s="2031"/>
      <c r="O448" s="2031"/>
      <c r="P448" s="2031"/>
      <c r="Q448" s="2031"/>
      <c r="R448" s="2031"/>
      <c r="S448" s="2031"/>
      <c r="T448" s="2031"/>
      <c r="U448" s="2031"/>
      <c r="V448" s="2031"/>
      <c r="W448" s="2031"/>
      <c r="X448" s="2031"/>
      <c r="Y448" s="2031"/>
      <c r="Z448" s="2031"/>
      <c r="AA448" s="2031"/>
      <c r="AB448" s="2031"/>
      <c r="AC448" s="2031"/>
      <c r="AD448" s="2031"/>
      <c r="AE448" s="2031"/>
      <c r="AF448" s="565"/>
      <c r="AG448" s="562"/>
      <c r="AL448" s="758"/>
      <c r="AM448" s="596"/>
      <c r="AN448" s="561"/>
      <c r="AO448" s="576" t="s">
        <v>601</v>
      </c>
      <c r="AP448" s="663">
        <v>0</v>
      </c>
      <c r="AW448" s="785"/>
      <c r="AX448" s="619"/>
    </row>
    <row r="449" spans="1:49" s="576" customFormat="1" ht="12.75" customHeight="1">
      <c r="A449" s="562"/>
      <c r="B449" s="14"/>
      <c r="C449" s="783"/>
      <c r="D449" s="749"/>
      <c r="E449" s="750"/>
      <c r="F449" s="2046"/>
      <c r="G449" s="2046"/>
      <c r="H449" s="2046"/>
      <c r="I449" s="2046"/>
      <c r="J449" s="2046"/>
      <c r="K449" s="2046"/>
      <c r="L449" s="2046"/>
      <c r="M449" s="2046"/>
      <c r="N449" s="2046"/>
      <c r="O449" s="2046"/>
      <c r="P449" s="2046"/>
      <c r="Q449" s="2046"/>
      <c r="R449" s="2046"/>
      <c r="S449" s="2046"/>
      <c r="T449" s="2046"/>
      <c r="U449" s="2046"/>
      <c r="V449" s="2046"/>
      <c r="W449" s="2046"/>
      <c r="X449" s="2046"/>
      <c r="Y449" s="2046"/>
      <c r="Z449" s="2046"/>
      <c r="AA449" s="2046"/>
      <c r="AB449" s="2046"/>
      <c r="AC449" s="2046"/>
      <c r="AD449" s="2046"/>
      <c r="AE449" s="2046"/>
      <c r="AF449" s="754"/>
      <c r="AG449" s="754"/>
      <c r="AH449" s="754"/>
      <c r="AI449" s="754"/>
      <c r="AJ449" s="754"/>
      <c r="AK449" s="754"/>
      <c r="AL449" s="784"/>
      <c r="AM449" s="596"/>
      <c r="AN449" s="623"/>
      <c r="AO449" s="785">
        <v>0.09</v>
      </c>
      <c r="AP449" s="663">
        <v>3</v>
      </c>
      <c r="AS449" s="782"/>
    </row>
    <row r="450" spans="1:49" s="576" customFormat="1" ht="12.75" customHeight="1">
      <c r="A450" s="562"/>
      <c r="B450" s="14"/>
      <c r="G450" s="629"/>
      <c r="H450" s="629"/>
      <c r="I450" s="629"/>
      <c r="J450" s="629"/>
      <c r="K450" s="629"/>
      <c r="L450" s="629"/>
      <c r="M450" s="629"/>
      <c r="N450" s="629"/>
      <c r="O450" s="629"/>
      <c r="P450" s="629"/>
      <c r="Q450" s="629"/>
      <c r="R450" s="629"/>
      <c r="S450" s="629"/>
      <c r="T450" s="629"/>
      <c r="U450" s="629"/>
      <c r="V450" s="629"/>
      <c r="W450" s="629"/>
      <c r="X450" s="629"/>
      <c r="Y450" s="629"/>
      <c r="Z450" s="629"/>
      <c r="AA450" s="629"/>
      <c r="AB450" s="629"/>
      <c r="AC450" s="629"/>
      <c r="AD450" s="629"/>
      <c r="AM450" s="596"/>
      <c r="AN450" s="623"/>
      <c r="AO450" s="785">
        <v>0.15</v>
      </c>
      <c r="AP450" s="663">
        <v>5</v>
      </c>
    </row>
    <row r="451" spans="1:49" s="576" customFormat="1" ht="12.75" customHeight="1">
      <c r="A451" s="562"/>
      <c r="B451" s="14"/>
      <c r="C451" s="739"/>
      <c r="D451" s="740"/>
      <c r="E451" s="741" t="s">
        <v>1684</v>
      </c>
      <c r="F451" s="2030" t="s">
        <v>1685</v>
      </c>
      <c r="G451" s="2030"/>
      <c r="H451" s="2030"/>
      <c r="I451" s="2030"/>
      <c r="J451" s="2030"/>
      <c r="K451" s="2030"/>
      <c r="L451" s="2030"/>
      <c r="M451" s="2030"/>
      <c r="N451" s="2030"/>
      <c r="O451" s="2030"/>
      <c r="P451" s="2030"/>
      <c r="Q451" s="2030"/>
      <c r="R451" s="2030"/>
      <c r="S451" s="2030"/>
      <c r="T451" s="2030"/>
      <c r="U451" s="2030"/>
      <c r="V451" s="2030"/>
      <c r="W451" s="2030"/>
      <c r="X451" s="2030"/>
      <c r="Y451" s="2030"/>
      <c r="Z451" s="2030"/>
      <c r="AA451" s="2030"/>
      <c r="AB451" s="2030"/>
      <c r="AC451" s="2030"/>
      <c r="AD451" s="2030"/>
      <c r="AE451" s="2030"/>
      <c r="AF451" s="2030"/>
      <c r="AG451" s="770"/>
      <c r="AH451" s="740"/>
      <c r="AI451" s="740"/>
      <c r="AJ451" s="740"/>
      <c r="AK451" s="740"/>
      <c r="AL451" s="771"/>
      <c r="AM451" s="596"/>
      <c r="AN451" s="623"/>
    </row>
    <row r="452" spans="1:49" s="576" customFormat="1" ht="12.75" customHeight="1">
      <c r="A452" s="562"/>
      <c r="B452" s="14"/>
      <c r="C452" s="757"/>
      <c r="D452" s="14"/>
      <c r="E452" s="717"/>
      <c r="F452" s="2031"/>
      <c r="G452" s="2031"/>
      <c r="H452" s="2031"/>
      <c r="I452" s="2031"/>
      <c r="J452" s="2031"/>
      <c r="K452" s="2031"/>
      <c r="L452" s="2031"/>
      <c r="M452" s="2031"/>
      <c r="N452" s="2031"/>
      <c r="O452" s="2031"/>
      <c r="P452" s="2031"/>
      <c r="Q452" s="2031"/>
      <c r="R452" s="2031"/>
      <c r="S452" s="2031"/>
      <c r="T452" s="2031"/>
      <c r="U452" s="2031"/>
      <c r="V452" s="2031"/>
      <c r="W452" s="2031"/>
      <c r="X452" s="2031"/>
      <c r="Y452" s="2031"/>
      <c r="Z452" s="2031"/>
      <c r="AA452" s="2031"/>
      <c r="AB452" s="2031"/>
      <c r="AC452" s="2031"/>
      <c r="AD452" s="2031"/>
      <c r="AE452" s="2031"/>
      <c r="AF452" s="2031"/>
      <c r="AL452" s="758"/>
      <c r="AM452" s="596"/>
      <c r="AN452" s="623"/>
    </row>
    <row r="453" spans="1:49" s="576" customFormat="1" ht="12.75" customHeight="1">
      <c r="A453" s="562"/>
      <c r="B453" s="14"/>
      <c r="C453" s="765"/>
      <c r="F453" s="2031"/>
      <c r="G453" s="2031"/>
      <c r="H453" s="2031"/>
      <c r="I453" s="2031"/>
      <c r="J453" s="2031"/>
      <c r="K453" s="2031"/>
      <c r="L453" s="2031"/>
      <c r="M453" s="2031"/>
      <c r="N453" s="2031"/>
      <c r="O453" s="2031"/>
      <c r="P453" s="2031"/>
      <c r="Q453" s="2031"/>
      <c r="R453" s="2031"/>
      <c r="S453" s="2031"/>
      <c r="T453" s="2031"/>
      <c r="U453" s="2031"/>
      <c r="V453" s="2031"/>
      <c r="W453" s="2031"/>
      <c r="X453" s="2031"/>
      <c r="Y453" s="2031"/>
      <c r="Z453" s="2031"/>
      <c r="AA453" s="2031"/>
      <c r="AB453" s="2031"/>
      <c r="AC453" s="2031"/>
      <c r="AD453" s="2031"/>
      <c r="AE453" s="2031"/>
      <c r="AF453" s="2031"/>
      <c r="AL453" s="758"/>
      <c r="AM453" s="596"/>
      <c r="AN453" s="623"/>
    </row>
    <row r="454" spans="1:49" s="576" customFormat="1" ht="12.75" customHeight="1">
      <c r="A454" s="562"/>
      <c r="B454" s="14"/>
      <c r="C454" s="765"/>
      <c r="F454" s="2031"/>
      <c r="G454" s="2031"/>
      <c r="H454" s="2031"/>
      <c r="I454" s="2031"/>
      <c r="J454" s="2031"/>
      <c r="K454" s="2031"/>
      <c r="L454" s="2031"/>
      <c r="M454" s="2031"/>
      <c r="N454" s="2031"/>
      <c r="O454" s="2031"/>
      <c r="P454" s="2031"/>
      <c r="Q454" s="2031"/>
      <c r="R454" s="2031"/>
      <c r="S454" s="2031"/>
      <c r="T454" s="2031"/>
      <c r="U454" s="2031"/>
      <c r="V454" s="2031"/>
      <c r="W454" s="2031"/>
      <c r="X454" s="2031"/>
      <c r="Y454" s="2031"/>
      <c r="Z454" s="2031"/>
      <c r="AA454" s="2031"/>
      <c r="AB454" s="2031"/>
      <c r="AC454" s="2031"/>
      <c r="AD454" s="2031"/>
      <c r="AE454" s="2031"/>
      <c r="AF454" s="2031"/>
      <c r="AL454" s="758"/>
      <c r="AM454" s="596"/>
      <c r="AN454" s="623"/>
    </row>
    <row r="455" spans="1:49" s="576" customFormat="1" ht="12.75" customHeight="1">
      <c r="A455" s="562"/>
      <c r="B455" s="14"/>
      <c r="C455" s="2027" t="s">
        <v>601</v>
      </c>
      <c r="D455" s="1984"/>
      <c r="E455" s="745"/>
      <c r="F455" s="747" t="s">
        <v>1656</v>
      </c>
      <c r="G455" s="629"/>
      <c r="H455" s="629"/>
      <c r="I455" s="629"/>
      <c r="J455" s="629"/>
      <c r="K455" s="629"/>
      <c r="L455" s="629"/>
      <c r="M455" s="629"/>
      <c r="N455" s="629"/>
      <c r="O455" s="629"/>
      <c r="P455" s="629"/>
      <c r="Q455" s="629"/>
      <c r="R455" s="629"/>
      <c r="S455" s="629"/>
      <c r="T455" s="629"/>
      <c r="U455" s="629"/>
      <c r="V455" s="629"/>
      <c r="W455" s="629"/>
      <c r="X455" s="629"/>
      <c r="Y455" s="629"/>
      <c r="Z455" s="629"/>
      <c r="AA455" s="629"/>
      <c r="AB455" s="629"/>
      <c r="AC455" s="629"/>
      <c r="AD455" s="629"/>
      <c r="AF455" s="2028" t="s">
        <v>1639</v>
      </c>
      <c r="AG455" s="2028"/>
      <c r="AH455" s="2028"/>
      <c r="AI455" s="2028"/>
      <c r="AJ455" s="2028"/>
      <c r="AK455" s="2028"/>
      <c r="AL455" s="2029"/>
      <c r="AM455" s="596"/>
      <c r="AN455" s="623"/>
    </row>
    <row r="456" spans="1:49" s="576" customFormat="1" ht="12.75" customHeight="1">
      <c r="A456" s="562"/>
      <c r="B456" s="14"/>
      <c r="C456" s="766"/>
      <c r="D456" s="759"/>
      <c r="E456" s="760"/>
      <c r="F456" s="753"/>
      <c r="G456" s="753"/>
      <c r="H456" s="753"/>
      <c r="I456" s="753"/>
      <c r="J456" s="753"/>
      <c r="K456" s="753"/>
      <c r="L456" s="753"/>
      <c r="M456" s="753"/>
      <c r="N456" s="753"/>
      <c r="O456" s="753"/>
      <c r="P456" s="753"/>
      <c r="Q456" s="753"/>
      <c r="R456" s="753"/>
      <c r="S456" s="753"/>
      <c r="T456" s="753"/>
      <c r="U456" s="753"/>
      <c r="V456" s="753"/>
      <c r="W456" s="753"/>
      <c r="X456" s="753"/>
      <c r="Y456" s="753"/>
      <c r="Z456" s="753"/>
      <c r="AA456" s="753"/>
      <c r="AB456" s="753"/>
      <c r="AC456" s="753"/>
      <c r="AD456" s="753"/>
      <c r="AE456" s="753"/>
      <c r="AF456" s="753"/>
      <c r="AG456" s="753"/>
      <c r="AH456" s="753"/>
      <c r="AI456" s="753"/>
      <c r="AJ456" s="753"/>
      <c r="AK456" s="753"/>
      <c r="AL456" s="768"/>
      <c r="AN456" s="623"/>
    </row>
    <row r="457" spans="1:49" s="576" customFormat="1" ht="12.75" customHeight="1">
      <c r="A457" s="562"/>
      <c r="B457" s="14"/>
      <c r="C457" s="1035"/>
      <c r="D457" s="596"/>
      <c r="F457" s="747"/>
      <c r="G457" s="629"/>
      <c r="H457" s="629"/>
      <c r="I457" s="629"/>
      <c r="J457" s="629"/>
      <c r="K457" s="629"/>
      <c r="L457" s="629"/>
      <c r="M457" s="629"/>
      <c r="N457" s="629"/>
      <c r="O457" s="629"/>
      <c r="P457" s="629"/>
      <c r="Q457" s="629"/>
      <c r="R457" s="629"/>
      <c r="S457" s="629"/>
      <c r="T457" s="629"/>
      <c r="U457" s="629"/>
      <c r="V457" s="629"/>
      <c r="W457" s="629"/>
      <c r="X457" s="629"/>
      <c r="Y457" s="629"/>
      <c r="Z457" s="629"/>
      <c r="AA457" s="629"/>
      <c r="AB457" s="629"/>
      <c r="AC457" s="629"/>
      <c r="AD457" s="629"/>
      <c r="AF457" s="639"/>
      <c r="AG457" s="639"/>
      <c r="AH457" s="639"/>
      <c r="AI457" s="639"/>
      <c r="AJ457" s="639"/>
      <c r="AK457" s="639"/>
      <c r="AL457" s="639"/>
      <c r="AN457" s="623"/>
    </row>
    <row r="458" spans="1:49" s="576" customFormat="1" ht="12.75" customHeight="1">
      <c r="A458" s="626"/>
      <c r="B458" s="884" t="s">
        <v>1686</v>
      </c>
      <c r="D458" s="703"/>
      <c r="E458" s="627"/>
      <c r="F458" s="627"/>
      <c r="G458" s="627"/>
      <c r="H458" s="627"/>
      <c r="I458" s="627"/>
      <c r="J458" s="627"/>
      <c r="K458" s="627"/>
      <c r="L458" s="627"/>
      <c r="M458" s="627"/>
      <c r="N458" s="627"/>
      <c r="O458" s="627"/>
      <c r="P458" s="627"/>
      <c r="Q458" s="627"/>
      <c r="R458" s="627"/>
      <c r="S458" s="627"/>
      <c r="T458" s="627"/>
      <c r="U458" s="627"/>
      <c r="V458" s="627"/>
      <c r="W458" s="627"/>
      <c r="X458" s="627"/>
      <c r="Y458" s="627"/>
      <c r="Z458" s="627"/>
      <c r="AA458" s="627"/>
      <c r="AB458" s="627"/>
      <c r="AC458" s="627"/>
      <c r="AD458" s="627"/>
      <c r="AE458" s="590"/>
      <c r="AF458" s="590"/>
      <c r="AG458" s="590"/>
      <c r="AH458" s="590"/>
      <c r="AI458" s="591"/>
      <c r="AJ458" s="591" t="s">
        <v>1687</v>
      </c>
      <c r="AK458" s="1987">
        <f>IF(Application!D213="N/A",AS347,AS349)</f>
        <v>10</v>
      </c>
      <c r="AL458" s="1988"/>
      <c r="AM458" s="1989"/>
      <c r="AN458" s="623"/>
    </row>
    <row r="459" spans="1:49" s="576" customFormat="1" ht="12.75" customHeight="1" thickBot="1">
      <c r="A459" s="786"/>
      <c r="B459" s="786"/>
      <c r="C459" s="786"/>
      <c r="D459" s="786"/>
      <c r="E459" s="786"/>
      <c r="F459" s="786"/>
      <c r="G459" s="786"/>
      <c r="H459" s="786"/>
      <c r="I459" s="786"/>
      <c r="J459" s="786"/>
      <c r="K459" s="786"/>
      <c r="L459" s="786"/>
      <c r="M459" s="786"/>
      <c r="N459" s="786"/>
      <c r="O459" s="786"/>
      <c r="P459" s="786"/>
      <c r="Q459" s="786"/>
      <c r="R459" s="786"/>
      <c r="S459" s="786"/>
      <c r="T459" s="786"/>
      <c r="U459" s="786"/>
      <c r="V459" s="786"/>
      <c r="W459" s="786"/>
      <c r="X459" s="786"/>
      <c r="Y459" s="786"/>
      <c r="Z459" s="786"/>
      <c r="AA459" s="786"/>
      <c r="AB459" s="786"/>
      <c r="AC459" s="786"/>
      <c r="AD459" s="786"/>
      <c r="AE459" s="786"/>
      <c r="AF459" s="786"/>
      <c r="AG459" s="786"/>
      <c r="AH459" s="786"/>
      <c r="AI459" s="786"/>
      <c r="AJ459" s="786"/>
      <c r="AK459" s="786"/>
      <c r="AL459" s="786"/>
      <c r="AM459" s="787"/>
      <c r="AN459" s="623"/>
    </row>
    <row r="460" spans="1:49" s="576" customFormat="1" ht="12.75" hidden="1" customHeight="1" thickTop="1">
      <c r="A460" s="86"/>
      <c r="B460" s="597"/>
      <c r="C460" s="598"/>
      <c r="D460" s="598"/>
      <c r="E460" s="598"/>
      <c r="F460" s="598"/>
      <c r="G460" s="598"/>
      <c r="H460" s="598"/>
      <c r="I460" s="599"/>
      <c r="J460" s="599"/>
      <c r="K460" s="599"/>
      <c r="L460" s="599"/>
      <c r="M460" s="599"/>
      <c r="N460" s="599"/>
      <c r="O460" s="599"/>
      <c r="P460" s="599"/>
      <c r="Q460" s="599"/>
      <c r="R460" s="596"/>
      <c r="S460" s="565"/>
      <c r="T460" s="565"/>
      <c r="U460" s="565"/>
      <c r="V460" s="565"/>
      <c r="W460" s="565"/>
      <c r="X460" s="565"/>
      <c r="Y460" s="565"/>
      <c r="Z460" s="565"/>
      <c r="AA460" s="565"/>
      <c r="AB460" s="565"/>
      <c r="AC460" s="565"/>
      <c r="AD460" s="565"/>
      <c r="AE460" s="565"/>
      <c r="AF460" s="596"/>
      <c r="AG460" s="565"/>
      <c r="AH460" s="565"/>
      <c r="AI460" s="565"/>
      <c r="AJ460" s="565"/>
      <c r="AM460" s="14"/>
      <c r="AN460" s="623"/>
      <c r="AO460" s="576" t="s">
        <v>601</v>
      </c>
      <c r="AP460" s="576">
        <v>0</v>
      </c>
    </row>
    <row r="461" spans="1:49" s="576" customFormat="1" ht="12.75" hidden="1" customHeight="1">
      <c r="A461" s="565" t="s">
        <v>1688</v>
      </c>
      <c r="C461" s="565"/>
      <c r="E461" s="622"/>
      <c r="AE461" s="2028" t="s">
        <v>1689</v>
      </c>
      <c r="AF461" s="2028"/>
      <c r="AG461" s="2028"/>
      <c r="AH461" s="2028"/>
      <c r="AI461" s="2028"/>
      <c r="AJ461" s="2028"/>
      <c r="AK461" s="2028"/>
      <c r="AL461" s="617"/>
      <c r="AN461" s="623"/>
      <c r="AO461" s="576" t="s">
        <v>1667</v>
      </c>
      <c r="AP461" s="576">
        <v>5</v>
      </c>
    </row>
    <row r="462" spans="1:49" s="576" customFormat="1" ht="12.75" hidden="1" customHeight="1">
      <c r="A462" s="565"/>
      <c r="B462" s="562" t="s">
        <v>1690</v>
      </c>
      <c r="C462" s="565"/>
      <c r="E462" s="622"/>
      <c r="AE462" s="617"/>
      <c r="AF462" s="617"/>
      <c r="AG462" s="617"/>
      <c r="AH462" s="617"/>
      <c r="AI462" s="617"/>
      <c r="AJ462" s="617"/>
      <c r="AK462" s="617"/>
      <c r="AL462" s="617"/>
      <c r="AN462" s="623"/>
      <c r="AO462" s="576" t="s">
        <v>1691</v>
      </c>
      <c r="AP462" s="576">
        <v>5</v>
      </c>
    </row>
    <row r="463" spans="1:49" s="576" customFormat="1" ht="12.75" hidden="1" customHeight="1">
      <c r="A463" s="565"/>
      <c r="B463" s="565" t="s">
        <v>1692</v>
      </c>
      <c r="C463" s="565"/>
      <c r="E463" s="622"/>
      <c r="AE463" s="617"/>
      <c r="AF463" s="617"/>
      <c r="AG463" s="617"/>
      <c r="AH463" s="617"/>
      <c r="AI463" s="617"/>
      <c r="AJ463" s="617"/>
      <c r="AK463" s="617"/>
      <c r="AL463" s="617"/>
      <c r="AN463" s="623"/>
      <c r="AO463" s="576" t="s">
        <v>1669</v>
      </c>
      <c r="AP463" s="576">
        <v>5</v>
      </c>
      <c r="AQ463" s="565"/>
      <c r="AR463" s="565"/>
      <c r="AS463" s="782"/>
      <c r="AW463" s="782"/>
    </row>
    <row r="464" spans="1:49" s="576" customFormat="1" ht="12.75" hidden="1" customHeight="1">
      <c r="A464" s="565"/>
      <c r="B464" s="565" t="s">
        <v>1693</v>
      </c>
      <c r="C464" s="565"/>
      <c r="E464" s="622"/>
      <c r="AE464" s="617"/>
      <c r="AF464" s="617"/>
      <c r="AG464" s="617"/>
      <c r="AH464" s="617"/>
      <c r="AI464" s="617"/>
      <c r="AJ464" s="617"/>
      <c r="AK464" s="617"/>
      <c r="AL464" s="617"/>
      <c r="AN464" s="623"/>
      <c r="AO464" s="576" t="s">
        <v>1671</v>
      </c>
      <c r="AP464" s="576">
        <v>5</v>
      </c>
      <c r="AQ464" s="565"/>
      <c r="AR464" s="565"/>
      <c r="AW464" s="705"/>
    </row>
    <row r="465" spans="1:50" s="576" customFormat="1" ht="12.75" hidden="1" customHeight="1">
      <c r="A465" s="565"/>
      <c r="C465" s="565"/>
      <c r="E465" s="622"/>
      <c r="AE465" s="617"/>
      <c r="AF465" s="617"/>
      <c r="AG465" s="617"/>
      <c r="AH465" s="617"/>
      <c r="AI465" s="617"/>
      <c r="AJ465" s="617"/>
      <c r="AK465" s="617"/>
      <c r="AL465" s="617"/>
      <c r="AN465" s="623"/>
      <c r="AO465" s="576" t="s">
        <v>1672</v>
      </c>
      <c r="AP465" s="576">
        <v>5</v>
      </c>
      <c r="AQ465" s="565"/>
      <c r="AR465" s="565"/>
      <c r="AW465" s="705"/>
    </row>
    <row r="466" spans="1:50" s="576" customFormat="1" ht="12.75" hidden="1" customHeight="1">
      <c r="A466" s="565"/>
      <c r="C466" s="738" t="s">
        <v>1694</v>
      </c>
      <c r="D466" s="596"/>
      <c r="AE466" s="617"/>
      <c r="AF466" s="617"/>
      <c r="AG466" s="622"/>
      <c r="AH466" s="622"/>
      <c r="AI466" s="622"/>
      <c r="AJ466" s="622"/>
      <c r="AK466" s="622"/>
      <c r="AL466" s="622"/>
      <c r="AN466" s="623"/>
      <c r="AO466" s="576" t="s">
        <v>1673</v>
      </c>
      <c r="AP466" s="576">
        <v>5</v>
      </c>
      <c r="AW466" s="705"/>
    </row>
    <row r="467" spans="1:50" s="576" customFormat="1" ht="12.75" hidden="1" customHeight="1">
      <c r="A467" s="565"/>
      <c r="C467" s="2049" t="s">
        <v>601</v>
      </c>
      <c r="D467" s="2050"/>
      <c r="E467" s="788" t="s">
        <v>517</v>
      </c>
      <c r="F467" s="2051" t="s">
        <v>1695</v>
      </c>
      <c r="G467" s="2051"/>
      <c r="H467" s="2051"/>
      <c r="I467" s="2051"/>
      <c r="J467" s="2051"/>
      <c r="K467" s="2051"/>
      <c r="L467" s="2051"/>
      <c r="M467" s="2051"/>
      <c r="N467" s="2051"/>
      <c r="O467" s="2051"/>
      <c r="P467" s="2051"/>
      <c r="Q467" s="2051"/>
      <c r="R467" s="2051"/>
      <c r="S467" s="2051"/>
      <c r="T467" s="2051"/>
      <c r="U467" s="2051"/>
      <c r="V467" s="2051"/>
      <c r="W467" s="2051"/>
      <c r="X467" s="2051"/>
      <c r="Y467" s="2051"/>
      <c r="Z467" s="2051"/>
      <c r="AA467" s="2051"/>
      <c r="AB467" s="2051"/>
      <c r="AC467" s="2051"/>
      <c r="AD467" s="2051"/>
      <c r="AE467" s="2051"/>
      <c r="AF467" s="740"/>
      <c r="AG467" s="740"/>
      <c r="AH467" s="740"/>
      <c r="AI467" s="740"/>
      <c r="AJ467" s="740"/>
      <c r="AK467" s="771"/>
      <c r="AN467" s="623"/>
      <c r="AO467" s="576" t="s">
        <v>1696</v>
      </c>
      <c r="AP467" s="576">
        <v>5</v>
      </c>
      <c r="AS467" s="785"/>
      <c r="AT467" s="619"/>
      <c r="AW467" s="705"/>
      <c r="AX467" s="663"/>
    </row>
    <row r="468" spans="1:50" s="576" customFormat="1" ht="12.75" hidden="1" customHeight="1">
      <c r="C468" s="789"/>
      <c r="E468" s="790"/>
      <c r="F468" s="2052"/>
      <c r="G468" s="2052"/>
      <c r="H468" s="2052"/>
      <c r="I468" s="2052"/>
      <c r="J468" s="2052"/>
      <c r="K468" s="2052"/>
      <c r="L468" s="2052"/>
      <c r="M468" s="2052"/>
      <c r="N468" s="2052"/>
      <c r="O468" s="2052"/>
      <c r="P468" s="2052"/>
      <c r="Q468" s="2052"/>
      <c r="R468" s="2052"/>
      <c r="S468" s="2052"/>
      <c r="T468" s="2052"/>
      <c r="U468" s="2052"/>
      <c r="V468" s="2052"/>
      <c r="W468" s="2052"/>
      <c r="X468" s="2052"/>
      <c r="Y468" s="2052"/>
      <c r="Z468" s="2052"/>
      <c r="AA468" s="2052"/>
      <c r="AB468" s="2052"/>
      <c r="AC468" s="2052"/>
      <c r="AD468" s="2052"/>
      <c r="AE468" s="2052"/>
      <c r="AG468" s="577"/>
      <c r="AH468" s="577"/>
      <c r="AI468" s="577"/>
      <c r="AJ468" s="577"/>
      <c r="AK468" s="758"/>
      <c r="AN468" s="623"/>
      <c r="AO468" s="576" t="s">
        <v>1677</v>
      </c>
      <c r="AP468" s="576">
        <v>1</v>
      </c>
    </row>
    <row r="469" spans="1:50" s="576" customFormat="1" ht="12.75" hidden="1" customHeight="1">
      <c r="C469" s="791"/>
      <c r="D469" s="753"/>
      <c r="E469" s="792"/>
      <c r="F469" s="2053" t="s">
        <v>601</v>
      </c>
      <c r="G469" s="2053"/>
      <c r="H469" s="2053"/>
      <c r="I469" s="2053"/>
      <c r="J469" s="2053"/>
      <c r="K469" s="2053"/>
      <c r="L469" s="2053"/>
      <c r="M469" s="2053"/>
      <c r="N469" s="2053"/>
      <c r="O469" s="2053"/>
      <c r="P469" s="2053"/>
      <c r="Q469" s="2053"/>
      <c r="R469" s="2053"/>
      <c r="S469" s="2053"/>
      <c r="T469" s="2053"/>
      <c r="U469" s="2053"/>
      <c r="V469" s="2053"/>
      <c r="W469" s="2053"/>
      <c r="X469" s="2053"/>
      <c r="Y469" s="2053"/>
      <c r="Z469" s="2053"/>
      <c r="AA469" s="793"/>
      <c r="AB469" s="684"/>
      <c r="AC469" s="684"/>
      <c r="AD469" s="753"/>
      <c r="AE469" s="753"/>
      <c r="AF469" s="753"/>
      <c r="AG469" s="794">
        <f>IF($C$467="Yes",(VLOOKUP($F$469,$AO$434:$AP$442,2,FALSE)),0)</f>
        <v>0</v>
      </c>
      <c r="AH469" s="795" t="s">
        <v>1501</v>
      </c>
      <c r="AI469" s="794"/>
      <c r="AJ469" s="794"/>
      <c r="AK469" s="768"/>
      <c r="AN469" s="623"/>
      <c r="AS469" s="782"/>
      <c r="AW469" s="782"/>
    </row>
    <row r="470" spans="1:50" s="576" customFormat="1" ht="12.75" hidden="1" customHeight="1">
      <c r="C470" s="577"/>
      <c r="E470" s="790"/>
      <c r="F470" s="619"/>
      <c r="G470" s="619"/>
      <c r="H470" s="619"/>
      <c r="I470" s="619"/>
      <c r="J470" s="619"/>
      <c r="K470" s="619"/>
      <c r="L470" s="619"/>
      <c r="M470" s="619"/>
      <c r="N470" s="619"/>
      <c r="O470" s="619"/>
      <c r="P470" s="619"/>
      <c r="Q470" s="619"/>
      <c r="R470" s="619"/>
      <c r="S470" s="619"/>
      <c r="T470" s="619"/>
      <c r="U470" s="619"/>
      <c r="V470" s="619"/>
      <c r="W470" s="619"/>
      <c r="X470" s="619"/>
      <c r="Y470" s="619"/>
      <c r="Z470" s="619"/>
      <c r="AA470" s="596"/>
      <c r="AB470" s="577"/>
      <c r="AC470" s="577"/>
      <c r="AG470" s="577"/>
      <c r="AH470" s="577"/>
      <c r="AI470" s="577"/>
      <c r="AJ470" s="577"/>
      <c r="AN470" s="623"/>
      <c r="AO470" s="576" t="s">
        <v>601</v>
      </c>
      <c r="AP470" s="663">
        <v>0</v>
      </c>
    </row>
    <row r="471" spans="1:50" s="576" customFormat="1" ht="12.75" hidden="1" customHeight="1">
      <c r="C471" s="2054" t="s">
        <v>555</v>
      </c>
      <c r="D471" s="2055"/>
      <c r="E471" s="788" t="s">
        <v>770</v>
      </c>
      <c r="F471" s="796" t="s">
        <v>1697</v>
      </c>
      <c r="G471" s="675"/>
      <c r="H471" s="675"/>
      <c r="I471" s="675"/>
      <c r="J471" s="675"/>
      <c r="K471" s="675"/>
      <c r="L471" s="675"/>
      <c r="M471" s="675"/>
      <c r="N471" s="675"/>
      <c r="O471" s="675"/>
      <c r="P471" s="675"/>
      <c r="Q471" s="675"/>
      <c r="R471" s="675"/>
      <c r="S471" s="675"/>
      <c r="T471" s="675"/>
      <c r="U471" s="675"/>
      <c r="V471" s="675"/>
      <c r="W471" s="675"/>
      <c r="X471" s="675"/>
      <c r="Y471" s="675"/>
      <c r="Z471" s="675"/>
      <c r="AA471" s="675"/>
      <c r="AB471" s="675"/>
      <c r="AC471" s="675"/>
      <c r="AD471" s="740"/>
      <c r="AE471" s="740"/>
      <c r="AF471" s="740"/>
      <c r="AG471" s="675"/>
      <c r="AH471" s="675"/>
      <c r="AI471" s="675"/>
      <c r="AJ471" s="675"/>
      <c r="AK471" s="771"/>
      <c r="AN471" s="623"/>
      <c r="AO471" s="785">
        <v>0.15</v>
      </c>
      <c r="AP471" s="663">
        <v>3</v>
      </c>
    </row>
    <row r="472" spans="1:50" s="576" customFormat="1" ht="12.75" hidden="1" customHeight="1">
      <c r="C472" s="797" t="s">
        <v>1698</v>
      </c>
      <c r="F472" s="798" t="s">
        <v>1699</v>
      </c>
      <c r="G472" s="577"/>
      <c r="H472" s="577"/>
      <c r="I472" s="577"/>
      <c r="J472" s="577"/>
      <c r="K472" s="577"/>
      <c r="L472" s="577"/>
      <c r="M472" s="577"/>
      <c r="N472" s="577"/>
      <c r="O472" s="577"/>
      <c r="P472" s="577"/>
      <c r="Q472" s="577"/>
      <c r="R472" s="577"/>
      <c r="S472" s="577"/>
      <c r="T472" s="577"/>
      <c r="U472" s="577"/>
      <c r="V472" s="577"/>
      <c r="W472" s="577"/>
      <c r="X472" s="577"/>
      <c r="Y472" s="577"/>
      <c r="Z472" s="577"/>
      <c r="AA472" s="577"/>
      <c r="AB472" s="577"/>
      <c r="AC472" s="617"/>
      <c r="AG472" s="639"/>
      <c r="AH472" s="639"/>
      <c r="AI472" s="639"/>
      <c r="AJ472" s="639"/>
      <c r="AK472" s="758"/>
      <c r="AN472" s="623"/>
      <c r="AO472" s="785">
        <v>0.2</v>
      </c>
      <c r="AP472" s="663">
        <v>5</v>
      </c>
    </row>
    <row r="473" spans="1:50" s="576" customFormat="1" ht="12.75" hidden="1" customHeight="1">
      <c r="C473" s="778"/>
      <c r="D473" s="756"/>
      <c r="E473" s="799"/>
      <c r="F473" s="798" t="s">
        <v>1700</v>
      </c>
      <c r="G473" s="798"/>
      <c r="H473" s="798"/>
      <c r="I473" s="798"/>
      <c r="J473" s="798"/>
      <c r="K473" s="798"/>
      <c r="L473" s="798"/>
      <c r="M473" s="798"/>
      <c r="N473" s="798"/>
      <c r="O473" s="798"/>
      <c r="P473" s="798"/>
      <c r="Q473" s="798"/>
      <c r="R473" s="798"/>
      <c r="S473" s="798"/>
      <c r="T473" s="798"/>
      <c r="U473" s="798"/>
      <c r="V473" s="798"/>
      <c r="W473" s="798"/>
      <c r="X473" s="798"/>
      <c r="Y473" s="798"/>
      <c r="Z473" s="798"/>
      <c r="AA473" s="798"/>
      <c r="AB473" s="798"/>
      <c r="AC473" s="800"/>
      <c r="AD473" s="635"/>
      <c r="AE473" s="635"/>
      <c r="AF473" s="635"/>
      <c r="AG473" s="801"/>
      <c r="AH473" s="639"/>
      <c r="AI473" s="639"/>
      <c r="AJ473" s="639"/>
      <c r="AK473" s="758"/>
      <c r="AN473" s="704"/>
      <c r="AO473" s="785"/>
      <c r="AP473" s="619"/>
    </row>
    <row r="474" spans="1:50" s="622" customFormat="1" ht="12.75" hidden="1" customHeight="1">
      <c r="A474" s="663"/>
      <c r="B474" s="576"/>
      <c r="C474" s="789"/>
      <c r="D474" s="576"/>
      <c r="E474" s="790"/>
      <c r="F474" s="802" t="s">
        <v>1701</v>
      </c>
      <c r="G474" s="576"/>
      <c r="H474" s="576"/>
      <c r="I474" s="798"/>
      <c r="J474" s="798"/>
      <c r="K474" s="798"/>
      <c r="L474" s="798"/>
      <c r="M474" s="798"/>
      <c r="N474" s="798"/>
      <c r="O474" s="798"/>
      <c r="P474" s="798"/>
      <c r="Q474" s="798"/>
      <c r="R474" s="798"/>
      <c r="S474" s="798"/>
      <c r="T474" s="798"/>
      <c r="U474" s="798"/>
      <c r="V474" s="2061" t="s">
        <v>601</v>
      </c>
      <c r="W474" s="2061"/>
      <c r="X474" s="2061"/>
      <c r="Y474" s="798"/>
      <c r="Z474" s="798"/>
      <c r="AA474" s="798"/>
      <c r="AB474" s="798"/>
      <c r="AC474" s="798"/>
      <c r="AD474" s="635"/>
      <c r="AE474" s="635"/>
      <c r="AF474" s="635"/>
      <c r="AG474" s="639">
        <f>IF(AND($C$471="Yes",$V$476="N/A",$V$481="N/A",$V$485="N/A",$V$487="N/A"),(VLOOKUP(V474,$AR$444:$AS$446,2,FALSE)),0)</f>
        <v>0</v>
      </c>
      <c r="AH474" s="666" t="s">
        <v>1501</v>
      </c>
      <c r="AI474" s="577"/>
      <c r="AJ474" s="577"/>
      <c r="AK474" s="758"/>
      <c r="AL474" s="576"/>
      <c r="AM474" s="576"/>
      <c r="AN474" s="623"/>
    </row>
    <row r="475" spans="1:50" s="622" customFormat="1" ht="12.75" hidden="1" customHeight="1">
      <c r="A475" s="663"/>
      <c r="B475" s="576"/>
      <c r="C475" s="789"/>
      <c r="D475" s="576"/>
      <c r="E475" s="790"/>
      <c r="F475" s="802"/>
      <c r="G475" s="576"/>
      <c r="H475" s="576"/>
      <c r="I475" s="798"/>
      <c r="J475" s="798"/>
      <c r="K475" s="798"/>
      <c r="L475" s="798"/>
      <c r="M475" s="798"/>
      <c r="N475" s="798"/>
      <c r="O475" s="798"/>
      <c r="P475" s="798"/>
      <c r="Q475" s="798"/>
      <c r="R475" s="798"/>
      <c r="S475" s="798"/>
      <c r="T475" s="798"/>
      <c r="U475" s="798"/>
      <c r="V475" s="798"/>
      <c r="W475" s="798"/>
      <c r="X475" s="798"/>
      <c r="Y475" s="798"/>
      <c r="Z475" s="798"/>
      <c r="AA475" s="798"/>
      <c r="AB475" s="798"/>
      <c r="AC475" s="798"/>
      <c r="AD475" s="635"/>
      <c r="AE475" s="635"/>
      <c r="AF475" s="635"/>
      <c r="AG475" s="639"/>
      <c r="AH475" s="666"/>
      <c r="AI475" s="577"/>
      <c r="AJ475" s="577"/>
      <c r="AK475" s="758"/>
      <c r="AL475" s="576"/>
      <c r="AM475" s="576"/>
      <c r="AN475" s="623"/>
    </row>
    <row r="476" spans="1:50" s="622" customFormat="1" ht="12.75" hidden="1" customHeight="1">
      <c r="A476" s="663"/>
      <c r="B476" s="576"/>
      <c r="C476" s="789"/>
      <c r="D476" s="576"/>
      <c r="E476" s="790"/>
      <c r="F476" s="802" t="s">
        <v>1702</v>
      </c>
      <c r="G476" s="576"/>
      <c r="H476" s="576"/>
      <c r="I476" s="798"/>
      <c r="J476" s="798"/>
      <c r="K476" s="798"/>
      <c r="L476" s="798"/>
      <c r="M476" s="798"/>
      <c r="N476" s="798"/>
      <c r="O476" s="798"/>
      <c r="P476" s="798"/>
      <c r="Q476" s="798"/>
      <c r="R476" s="798"/>
      <c r="S476" s="798"/>
      <c r="T476" s="798"/>
      <c r="U476" s="798"/>
      <c r="V476" s="2061" t="s">
        <v>601</v>
      </c>
      <c r="W476" s="2061"/>
      <c r="X476" s="2061"/>
      <c r="Y476" s="798"/>
      <c r="Z476" s="798"/>
      <c r="AA476" s="798"/>
      <c r="AB476" s="798"/>
      <c r="AC476" s="798"/>
      <c r="AD476" s="635"/>
      <c r="AE476" s="635"/>
      <c r="AF476" s="635"/>
      <c r="AG476" s="639">
        <f>IF(AND($C$471="Yes",$V$474="N/A", $V$481="N/A",$V$485="N/A",$V$487="N/A"),(VLOOKUP(V476,$AO$444:$AP$446,2,FALSE)),0)</f>
        <v>0</v>
      </c>
      <c r="AH476" s="666" t="s">
        <v>1501</v>
      </c>
      <c r="AI476" s="577"/>
      <c r="AJ476" s="577"/>
      <c r="AK476" s="758"/>
      <c r="AL476" s="576"/>
      <c r="AM476" s="576"/>
      <c r="AN476" s="623"/>
    </row>
    <row r="477" spans="1:50" s="576" customFormat="1" ht="12.75" hidden="1" customHeight="1">
      <c r="C477" s="789"/>
      <c r="E477" s="790"/>
      <c r="F477" s="622"/>
      <c r="G477" s="803"/>
      <c r="H477" s="803"/>
      <c r="I477" s="803"/>
      <c r="J477" s="803"/>
      <c r="K477" s="803"/>
      <c r="L477" s="803"/>
      <c r="M477" s="803"/>
      <c r="N477" s="803"/>
      <c r="O477" s="803"/>
      <c r="P477" s="803"/>
      <c r="Q477" s="577"/>
      <c r="R477" s="577"/>
      <c r="S477" s="577"/>
      <c r="T477" s="577"/>
      <c r="U477" s="577"/>
      <c r="V477" s="577"/>
      <c r="W477" s="577"/>
      <c r="X477" s="577"/>
      <c r="Y477" s="577"/>
      <c r="Z477" s="577"/>
      <c r="AA477" s="577"/>
      <c r="AB477" s="577"/>
      <c r="AC477" s="577"/>
      <c r="AG477" s="622"/>
      <c r="AH477" s="622"/>
      <c r="AI477" s="622"/>
      <c r="AJ477" s="622"/>
      <c r="AK477" s="758"/>
      <c r="AN477" s="623"/>
      <c r="AO477" s="576" t="s">
        <v>601</v>
      </c>
      <c r="AP477" s="576">
        <v>0</v>
      </c>
    </row>
    <row r="478" spans="1:50" s="576" customFormat="1" ht="12.75" hidden="1" customHeight="1">
      <c r="C478" s="789"/>
      <c r="E478" s="790"/>
      <c r="F478" s="803" t="s">
        <v>1703</v>
      </c>
      <c r="I478" s="790"/>
      <c r="J478" s="790"/>
      <c r="K478" s="790"/>
      <c r="L478" s="790"/>
      <c r="M478" s="790"/>
      <c r="N478" s="790"/>
      <c r="O478" s="790"/>
      <c r="P478" s="790"/>
      <c r="Q478" s="577"/>
      <c r="R478" s="577"/>
      <c r="S478" s="577"/>
      <c r="T478" s="577"/>
      <c r="U478" s="577"/>
      <c r="V478" s="577"/>
      <c r="W478" s="577"/>
      <c r="X478" s="577"/>
      <c r="Y478" s="577"/>
      <c r="Z478" s="577"/>
      <c r="AA478" s="577"/>
      <c r="AB478" s="577"/>
      <c r="AC478" s="577"/>
      <c r="AJ478" s="577"/>
      <c r="AK478" s="758"/>
      <c r="AN478" s="623"/>
      <c r="AO478" s="576" t="s">
        <v>1704</v>
      </c>
      <c r="AP478" s="663">
        <v>2</v>
      </c>
    </row>
    <row r="479" spans="1:50" s="576" customFormat="1" ht="12.75" hidden="1" customHeight="1">
      <c r="C479" s="789"/>
      <c r="F479" s="635" t="s">
        <v>1705</v>
      </c>
      <c r="M479" s="790"/>
      <c r="N479" s="790"/>
      <c r="O479" s="790"/>
      <c r="P479" s="790"/>
      <c r="Q479" s="577"/>
      <c r="R479" s="577"/>
      <c r="S479" s="577"/>
      <c r="T479" s="577"/>
      <c r="U479" s="577"/>
      <c r="V479" s="577"/>
      <c r="W479" s="577"/>
      <c r="X479" s="577"/>
      <c r="Y479" s="577"/>
      <c r="Z479" s="577"/>
      <c r="AA479" s="577"/>
      <c r="AB479" s="577"/>
      <c r="AC479" s="577"/>
      <c r="AG479" s="639"/>
      <c r="AH479" s="666"/>
      <c r="AI479" s="577"/>
      <c r="AJ479" s="577"/>
      <c r="AK479" s="758"/>
      <c r="AN479" s="623"/>
      <c r="AO479" s="576" t="s">
        <v>1706</v>
      </c>
      <c r="AP479" s="576">
        <v>2</v>
      </c>
    </row>
    <row r="480" spans="1:50" s="622" customFormat="1" ht="12.75" hidden="1" customHeight="1">
      <c r="A480" s="576"/>
      <c r="B480" s="576"/>
      <c r="C480" s="765"/>
      <c r="D480" s="596"/>
      <c r="E480" s="596"/>
      <c r="F480" s="635" t="s">
        <v>1707</v>
      </c>
      <c r="G480" s="576"/>
      <c r="H480" s="576"/>
      <c r="I480" s="576"/>
      <c r="J480" s="576"/>
      <c r="K480" s="576"/>
      <c r="L480" s="576"/>
      <c r="M480" s="790"/>
      <c r="N480" s="790"/>
      <c r="O480" s="790"/>
      <c r="P480" s="790"/>
      <c r="Q480" s="577"/>
      <c r="R480" s="577"/>
      <c r="S480" s="577"/>
      <c r="T480" s="577"/>
      <c r="U480" s="577"/>
      <c r="V480" s="577"/>
      <c r="W480" s="577"/>
      <c r="X480" s="577"/>
      <c r="Y480" s="577"/>
      <c r="Z480" s="577"/>
      <c r="AA480" s="577"/>
      <c r="AB480" s="577"/>
      <c r="AC480" s="577"/>
      <c r="AD480" s="576"/>
      <c r="AE480" s="576"/>
      <c r="AF480" s="576"/>
      <c r="AG480" s="639"/>
      <c r="AH480" s="666"/>
      <c r="AI480" s="577"/>
      <c r="AJ480" s="577"/>
      <c r="AK480" s="758"/>
      <c r="AL480" s="576"/>
      <c r="AM480" s="576"/>
      <c r="AN480" s="704"/>
      <c r="AO480" s="576" t="s">
        <v>1708</v>
      </c>
      <c r="AP480" s="576">
        <v>2</v>
      </c>
    </row>
    <row r="481" spans="1:81" s="576" customFormat="1" ht="12.75" hidden="1" customHeight="1">
      <c r="C481" s="804"/>
      <c r="F481" s="802" t="s">
        <v>1709</v>
      </c>
      <c r="M481" s="790"/>
      <c r="N481" s="790"/>
      <c r="O481" s="790"/>
      <c r="P481" s="790"/>
      <c r="Q481" s="577"/>
      <c r="R481" s="577"/>
      <c r="S481" s="577"/>
      <c r="T481" s="577"/>
      <c r="U481" s="577"/>
      <c r="V481" s="2061" t="s">
        <v>601</v>
      </c>
      <c r="W481" s="2061"/>
      <c r="X481" s="2061"/>
      <c r="Y481" s="577"/>
      <c r="Z481" s="577"/>
      <c r="AA481" s="577"/>
      <c r="AB481" s="577"/>
      <c r="AC481" s="577"/>
      <c r="AG481" s="639">
        <f>IF(AND($C$471="Yes",$V$474="N/A",$V$476="N/A", $V$485="N/A",$V$487="N/A"),(VLOOKUP($V$481,$AO$448:$AP$450,2,FALSE)),0)</f>
        <v>0</v>
      </c>
      <c r="AH481" s="666" t="s">
        <v>1501</v>
      </c>
      <c r="AI481" s="577"/>
      <c r="AJ481" s="577"/>
      <c r="AK481" s="758"/>
      <c r="AN481" s="561"/>
    </row>
    <row r="482" spans="1:81" s="576" customFormat="1" ht="12.75" hidden="1" customHeight="1">
      <c r="C482" s="789"/>
      <c r="M482" s="790"/>
      <c r="N482" s="790"/>
      <c r="O482" s="790"/>
      <c r="P482" s="790"/>
      <c r="Q482" s="577"/>
      <c r="R482" s="577"/>
      <c r="S482" s="577"/>
      <c r="T482" s="577"/>
      <c r="U482" s="577"/>
      <c r="V482" s="577"/>
      <c r="W482" s="577"/>
      <c r="X482" s="577"/>
      <c r="Y482" s="577"/>
      <c r="Z482" s="577"/>
      <c r="AA482" s="577"/>
      <c r="AB482" s="577"/>
      <c r="AC482" s="577"/>
      <c r="AJ482" s="577"/>
      <c r="AK482" s="758"/>
      <c r="AN482" s="805"/>
    </row>
    <row r="483" spans="1:81" s="622" customFormat="1" ht="12.75" hidden="1" customHeight="1">
      <c r="A483" s="576"/>
      <c r="B483" s="576"/>
      <c r="C483" s="806" t="s">
        <v>1710</v>
      </c>
      <c r="D483" s="740"/>
      <c r="E483" s="740"/>
      <c r="F483" s="807" t="s">
        <v>1711</v>
      </c>
      <c r="G483" s="740"/>
      <c r="H483" s="740"/>
      <c r="I483" s="740"/>
      <c r="J483" s="740"/>
      <c r="K483" s="740"/>
      <c r="L483" s="740"/>
      <c r="M483" s="740"/>
      <c r="N483" s="740"/>
      <c r="O483" s="740"/>
      <c r="P483" s="740"/>
      <c r="Q483" s="740"/>
      <c r="R483" s="740"/>
      <c r="S483" s="740"/>
      <c r="T483" s="740"/>
      <c r="U483" s="740"/>
      <c r="V483" s="740"/>
      <c r="W483" s="740"/>
      <c r="X483" s="740"/>
      <c r="Y483" s="740"/>
      <c r="Z483" s="740"/>
      <c r="AA483" s="740"/>
      <c r="AB483" s="740"/>
      <c r="AC483" s="740"/>
      <c r="AD483" s="740"/>
      <c r="AE483" s="740"/>
      <c r="AF483" s="740"/>
      <c r="AG483" s="740"/>
      <c r="AH483" s="740"/>
      <c r="AI483" s="740"/>
      <c r="AJ483" s="740"/>
      <c r="AK483" s="771"/>
      <c r="AL483" s="576"/>
      <c r="AM483" s="576"/>
      <c r="AN483" s="618"/>
      <c r="AO483" s="576" t="s">
        <v>601</v>
      </c>
      <c r="AP483" s="576">
        <v>0</v>
      </c>
      <c r="AQ483" s="565"/>
    </row>
    <row r="484" spans="1:81" s="622" customFormat="1" ht="12.75" hidden="1" customHeight="1">
      <c r="A484" s="576"/>
      <c r="B484" s="576"/>
      <c r="C484" s="808"/>
      <c r="D484" s="2060"/>
      <c r="E484" s="2060"/>
      <c r="F484" s="798" t="s">
        <v>1712</v>
      </c>
      <c r="I484" s="576"/>
      <c r="J484" s="576"/>
      <c r="K484" s="576"/>
      <c r="L484" s="576"/>
      <c r="M484" s="576"/>
      <c r="N484" s="576"/>
      <c r="O484" s="576"/>
      <c r="P484" s="576"/>
      <c r="Q484" s="576"/>
      <c r="R484" s="576"/>
      <c r="S484" s="576"/>
      <c r="T484" s="576"/>
      <c r="U484" s="576"/>
      <c r="Y484" s="576"/>
      <c r="Z484" s="576"/>
      <c r="AA484" s="576"/>
      <c r="AB484" s="576"/>
      <c r="AC484" s="576"/>
      <c r="AD484" s="576"/>
      <c r="AE484" s="576"/>
      <c r="AF484" s="576"/>
      <c r="AK484" s="758"/>
      <c r="AL484" s="576"/>
      <c r="AM484" s="576"/>
      <c r="AN484" s="618"/>
      <c r="AO484" s="576" t="s">
        <v>1713</v>
      </c>
      <c r="AP484" s="663">
        <v>5</v>
      </c>
      <c r="AQ484" s="565"/>
    </row>
    <row r="485" spans="1:81" s="596" customFormat="1" ht="12.75" hidden="1" customHeight="1">
      <c r="A485" s="705"/>
      <c r="B485" s="576"/>
      <c r="C485" s="789"/>
      <c r="D485" s="576"/>
      <c r="E485" s="576"/>
      <c r="F485" s="809" t="s">
        <v>1701</v>
      </c>
      <c r="G485" s="576"/>
      <c r="H485" s="576"/>
      <c r="I485" s="576"/>
      <c r="J485" s="576"/>
      <c r="K485" s="576"/>
      <c r="L485" s="576"/>
      <c r="M485" s="576"/>
      <c r="N485" s="576"/>
      <c r="O485" s="576"/>
      <c r="P485" s="576"/>
      <c r="Q485" s="576"/>
      <c r="R485" s="576"/>
      <c r="S485" s="576"/>
      <c r="T485" s="576"/>
      <c r="U485" s="576"/>
      <c r="V485" s="2061" t="s">
        <v>601</v>
      </c>
      <c r="W485" s="2061"/>
      <c r="X485" s="2061"/>
      <c r="Y485" s="576"/>
      <c r="Z485" s="576"/>
      <c r="AA485" s="576"/>
      <c r="AB485" s="576"/>
      <c r="AC485" s="576"/>
      <c r="AD485" s="576"/>
      <c r="AE485" s="576"/>
      <c r="AF485" s="576"/>
      <c r="AG485" s="639">
        <f>IF(AND($C$471="Yes",$V$474="N/A",V476="N/A",$V$481="N/A",$V$487="N/A"),(VLOOKUP($V$485,$AW$444:$AX$447,2,FALSE)),0)</f>
        <v>0</v>
      </c>
      <c r="AH485" s="666" t="s">
        <v>1501</v>
      </c>
      <c r="AI485" s="577"/>
      <c r="AJ485" s="576"/>
      <c r="AK485" s="758"/>
      <c r="AL485" s="576"/>
      <c r="AM485" s="576"/>
      <c r="AN485" s="710"/>
      <c r="AO485" s="576" t="s">
        <v>1714</v>
      </c>
      <c r="AP485" s="576">
        <v>5</v>
      </c>
      <c r="AS485" s="576"/>
      <c r="AT485" s="576"/>
      <c r="AU485" s="576"/>
      <c r="AV485" s="576"/>
      <c r="AW485" s="576"/>
      <c r="AX485" s="576"/>
      <c r="AY485" s="576"/>
      <c r="AZ485" s="576"/>
      <c r="BA485" s="576"/>
      <c r="BB485" s="576"/>
      <c r="BO485" s="576"/>
      <c r="BP485" s="576"/>
      <c r="BQ485" s="576"/>
      <c r="BR485" s="576"/>
      <c r="BS485" s="576"/>
      <c r="BT485" s="576"/>
      <c r="BU485" s="576"/>
      <c r="BV485" s="576"/>
      <c r="BW485" s="576"/>
      <c r="BX485" s="576"/>
      <c r="BY485" s="576"/>
      <c r="BZ485" s="576"/>
      <c r="CA485" s="576"/>
      <c r="CB485" s="576"/>
      <c r="CC485" s="576"/>
    </row>
    <row r="486" spans="1:81" s="596" customFormat="1" ht="12.75" hidden="1" customHeight="1">
      <c r="A486" s="705"/>
      <c r="B486" s="576"/>
      <c r="C486" s="789"/>
      <c r="D486" s="576"/>
      <c r="E486" s="576"/>
      <c r="I486" s="576"/>
      <c r="J486" s="576"/>
      <c r="K486" s="576"/>
      <c r="L486" s="576"/>
      <c r="M486" s="576"/>
      <c r="N486" s="576"/>
      <c r="O486" s="576"/>
      <c r="P486" s="576"/>
      <c r="Q486" s="576"/>
      <c r="R486" s="576"/>
      <c r="S486" s="576"/>
      <c r="T486" s="576"/>
      <c r="U486" s="576"/>
      <c r="V486" s="576"/>
      <c r="W486" s="576"/>
      <c r="X486" s="576"/>
      <c r="Y486" s="576"/>
      <c r="Z486" s="576"/>
      <c r="AA486" s="576"/>
      <c r="AB486" s="576"/>
      <c r="AC486" s="576"/>
      <c r="AD486" s="576"/>
      <c r="AE486" s="576"/>
      <c r="AF486" s="576"/>
      <c r="AK486" s="758"/>
      <c r="AL486" s="576"/>
      <c r="AM486" s="576"/>
      <c r="AN486" s="710"/>
      <c r="AO486" s="576" t="s">
        <v>1715</v>
      </c>
      <c r="AP486" s="576">
        <v>5</v>
      </c>
      <c r="AS486" s="576"/>
      <c r="AT486" s="576"/>
      <c r="AU486" s="576"/>
      <c r="AV486" s="576"/>
      <c r="AW486" s="576"/>
      <c r="AX486" s="576"/>
      <c r="AY486" s="576"/>
      <c r="AZ486" s="576"/>
      <c r="BA486" s="576"/>
      <c r="BB486" s="576"/>
      <c r="BC486" s="576"/>
      <c r="BD486" s="576"/>
      <c r="BE486" s="576"/>
      <c r="BF486" s="576"/>
      <c r="BG486" s="576"/>
      <c r="BH486" s="576"/>
      <c r="BI486" s="576"/>
      <c r="BJ486" s="576"/>
      <c r="BK486" s="576"/>
      <c r="BL486" s="576"/>
      <c r="BM486" s="576"/>
      <c r="BN486" s="576"/>
      <c r="BO486" s="576"/>
      <c r="BP486" s="576"/>
      <c r="BQ486" s="576"/>
      <c r="BR486" s="576"/>
      <c r="BS486" s="576"/>
      <c r="BT486" s="576"/>
      <c r="BU486" s="576"/>
      <c r="BV486" s="576"/>
      <c r="BW486" s="576"/>
      <c r="BX486" s="576"/>
      <c r="BY486" s="576"/>
      <c r="BZ486" s="576"/>
      <c r="CA486" s="576"/>
      <c r="CB486" s="576"/>
      <c r="CC486" s="576"/>
    </row>
    <row r="487" spans="1:81" s="565" customFormat="1" ht="12.75" hidden="1" customHeight="1">
      <c r="A487" s="705"/>
      <c r="B487" s="576"/>
      <c r="C487" s="791"/>
      <c r="D487" s="753"/>
      <c r="E487" s="753"/>
      <c r="F487" s="802" t="s">
        <v>1702</v>
      </c>
      <c r="G487" s="793"/>
      <c r="H487" s="793"/>
      <c r="I487" s="753"/>
      <c r="J487" s="753"/>
      <c r="K487" s="753"/>
      <c r="L487" s="753"/>
      <c r="M487" s="753"/>
      <c r="N487" s="753"/>
      <c r="O487" s="753"/>
      <c r="P487" s="753"/>
      <c r="Q487" s="753"/>
      <c r="R487" s="753"/>
      <c r="S487" s="753"/>
      <c r="T487" s="753"/>
      <c r="U487" s="753"/>
      <c r="V487" s="2061" t="s">
        <v>601</v>
      </c>
      <c r="W487" s="2061"/>
      <c r="X487" s="2061"/>
      <c r="Y487" s="753"/>
      <c r="Z487" s="753"/>
      <c r="AA487" s="753"/>
      <c r="AB487" s="753"/>
      <c r="AC487" s="753"/>
      <c r="AD487" s="753"/>
      <c r="AE487" s="753"/>
      <c r="AF487" s="753"/>
      <c r="AG487" s="810">
        <f>IF(AND($C$471="Yes",$V$474="N/A",$V$476="N/A",$V$481="N/A",$V$485="N/A"),(VLOOKUP($V$487,$BA$444:$BB$446,2,FALSE)),0)</f>
        <v>0</v>
      </c>
      <c r="AH487" s="795" t="s">
        <v>1501</v>
      </c>
      <c r="AI487" s="753"/>
      <c r="AJ487" s="753"/>
      <c r="AK487" s="768"/>
      <c r="AL487" s="576"/>
      <c r="AM487" s="576"/>
      <c r="AN487" s="811"/>
      <c r="AP487" s="622"/>
      <c r="AQ487" s="622"/>
      <c r="AR487" s="622"/>
      <c r="AS487" s="622"/>
      <c r="AT487" s="622"/>
      <c r="AU487" s="622"/>
      <c r="AV487" s="622"/>
      <c r="AW487" s="622"/>
      <c r="AX487" s="622"/>
      <c r="AY487" s="622"/>
      <c r="AZ487" s="622"/>
      <c r="BA487" s="622"/>
      <c r="BB487" s="622"/>
      <c r="BC487" s="622"/>
      <c r="BE487" s="622"/>
      <c r="BF487" s="622"/>
      <c r="BG487" s="622"/>
      <c r="BH487" s="622"/>
      <c r="BI487" s="622"/>
      <c r="BJ487" s="622"/>
      <c r="BK487" s="622"/>
      <c r="BL487" s="622"/>
      <c r="BM487" s="622"/>
      <c r="BN487" s="622"/>
      <c r="BO487" s="622"/>
      <c r="BP487" s="622"/>
      <c r="BQ487" s="622"/>
      <c r="BR487" s="622"/>
    </row>
    <row r="488" spans="1:81" s="565" customFormat="1" ht="12.75" hidden="1" customHeight="1">
      <c r="A488" s="705"/>
      <c r="B488" s="576"/>
      <c r="C488" s="577"/>
      <c r="D488" s="576"/>
      <c r="E488" s="790"/>
      <c r="F488" s="576"/>
      <c r="G488" s="576"/>
      <c r="H488" s="576"/>
      <c r="I488" s="576"/>
      <c r="J488" s="576"/>
      <c r="K488" s="576"/>
      <c r="L488" s="576"/>
      <c r="M488" s="576"/>
      <c r="N488" s="576"/>
      <c r="O488" s="576"/>
      <c r="P488" s="576"/>
      <c r="Q488" s="576"/>
      <c r="R488" s="576"/>
      <c r="S488" s="576"/>
      <c r="T488" s="576"/>
      <c r="U488" s="576"/>
      <c r="V488" s="576"/>
      <c r="W488" s="576"/>
      <c r="X488" s="576"/>
      <c r="Y488" s="576"/>
      <c r="Z488" s="576"/>
      <c r="AA488" s="576"/>
      <c r="AB488" s="576"/>
      <c r="AC488" s="576"/>
      <c r="AD488" s="576"/>
      <c r="AE488" s="576"/>
      <c r="AF488" s="576"/>
      <c r="AG488" s="576"/>
      <c r="AH488" s="576"/>
      <c r="AI488" s="576"/>
      <c r="AJ488" s="576"/>
      <c r="AK488" s="576"/>
      <c r="AL488" s="576"/>
      <c r="AM488" s="576"/>
      <c r="AN488" s="811"/>
      <c r="AO488" s="812"/>
      <c r="AP488" s="576"/>
      <c r="AQ488" s="576"/>
      <c r="AR488" s="576"/>
      <c r="AS488" s="576"/>
      <c r="AT488" s="576"/>
      <c r="AU488" s="813"/>
      <c r="AV488" s="813"/>
      <c r="AW488" s="813"/>
      <c r="AX488" s="813"/>
      <c r="AY488" s="813"/>
      <c r="AZ488" s="813"/>
      <c r="BA488" s="813"/>
      <c r="BB488" s="622"/>
      <c r="BC488" s="622"/>
      <c r="BE488" s="576"/>
      <c r="BF488" s="576"/>
      <c r="BG488" s="576"/>
      <c r="BH488" s="576"/>
      <c r="BI488" s="576"/>
      <c r="BJ488" s="813"/>
      <c r="BK488" s="813"/>
      <c r="BL488" s="813"/>
      <c r="BM488" s="813"/>
      <c r="BN488" s="813"/>
      <c r="BO488" s="813"/>
      <c r="BP488" s="813"/>
      <c r="BQ488" s="622"/>
      <c r="BR488" s="576"/>
    </row>
    <row r="489" spans="1:81" s="565" customFormat="1" ht="12.75" hidden="1" customHeight="1">
      <c r="A489" s="705"/>
      <c r="B489" s="576"/>
      <c r="C489" s="738" t="s">
        <v>1716</v>
      </c>
      <c r="D489" s="576"/>
      <c r="E489" s="790"/>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6"/>
      <c r="AE489" s="576"/>
      <c r="AF489" s="576"/>
      <c r="AG489" s="577"/>
      <c r="AH489" s="577"/>
      <c r="AI489" s="577"/>
      <c r="AJ489" s="577"/>
      <c r="AK489" s="576"/>
      <c r="AL489" s="576"/>
      <c r="AM489" s="576"/>
      <c r="AN489" s="811"/>
      <c r="AO489" s="812"/>
      <c r="AP489" s="576"/>
      <c r="AQ489" s="576"/>
      <c r="AR489" s="576"/>
      <c r="AS489" s="576"/>
      <c r="AT489" s="576"/>
      <c r="AU489" s="813"/>
      <c r="AV489" s="813"/>
      <c r="AW489" s="813"/>
      <c r="AX489" s="813"/>
      <c r="AY489" s="813"/>
      <c r="AZ489" s="813"/>
      <c r="BA489" s="813"/>
      <c r="BB489" s="622"/>
      <c r="BC489" s="622"/>
      <c r="BE489" s="576"/>
      <c r="BF489" s="576"/>
      <c r="BG489" s="576"/>
      <c r="BH489" s="576"/>
      <c r="BI489" s="576"/>
      <c r="BJ489" s="813"/>
      <c r="BK489" s="813"/>
      <c r="BL489" s="813"/>
      <c r="BM489" s="813"/>
      <c r="BN489" s="813"/>
      <c r="BO489" s="813"/>
      <c r="BP489" s="813"/>
      <c r="BQ489" s="622"/>
      <c r="BR489" s="576"/>
    </row>
    <row r="490" spans="1:81" s="596" customFormat="1" ht="12.75" hidden="1" customHeight="1">
      <c r="A490" s="705"/>
      <c r="B490" s="576"/>
      <c r="C490" s="2049" t="s">
        <v>601</v>
      </c>
      <c r="D490" s="2050"/>
      <c r="E490" s="788" t="s">
        <v>517</v>
      </c>
      <c r="F490" s="2051" t="s">
        <v>1695</v>
      </c>
      <c r="G490" s="2051"/>
      <c r="H490" s="2051"/>
      <c r="I490" s="2051"/>
      <c r="J490" s="2051"/>
      <c r="K490" s="2051"/>
      <c r="L490" s="2051"/>
      <c r="M490" s="2051"/>
      <c r="N490" s="2051"/>
      <c r="O490" s="2051"/>
      <c r="P490" s="2051"/>
      <c r="Q490" s="2051"/>
      <c r="R490" s="2051"/>
      <c r="S490" s="2051"/>
      <c r="T490" s="2051"/>
      <c r="U490" s="2051"/>
      <c r="V490" s="2051"/>
      <c r="W490" s="2051"/>
      <c r="X490" s="2051"/>
      <c r="Y490" s="2051"/>
      <c r="Z490" s="2051"/>
      <c r="AA490" s="2051"/>
      <c r="AB490" s="2051"/>
      <c r="AC490" s="2051"/>
      <c r="AD490" s="2051"/>
      <c r="AE490" s="2051"/>
      <c r="AF490" s="740"/>
      <c r="AG490" s="742"/>
      <c r="AH490" s="742"/>
      <c r="AI490" s="742"/>
      <c r="AJ490" s="742"/>
      <c r="AK490" s="771"/>
      <c r="AL490" s="576"/>
      <c r="AM490" s="576"/>
      <c r="AN490" s="560"/>
      <c r="AO490" s="30"/>
      <c r="AP490" s="576"/>
      <c r="AQ490" s="576"/>
      <c r="AR490" s="576"/>
      <c r="AS490" s="576"/>
      <c r="AT490" s="576"/>
      <c r="AU490" s="814"/>
      <c r="AV490" s="814"/>
      <c r="AW490" s="814"/>
      <c r="AX490" s="814"/>
      <c r="AY490" s="814"/>
      <c r="AZ490" s="814"/>
      <c r="BA490" s="814"/>
      <c r="BB490" s="576"/>
      <c r="BC490" s="576"/>
      <c r="BD490" s="562"/>
      <c r="BE490" s="576"/>
      <c r="BF490" s="576"/>
      <c r="BG490" s="576"/>
      <c r="BH490" s="576"/>
      <c r="BI490" s="576"/>
      <c r="BJ490" s="814"/>
      <c r="BK490" s="814"/>
      <c r="BL490" s="814"/>
      <c r="BM490" s="814"/>
      <c r="BN490" s="814"/>
      <c r="BO490" s="814"/>
      <c r="BP490" s="814"/>
      <c r="BQ490" s="576"/>
      <c r="BR490" s="576"/>
      <c r="BS490" s="562"/>
      <c r="BT490" s="562"/>
      <c r="BU490" s="562"/>
      <c r="BV490" s="562"/>
      <c r="BW490" s="562"/>
      <c r="BX490" s="562"/>
      <c r="BY490" s="562"/>
      <c r="BZ490" s="562"/>
      <c r="CA490" s="562"/>
      <c r="CB490" s="562"/>
      <c r="CC490" s="562"/>
    </row>
    <row r="491" spans="1:81" s="596" customFormat="1" ht="12.75" hidden="1" customHeight="1">
      <c r="A491" s="705"/>
      <c r="B491" s="576"/>
      <c r="C491" s="789"/>
      <c r="D491" s="576"/>
      <c r="E491" s="790"/>
      <c r="F491" s="2052"/>
      <c r="G491" s="2052"/>
      <c r="H491" s="2052"/>
      <c r="I491" s="2052"/>
      <c r="J491" s="2052"/>
      <c r="K491" s="2052"/>
      <c r="L491" s="2052"/>
      <c r="M491" s="2052"/>
      <c r="N491" s="2052"/>
      <c r="O491" s="2052"/>
      <c r="P491" s="2052"/>
      <c r="Q491" s="2052"/>
      <c r="R491" s="2052"/>
      <c r="S491" s="2052"/>
      <c r="T491" s="2052"/>
      <c r="U491" s="2052"/>
      <c r="V491" s="2052"/>
      <c r="W491" s="2052"/>
      <c r="X491" s="2052"/>
      <c r="Y491" s="2052"/>
      <c r="Z491" s="2052"/>
      <c r="AA491" s="2052"/>
      <c r="AB491" s="2052"/>
      <c r="AC491" s="2052"/>
      <c r="AD491" s="2052"/>
      <c r="AE491" s="2052"/>
      <c r="AF491" s="576"/>
      <c r="AG491" s="577"/>
      <c r="AH491" s="577"/>
      <c r="AI491" s="577"/>
      <c r="AJ491" s="577"/>
      <c r="AK491" s="758"/>
      <c r="AL491" s="576"/>
      <c r="AM491" s="576"/>
      <c r="AN491" s="560"/>
      <c r="AO491" s="30"/>
      <c r="AP491" s="815"/>
      <c r="AQ491" s="815"/>
      <c r="AR491" s="815"/>
      <c r="AS491" s="705"/>
      <c r="AT491" s="576"/>
      <c r="AU491" s="816"/>
      <c r="AV491" s="816"/>
      <c r="AW491" s="816"/>
      <c r="AX491" s="816"/>
      <c r="AY491" s="816"/>
      <c r="AZ491" s="816"/>
      <c r="BA491" s="816"/>
      <c r="BB491" s="14"/>
      <c r="BC491" s="14"/>
      <c r="BD491" s="562"/>
      <c r="BE491" s="815"/>
      <c r="BF491" s="815"/>
      <c r="BG491" s="815"/>
      <c r="BH491" s="705"/>
      <c r="BI491" s="576"/>
      <c r="BJ491" s="817"/>
      <c r="BK491" s="816"/>
      <c r="BL491" s="816"/>
      <c r="BM491" s="816"/>
      <c r="BN491" s="816"/>
      <c r="BO491" s="816"/>
      <c r="BP491" s="816"/>
      <c r="BQ491" s="14"/>
      <c r="BR491" s="576"/>
      <c r="BS491" s="562"/>
      <c r="BT491" s="562"/>
      <c r="BU491" s="562"/>
      <c r="BV491" s="562"/>
      <c r="BW491" s="562"/>
      <c r="BX491" s="562"/>
      <c r="BY491" s="562"/>
      <c r="BZ491" s="562"/>
      <c r="CA491" s="562"/>
      <c r="CB491" s="562"/>
      <c r="CC491" s="562"/>
    </row>
    <row r="492" spans="1:81" s="596" customFormat="1" ht="12.75" hidden="1" customHeight="1">
      <c r="A492" s="705"/>
      <c r="B492" s="576"/>
      <c r="C492" s="791"/>
      <c r="D492" s="753"/>
      <c r="E492" s="792"/>
      <c r="F492" s="2056" t="s">
        <v>601</v>
      </c>
      <c r="G492" s="2056"/>
      <c r="H492" s="2056"/>
      <c r="I492" s="2056"/>
      <c r="J492" s="2056"/>
      <c r="K492" s="2056"/>
      <c r="L492" s="2056"/>
      <c r="M492" s="2056"/>
      <c r="N492" s="2056"/>
      <c r="O492" s="2056"/>
      <c r="P492" s="2056"/>
      <c r="Q492" s="2056"/>
      <c r="R492" s="2056"/>
      <c r="S492" s="2056"/>
      <c r="T492" s="2056"/>
      <c r="U492" s="2056"/>
      <c r="V492" s="2056"/>
      <c r="W492" s="2056"/>
      <c r="X492" s="2056"/>
      <c r="Y492" s="2056"/>
      <c r="Z492" s="2056"/>
      <c r="AA492" s="793"/>
      <c r="AB492" s="684"/>
      <c r="AC492" s="684"/>
      <c r="AD492" s="753"/>
      <c r="AE492" s="753"/>
      <c r="AF492" s="753"/>
      <c r="AG492" s="794">
        <f>IF($C$490="Yes",(VLOOKUP($F$492,$AO$460:$AP$468,2,FALSE)),0)</f>
        <v>0</v>
      </c>
      <c r="AH492" s="795" t="s">
        <v>1501</v>
      </c>
      <c r="AI492" s="794"/>
      <c r="AJ492" s="684"/>
      <c r="AK492" s="768"/>
      <c r="AL492" s="576"/>
      <c r="AM492" s="576"/>
      <c r="AN492" s="560"/>
      <c r="AO492" s="30"/>
      <c r="AP492" s="815"/>
      <c r="AQ492" s="815"/>
      <c r="AR492" s="815"/>
      <c r="AS492" s="705"/>
      <c r="AT492" s="576"/>
      <c r="AU492" s="816"/>
      <c r="AV492" s="816"/>
      <c r="AW492" s="816"/>
      <c r="AX492" s="816"/>
      <c r="AY492" s="816"/>
      <c r="AZ492" s="816"/>
      <c r="BA492" s="816"/>
      <c r="BB492" s="14"/>
      <c r="BC492" s="14"/>
      <c r="BD492" s="562"/>
      <c r="BE492" s="815"/>
      <c r="BF492" s="815"/>
      <c r="BG492" s="815"/>
      <c r="BH492" s="705"/>
      <c r="BI492" s="576"/>
      <c r="BJ492" s="817"/>
      <c r="BK492" s="816"/>
      <c r="BL492" s="816"/>
      <c r="BM492" s="816"/>
      <c r="BN492" s="816"/>
      <c r="BO492" s="816"/>
      <c r="BP492" s="816"/>
      <c r="BQ492" s="14"/>
      <c r="BR492" s="576"/>
      <c r="BS492" s="562"/>
      <c r="BT492" s="562"/>
      <c r="BU492" s="562"/>
      <c r="BV492" s="562"/>
      <c r="BW492" s="562"/>
      <c r="BX492" s="562"/>
      <c r="BY492" s="562"/>
      <c r="BZ492" s="562"/>
      <c r="CA492" s="562"/>
      <c r="CB492" s="562"/>
      <c r="CC492" s="562"/>
    </row>
    <row r="493" spans="1:81" s="596" customFormat="1" ht="12.75" hidden="1" customHeight="1">
      <c r="A493" s="705"/>
      <c r="B493" s="576"/>
      <c r="C493" s="738"/>
      <c r="D493" s="576"/>
      <c r="E493" s="790"/>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6"/>
      <c r="AE493" s="576"/>
      <c r="AF493" s="576"/>
      <c r="AG493" s="577"/>
      <c r="AH493" s="577"/>
      <c r="AI493" s="577"/>
      <c r="AJ493" s="577"/>
      <c r="AK493" s="576"/>
      <c r="AL493" s="576"/>
      <c r="AM493" s="576"/>
      <c r="AN493" s="560"/>
      <c r="AO493" s="30"/>
      <c r="AP493" s="815"/>
      <c r="AQ493" s="815"/>
      <c r="AR493" s="815"/>
      <c r="AS493" s="705"/>
      <c r="AT493" s="576"/>
      <c r="AU493" s="816"/>
      <c r="AV493" s="816"/>
      <c r="AW493" s="816"/>
      <c r="AX493" s="816"/>
      <c r="AY493" s="816"/>
      <c r="AZ493" s="816"/>
      <c r="BA493" s="816"/>
      <c r="BB493" s="14"/>
      <c r="BC493" s="14"/>
      <c r="BD493" s="562"/>
      <c r="BE493" s="815"/>
      <c r="BF493" s="815"/>
      <c r="BG493" s="815"/>
      <c r="BH493" s="705"/>
      <c r="BI493" s="576"/>
      <c r="BJ493" s="817"/>
      <c r="BK493" s="816"/>
      <c r="BL493" s="816"/>
      <c r="BM493" s="816"/>
      <c r="BN493" s="816"/>
      <c r="BO493" s="816"/>
      <c r="BP493" s="816"/>
      <c r="BQ493" s="14"/>
      <c r="BR493" s="576"/>
      <c r="BS493" s="562"/>
      <c r="BT493" s="562"/>
      <c r="BU493" s="562"/>
      <c r="BV493" s="562"/>
      <c r="BW493" s="562"/>
      <c r="BX493" s="562"/>
      <c r="BY493" s="562"/>
      <c r="BZ493" s="562"/>
      <c r="CA493" s="562"/>
      <c r="CB493" s="562"/>
      <c r="CC493" s="562"/>
    </row>
    <row r="494" spans="1:81" s="596" customFormat="1" ht="12.75" hidden="1" customHeight="1">
      <c r="A494" s="576"/>
      <c r="B494" s="576"/>
      <c r="C494" s="2049" t="s">
        <v>601</v>
      </c>
      <c r="D494" s="2050"/>
      <c r="E494" s="788" t="s">
        <v>770</v>
      </c>
      <c r="F494" s="2057" t="s">
        <v>1717</v>
      </c>
      <c r="G494" s="2057"/>
      <c r="H494" s="2057"/>
      <c r="I494" s="2057"/>
      <c r="J494" s="2057"/>
      <c r="K494" s="2057"/>
      <c r="L494" s="2057"/>
      <c r="M494" s="2057"/>
      <c r="N494" s="2057"/>
      <c r="O494" s="2057"/>
      <c r="P494" s="2057"/>
      <c r="Q494" s="2057"/>
      <c r="R494" s="2057"/>
      <c r="S494" s="2057"/>
      <c r="T494" s="2057"/>
      <c r="U494" s="2057"/>
      <c r="V494" s="2057"/>
      <c r="W494" s="2057"/>
      <c r="X494" s="2057"/>
      <c r="Y494" s="2057"/>
      <c r="Z494" s="2057"/>
      <c r="AA494" s="2057"/>
      <c r="AB494" s="2057"/>
      <c r="AC494" s="2057"/>
      <c r="AD494" s="2057"/>
      <c r="AE494" s="2057"/>
      <c r="AF494" s="740"/>
      <c r="AG494" s="675"/>
      <c r="AH494" s="675"/>
      <c r="AI494" s="675"/>
      <c r="AJ494" s="675"/>
      <c r="AK494" s="771"/>
      <c r="AL494" s="576"/>
      <c r="AM494" s="576"/>
      <c r="AN494" s="560"/>
      <c r="AO494" s="30"/>
      <c r="AP494" s="815"/>
      <c r="AQ494" s="815"/>
      <c r="AR494" s="815"/>
      <c r="AS494" s="705"/>
      <c r="AT494" s="576"/>
      <c r="AU494" s="816"/>
      <c r="AV494" s="816"/>
      <c r="AW494" s="816"/>
      <c r="AX494" s="816"/>
      <c r="AY494" s="816"/>
      <c r="AZ494" s="816"/>
      <c r="BA494" s="816"/>
      <c r="BB494" s="14"/>
      <c r="BC494" s="14"/>
      <c r="BD494" s="562"/>
      <c r="BE494" s="815"/>
      <c r="BF494" s="815"/>
      <c r="BG494" s="815"/>
      <c r="BH494" s="705"/>
      <c r="BI494" s="576"/>
      <c r="BJ494" s="817"/>
      <c r="BK494" s="816"/>
      <c r="BL494" s="816"/>
      <c r="BM494" s="816"/>
      <c r="BN494" s="816"/>
      <c r="BO494" s="816"/>
      <c r="BP494" s="816"/>
      <c r="BQ494" s="14"/>
      <c r="BR494" s="576"/>
      <c r="BS494" s="562"/>
      <c r="BT494" s="562"/>
      <c r="BU494" s="562"/>
      <c r="BV494" s="562"/>
      <c r="BW494" s="562"/>
      <c r="BX494" s="562"/>
      <c r="BY494" s="562"/>
      <c r="BZ494" s="562"/>
      <c r="CA494" s="562"/>
      <c r="CB494" s="562"/>
      <c r="CC494" s="562"/>
    </row>
    <row r="495" spans="1:81" s="596" customFormat="1" ht="12.75" hidden="1" customHeight="1">
      <c r="A495" s="576"/>
      <c r="B495" s="576"/>
      <c r="C495" s="789"/>
      <c r="D495" s="576"/>
      <c r="E495" s="790"/>
      <c r="F495" s="2058"/>
      <c r="G495" s="2058"/>
      <c r="H495" s="2058"/>
      <c r="I495" s="2058"/>
      <c r="J495" s="2058"/>
      <c r="K495" s="2058"/>
      <c r="L495" s="2058"/>
      <c r="M495" s="2058"/>
      <c r="N495" s="2058"/>
      <c r="O495" s="2058"/>
      <c r="P495" s="2058"/>
      <c r="Q495" s="2058"/>
      <c r="R495" s="2058"/>
      <c r="S495" s="2058"/>
      <c r="T495" s="2058"/>
      <c r="U495" s="2058"/>
      <c r="V495" s="2058"/>
      <c r="W495" s="2058"/>
      <c r="X495" s="2058"/>
      <c r="Y495" s="2058"/>
      <c r="Z495" s="2058"/>
      <c r="AA495" s="2058"/>
      <c r="AB495" s="2058"/>
      <c r="AC495" s="2058"/>
      <c r="AD495" s="2058"/>
      <c r="AE495" s="2058"/>
      <c r="AF495" s="576"/>
      <c r="AG495" s="577"/>
      <c r="AH495" s="577"/>
      <c r="AI495" s="577"/>
      <c r="AJ495" s="577"/>
      <c r="AK495" s="758"/>
      <c r="AL495" s="576"/>
      <c r="AM495" s="576"/>
      <c r="AN495" s="560"/>
      <c r="AO495" s="30"/>
      <c r="AP495" s="815"/>
      <c r="AQ495" s="815"/>
      <c r="AR495" s="815"/>
      <c r="AS495" s="705"/>
      <c r="AT495" s="576"/>
      <c r="AU495" s="816"/>
      <c r="AV495" s="816"/>
      <c r="AW495" s="816"/>
      <c r="AX495" s="816"/>
      <c r="AY495" s="816"/>
      <c r="AZ495" s="816"/>
      <c r="BA495" s="816"/>
      <c r="BB495" s="14"/>
      <c r="BC495" s="14"/>
      <c r="BD495" s="562"/>
      <c r="BE495" s="815"/>
      <c r="BF495" s="815"/>
      <c r="BG495" s="815"/>
      <c r="BH495" s="705"/>
      <c r="BI495" s="576"/>
      <c r="BJ495" s="817"/>
      <c r="BK495" s="816"/>
      <c r="BL495" s="816"/>
      <c r="BM495" s="816"/>
      <c r="BN495" s="816"/>
      <c r="BO495" s="816"/>
      <c r="BP495" s="816"/>
      <c r="BQ495" s="14"/>
      <c r="BR495" s="576"/>
      <c r="BS495" s="562"/>
      <c r="BT495" s="562"/>
      <c r="BU495" s="562"/>
      <c r="BV495" s="562"/>
      <c r="BW495" s="562"/>
      <c r="BX495" s="562"/>
      <c r="BY495" s="562"/>
      <c r="BZ495" s="562"/>
      <c r="CA495" s="562"/>
      <c r="CB495" s="562"/>
      <c r="CC495" s="562"/>
    </row>
    <row r="496" spans="1:81" s="596" customFormat="1" ht="12.75" hidden="1" customHeight="1">
      <c r="A496" s="576"/>
      <c r="B496" s="576"/>
      <c r="C496" s="765"/>
      <c r="D496" s="576"/>
      <c r="E496" s="576"/>
      <c r="F496" s="809" t="s">
        <v>1718</v>
      </c>
      <c r="G496" s="577"/>
      <c r="H496" s="577"/>
      <c r="I496" s="577"/>
      <c r="J496" s="577"/>
      <c r="K496" s="577"/>
      <c r="L496" s="577"/>
      <c r="M496" s="577"/>
      <c r="N496" s="577"/>
      <c r="O496" s="577"/>
      <c r="P496" s="577"/>
      <c r="Q496" s="577"/>
      <c r="R496" s="577"/>
      <c r="S496" s="577"/>
      <c r="T496" s="577"/>
      <c r="U496" s="577"/>
      <c r="V496" s="577"/>
      <c r="W496" s="577"/>
      <c r="X496" s="577"/>
      <c r="Y496" s="577"/>
      <c r="Z496" s="577"/>
      <c r="AA496" s="577"/>
      <c r="AB496" s="577"/>
      <c r="AC496" s="617"/>
      <c r="AD496" s="576"/>
      <c r="AE496" s="576"/>
      <c r="AF496" s="576"/>
      <c r="AG496" s="639"/>
      <c r="AH496" s="639"/>
      <c r="AI496" s="639"/>
      <c r="AJ496" s="639"/>
      <c r="AK496" s="758"/>
      <c r="AL496" s="576"/>
      <c r="AM496" s="576"/>
      <c r="AN496" s="560"/>
      <c r="AO496" s="562"/>
      <c r="AP496" s="815"/>
      <c r="AQ496" s="815"/>
      <c r="AR496" s="815"/>
      <c r="AS496" s="705"/>
      <c r="AT496" s="576"/>
      <c r="AU496" s="816"/>
      <c r="AV496" s="816"/>
      <c r="AW496" s="816"/>
      <c r="AX496" s="816"/>
      <c r="AY496" s="816"/>
      <c r="AZ496" s="816"/>
      <c r="BA496" s="816"/>
      <c r="BB496" s="562"/>
      <c r="BC496" s="562"/>
      <c r="BD496" s="562"/>
      <c r="BE496" s="815"/>
      <c r="BF496" s="815"/>
      <c r="BG496" s="815"/>
      <c r="BH496" s="705"/>
      <c r="BI496" s="576"/>
      <c r="BJ496" s="817"/>
      <c r="BK496" s="816"/>
      <c r="BL496" s="816"/>
      <c r="BM496" s="816"/>
      <c r="BN496" s="816"/>
      <c r="BO496" s="816"/>
      <c r="BP496" s="816"/>
      <c r="BQ496" s="562"/>
      <c r="BR496" s="576"/>
      <c r="BS496" s="562"/>
      <c r="BT496" s="562"/>
      <c r="BU496" s="562"/>
      <c r="BV496" s="562"/>
      <c r="BW496" s="562"/>
      <c r="BX496" s="562"/>
      <c r="BY496" s="562"/>
      <c r="BZ496" s="562"/>
      <c r="CA496" s="562"/>
      <c r="CB496" s="562"/>
      <c r="CC496" s="562"/>
    </row>
    <row r="497" spans="1:81" s="596" customFormat="1" ht="13.5" hidden="1" thickTop="1">
      <c r="A497" s="576"/>
      <c r="B497" s="576"/>
      <c r="C497" s="791"/>
      <c r="D497" s="753"/>
      <c r="E497" s="792"/>
      <c r="F497" s="2059" t="s">
        <v>601</v>
      </c>
      <c r="G497" s="2059"/>
      <c r="H497" s="2059"/>
      <c r="I497" s="684"/>
      <c r="J497" s="684"/>
      <c r="K497" s="684"/>
      <c r="L497" s="684"/>
      <c r="M497" s="684"/>
      <c r="N497" s="684"/>
      <c r="O497" s="684"/>
      <c r="P497" s="684"/>
      <c r="Q497" s="684"/>
      <c r="R497" s="684"/>
      <c r="S497" s="684"/>
      <c r="T497" s="684"/>
      <c r="U497" s="684"/>
      <c r="V497" s="684"/>
      <c r="W497" s="684"/>
      <c r="X497" s="684"/>
      <c r="Y497" s="684"/>
      <c r="Z497" s="684"/>
      <c r="AA497" s="684"/>
      <c r="AB497" s="684"/>
      <c r="AC497" s="684"/>
      <c r="AD497" s="753"/>
      <c r="AE497" s="753"/>
      <c r="AF497" s="753"/>
      <c r="AG497" s="794">
        <f>IF($C$494="Yes",(VLOOKUP($F$497,$AO$470:$AP$472,2,FALSE)),0)</f>
        <v>0</v>
      </c>
      <c r="AH497" s="795" t="s">
        <v>1501</v>
      </c>
      <c r="AI497" s="684"/>
      <c r="AJ497" s="684"/>
      <c r="AK497" s="768"/>
      <c r="AL497" s="576"/>
      <c r="AM497" s="576"/>
      <c r="AN497" s="560"/>
      <c r="AO497" s="562"/>
      <c r="AP497" s="815"/>
      <c r="AQ497" s="815"/>
      <c r="AR497" s="815"/>
      <c r="AS497" s="814"/>
      <c r="AT497" s="576"/>
      <c r="AU497" s="816"/>
      <c r="AV497" s="816"/>
      <c r="AW497" s="816"/>
      <c r="AX497" s="816"/>
      <c r="AY497" s="816"/>
      <c r="AZ497" s="816"/>
      <c r="BA497" s="816"/>
      <c r="BB497" s="562"/>
      <c r="BC497" s="562"/>
      <c r="BD497" s="562"/>
      <c r="BE497" s="815"/>
      <c r="BF497" s="815"/>
      <c r="BG497" s="815"/>
      <c r="BH497" s="814"/>
      <c r="BI497" s="576"/>
      <c r="BJ497" s="817"/>
      <c r="BK497" s="816"/>
      <c r="BL497" s="816"/>
      <c r="BM497" s="816"/>
      <c r="BN497" s="816"/>
      <c r="BO497" s="816"/>
      <c r="BP497" s="816"/>
      <c r="BQ497" s="562"/>
      <c r="BR497" s="576"/>
      <c r="BS497" s="562"/>
      <c r="BT497" s="562"/>
      <c r="BU497" s="562"/>
      <c r="BV497" s="562"/>
      <c r="BW497" s="562"/>
      <c r="BX497" s="562"/>
      <c r="BY497" s="562"/>
      <c r="BZ497" s="562"/>
      <c r="CA497" s="562"/>
      <c r="CB497" s="562"/>
      <c r="CC497" s="562"/>
    </row>
    <row r="498" spans="1:81" s="596" customFormat="1" ht="13.5" hidden="1" thickTop="1">
      <c r="A498" s="577"/>
      <c r="B498" s="577"/>
      <c r="C498" s="577"/>
      <c r="D498" s="577"/>
      <c r="E498" s="577"/>
      <c r="F498" s="577"/>
      <c r="G498" s="577"/>
      <c r="H498" s="577"/>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6"/>
      <c r="AF498" s="576"/>
      <c r="AG498" s="639"/>
      <c r="AH498" s="666"/>
      <c r="AI498" s="577"/>
      <c r="AJ498" s="577"/>
      <c r="AK498" s="576"/>
      <c r="AL498" s="576"/>
      <c r="AM498" s="576"/>
      <c r="AN498" s="560"/>
      <c r="AO498" s="562"/>
      <c r="AP498" s="815"/>
      <c r="AQ498" s="815"/>
      <c r="AR498" s="815"/>
      <c r="AS498" s="814"/>
      <c r="AT498" s="576"/>
      <c r="AU498" s="816"/>
      <c r="AV498" s="816"/>
      <c r="AW498" s="816"/>
      <c r="AX498" s="816"/>
      <c r="AY498" s="816"/>
      <c r="AZ498" s="816"/>
      <c r="BA498" s="816"/>
      <c r="BB498" s="562"/>
      <c r="BC498" s="562"/>
      <c r="BD498" s="562"/>
      <c r="BE498" s="815"/>
      <c r="BF498" s="815"/>
      <c r="BG498" s="815"/>
      <c r="BH498" s="814"/>
      <c r="BI498" s="576"/>
      <c r="BJ498" s="817"/>
      <c r="BK498" s="816"/>
      <c r="BL498" s="816"/>
      <c r="BM498" s="816"/>
      <c r="BN498" s="816"/>
      <c r="BO498" s="816"/>
      <c r="BP498" s="816"/>
      <c r="BQ498" s="562"/>
      <c r="BR498" s="576"/>
      <c r="BS498" s="562"/>
      <c r="BT498" s="562"/>
      <c r="BU498" s="562"/>
      <c r="BV498" s="562"/>
      <c r="BW498" s="562"/>
      <c r="BX498" s="562"/>
      <c r="BY498" s="562"/>
      <c r="BZ498" s="562"/>
      <c r="CA498" s="562"/>
      <c r="CB498" s="562"/>
      <c r="CC498" s="562"/>
    </row>
    <row r="499" spans="1:81" s="596" customFormat="1" ht="13.5" hidden="1" thickTop="1">
      <c r="A499" s="576"/>
      <c r="B499" s="576"/>
      <c r="C499" s="2049" t="s">
        <v>601</v>
      </c>
      <c r="D499" s="2050"/>
      <c r="E499" s="788" t="s">
        <v>1719</v>
      </c>
      <c r="F499" s="807" t="s">
        <v>1720</v>
      </c>
      <c r="G499" s="675"/>
      <c r="H499" s="675"/>
      <c r="I499" s="675"/>
      <c r="J499" s="675"/>
      <c r="K499" s="675"/>
      <c r="L499" s="675"/>
      <c r="M499" s="675"/>
      <c r="N499" s="675"/>
      <c r="O499" s="675"/>
      <c r="P499" s="675"/>
      <c r="Q499" s="675"/>
      <c r="R499" s="675"/>
      <c r="S499" s="675"/>
      <c r="T499" s="675"/>
      <c r="U499" s="675"/>
      <c r="V499" s="675"/>
      <c r="W499" s="675"/>
      <c r="X499" s="675"/>
      <c r="Y499" s="675"/>
      <c r="Z499" s="675"/>
      <c r="AA499" s="675"/>
      <c r="AB499" s="675"/>
      <c r="AC499" s="818"/>
      <c r="AD499" s="740"/>
      <c r="AE499" s="740"/>
      <c r="AF499" s="740"/>
      <c r="AG499" s="819"/>
      <c r="AH499" s="819"/>
      <c r="AI499" s="819"/>
      <c r="AJ499" s="819"/>
      <c r="AK499" s="771"/>
      <c r="AL499" s="576"/>
      <c r="AM499" s="576"/>
      <c r="AN499" s="560"/>
      <c r="AO499" s="562"/>
      <c r="AP499" s="815"/>
      <c r="AQ499" s="815"/>
      <c r="AR499" s="815"/>
      <c r="AS499" s="814"/>
      <c r="AT499" s="576"/>
      <c r="AU499" s="816"/>
      <c r="AV499" s="816"/>
      <c r="AW499" s="816"/>
      <c r="AX499" s="816"/>
      <c r="AY499" s="816"/>
      <c r="AZ499" s="816"/>
      <c r="BA499" s="816"/>
      <c r="BB499" s="562"/>
      <c r="BC499" s="562"/>
      <c r="BD499" s="562"/>
      <c r="BE499" s="815"/>
      <c r="BF499" s="815"/>
      <c r="BG499" s="815"/>
      <c r="BH499" s="814"/>
      <c r="BI499" s="576"/>
      <c r="BJ499" s="817"/>
      <c r="BK499" s="816"/>
      <c r="BL499" s="816"/>
      <c r="BM499" s="816"/>
      <c r="BN499" s="816"/>
      <c r="BO499" s="816"/>
      <c r="BP499" s="816"/>
      <c r="BQ499" s="562"/>
      <c r="BR499" s="576"/>
      <c r="BS499" s="562"/>
      <c r="BT499" s="562"/>
      <c r="BU499" s="562"/>
      <c r="BV499" s="562"/>
      <c r="BW499" s="562"/>
      <c r="BX499" s="562"/>
      <c r="BY499" s="562"/>
      <c r="BZ499" s="562"/>
      <c r="CA499" s="562"/>
      <c r="CB499" s="562"/>
      <c r="CC499" s="562"/>
    </row>
    <row r="500" spans="1:81" s="596" customFormat="1" ht="13" hidden="1" thickTop="1">
      <c r="A500" s="576"/>
      <c r="B500" s="576"/>
      <c r="C500" s="789"/>
      <c r="D500" s="576"/>
      <c r="E500" s="790"/>
      <c r="F500" s="577"/>
      <c r="G500" s="577"/>
      <c r="H500" s="577"/>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6"/>
      <c r="AE500" s="576"/>
      <c r="AF500" s="576"/>
      <c r="AG500" s="577"/>
      <c r="AH500" s="577"/>
      <c r="AI500" s="577"/>
      <c r="AJ500" s="577"/>
      <c r="AK500" s="758"/>
      <c r="AL500" s="576"/>
      <c r="AM500" s="576"/>
      <c r="AN500" s="560"/>
      <c r="AO500" s="562"/>
      <c r="AP500" s="815"/>
      <c r="AQ500" s="815"/>
      <c r="AR500" s="815"/>
      <c r="AS500" s="814"/>
      <c r="AT500" s="576"/>
      <c r="AU500" s="816"/>
      <c r="AV500" s="816"/>
      <c r="AW500" s="816"/>
      <c r="AX500" s="816"/>
      <c r="AY500" s="816"/>
      <c r="AZ500" s="816"/>
      <c r="BA500" s="816"/>
      <c r="BB500" s="562"/>
      <c r="BC500" s="562"/>
      <c r="BD500" s="562"/>
      <c r="BE500" s="815"/>
      <c r="BF500" s="815"/>
      <c r="BG500" s="815"/>
      <c r="BH500" s="814"/>
      <c r="BI500" s="576"/>
      <c r="BJ500" s="817"/>
      <c r="BK500" s="816"/>
      <c r="BL500" s="816"/>
      <c r="BM500" s="816"/>
      <c r="BN500" s="816"/>
      <c r="BO500" s="816"/>
      <c r="BP500" s="816"/>
      <c r="BQ500" s="562"/>
      <c r="BR500" s="14"/>
      <c r="BS500" s="562"/>
      <c r="BT500" s="562"/>
      <c r="BU500" s="562"/>
      <c r="BV500" s="562"/>
      <c r="BW500" s="562"/>
      <c r="BX500" s="562"/>
      <c r="BY500" s="562"/>
      <c r="BZ500" s="562"/>
      <c r="CA500" s="562"/>
      <c r="CB500" s="562"/>
      <c r="CC500" s="562"/>
    </row>
    <row r="501" spans="1:81" s="596" customFormat="1" ht="13.5" hidden="1" thickTop="1">
      <c r="A501" s="576"/>
      <c r="B501" s="576"/>
      <c r="C501" s="2072"/>
      <c r="D501" s="2060"/>
      <c r="E501" s="799"/>
      <c r="F501" s="577" t="s">
        <v>1721</v>
      </c>
      <c r="G501" s="577"/>
      <c r="H501" s="577"/>
      <c r="I501" s="577"/>
      <c r="J501" s="577"/>
      <c r="K501" s="577"/>
      <c r="L501" s="577"/>
      <c r="M501" s="577"/>
      <c r="N501" s="577"/>
      <c r="O501" s="577"/>
      <c r="P501" s="577"/>
      <c r="Q501" s="577"/>
      <c r="R501" s="577"/>
      <c r="S501" s="577"/>
      <c r="T501" s="577"/>
      <c r="U501" s="577"/>
      <c r="V501" s="577"/>
      <c r="W501" s="577"/>
      <c r="X501" s="577"/>
      <c r="Y501" s="577"/>
      <c r="Z501" s="577"/>
      <c r="AA501" s="577"/>
      <c r="AB501" s="577"/>
      <c r="AC501" s="617"/>
      <c r="AD501" s="576"/>
      <c r="AE501" s="576"/>
      <c r="AF501" s="576"/>
      <c r="AG501" s="639">
        <f>IF($C$499="Yes",(VLOOKUP($G$502,$AO$477:$AP$480,2,FALSE)),0)</f>
        <v>0</v>
      </c>
      <c r="AH501" s="666" t="s">
        <v>1501</v>
      </c>
      <c r="AI501" s="577"/>
      <c r="AJ501" s="639"/>
      <c r="AK501" s="758"/>
      <c r="AL501" s="576"/>
      <c r="AM501" s="576"/>
      <c r="AN501" s="560"/>
      <c r="AO501" s="562"/>
      <c r="AP501" s="815"/>
      <c r="AQ501" s="815"/>
      <c r="AR501" s="815"/>
      <c r="AS501" s="814"/>
      <c r="AT501" s="576"/>
      <c r="AU501" s="816"/>
      <c r="AV501" s="816"/>
      <c r="AW501" s="816"/>
      <c r="AX501" s="816"/>
      <c r="AY501" s="816"/>
      <c r="AZ501" s="816"/>
      <c r="BA501" s="816"/>
      <c r="BB501" s="562"/>
      <c r="BC501" s="562"/>
      <c r="BD501" s="562"/>
      <c r="BE501" s="815"/>
      <c r="BF501" s="815"/>
      <c r="BG501" s="815"/>
      <c r="BH501" s="814"/>
      <c r="BI501" s="576"/>
      <c r="BJ501" s="817"/>
      <c r="BK501" s="816"/>
      <c r="BL501" s="816"/>
      <c r="BM501" s="816"/>
      <c r="BN501" s="816"/>
      <c r="BO501" s="816"/>
      <c r="BP501" s="816"/>
      <c r="BQ501" s="562"/>
      <c r="BR501" s="576"/>
      <c r="BS501" s="562"/>
      <c r="BT501" s="562"/>
      <c r="BU501" s="562"/>
      <c r="BV501" s="562"/>
      <c r="BW501" s="562"/>
      <c r="BX501" s="562"/>
      <c r="BY501" s="562"/>
      <c r="BZ501" s="562"/>
      <c r="CA501" s="562"/>
      <c r="CB501" s="562"/>
      <c r="CC501" s="562"/>
    </row>
    <row r="502" spans="1:81" s="596" customFormat="1" ht="13" hidden="1" thickTop="1">
      <c r="A502" s="576"/>
      <c r="B502" s="576"/>
      <c r="C502" s="789"/>
      <c r="D502" s="576"/>
      <c r="E502" s="790"/>
      <c r="F502" s="577"/>
      <c r="G502" s="2073" t="s">
        <v>601</v>
      </c>
      <c r="H502" s="2073"/>
      <c r="I502" s="2073"/>
      <c r="J502" s="2073"/>
      <c r="K502" s="2073"/>
      <c r="L502" s="2073"/>
      <c r="M502" s="2073"/>
      <c r="N502" s="2073"/>
      <c r="O502" s="2073"/>
      <c r="P502" s="2073"/>
      <c r="Q502" s="2073"/>
      <c r="R502" s="2073"/>
      <c r="S502" s="2073"/>
      <c r="T502" s="2073"/>
      <c r="U502" s="2073"/>
      <c r="V502" s="2073"/>
      <c r="W502" s="2073"/>
      <c r="X502" s="2073"/>
      <c r="Y502" s="2073"/>
      <c r="Z502" s="2073"/>
      <c r="AA502" s="2073"/>
      <c r="AB502" s="2073"/>
      <c r="AC502" s="2073"/>
      <c r="AD502" s="2073"/>
      <c r="AE502" s="2073"/>
      <c r="AF502" s="2073"/>
      <c r="AG502" s="576"/>
      <c r="AH502" s="576"/>
      <c r="AI502" s="576"/>
      <c r="AJ502" s="577"/>
      <c r="AK502" s="758"/>
      <c r="AL502" s="576"/>
      <c r="AM502" s="576"/>
      <c r="AN502" s="560"/>
      <c r="AO502" s="562"/>
      <c r="AP502" s="815"/>
      <c r="AQ502" s="815"/>
      <c r="AR502" s="815"/>
      <c r="AS502" s="814"/>
      <c r="AT502" s="576"/>
      <c r="AU502" s="816"/>
      <c r="AV502" s="816"/>
      <c r="AW502" s="816"/>
      <c r="AX502" s="816"/>
      <c r="AY502" s="816"/>
      <c r="AZ502" s="816"/>
      <c r="BA502" s="816"/>
      <c r="BB502" s="562"/>
      <c r="BC502" s="562"/>
      <c r="BD502" s="562"/>
      <c r="BE502" s="815"/>
      <c r="BF502" s="815"/>
      <c r="BG502" s="815"/>
      <c r="BH502" s="814"/>
      <c r="BI502" s="576"/>
      <c r="BJ502" s="817"/>
      <c r="BK502" s="816"/>
      <c r="BL502" s="816"/>
      <c r="BM502" s="816"/>
      <c r="BN502" s="816"/>
      <c r="BO502" s="816"/>
      <c r="BP502" s="816"/>
      <c r="BQ502" s="562"/>
      <c r="BR502" s="576"/>
      <c r="BS502" s="562"/>
      <c r="BT502" s="562"/>
      <c r="BU502" s="562"/>
      <c r="BV502" s="562"/>
      <c r="BW502" s="562"/>
      <c r="BX502" s="562"/>
      <c r="BY502" s="562"/>
      <c r="BZ502" s="562"/>
      <c r="CA502" s="562"/>
      <c r="CB502" s="562"/>
      <c r="CC502" s="562"/>
    </row>
    <row r="503" spans="1:81" s="596" customFormat="1" ht="13" hidden="1" thickTop="1">
      <c r="A503" s="576"/>
      <c r="B503" s="576"/>
      <c r="C503" s="757"/>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76"/>
      <c r="AE503" s="576"/>
      <c r="AF503" s="576"/>
      <c r="AG503" s="14"/>
      <c r="AH503" s="14"/>
      <c r="AI503" s="14"/>
      <c r="AJ503" s="14"/>
      <c r="AK503" s="758"/>
      <c r="AL503" s="576"/>
      <c r="AM503" s="576"/>
      <c r="AN503" s="560"/>
      <c r="AO503" s="562"/>
      <c r="AP503" s="815"/>
      <c r="AQ503" s="815"/>
      <c r="AR503" s="815"/>
      <c r="AS503" s="814"/>
      <c r="AT503" s="576"/>
      <c r="AU503" s="816"/>
      <c r="AV503" s="816"/>
      <c r="AW503" s="816"/>
      <c r="AX503" s="816"/>
      <c r="AY503" s="816"/>
      <c r="AZ503" s="816"/>
      <c r="BA503" s="816"/>
      <c r="BB503" s="562"/>
      <c r="BC503" s="562"/>
      <c r="BD503" s="562"/>
      <c r="BE503" s="815"/>
      <c r="BF503" s="815"/>
      <c r="BG503" s="815"/>
      <c r="BH503" s="814"/>
      <c r="BI503" s="576"/>
      <c r="BJ503" s="817"/>
      <c r="BK503" s="816"/>
      <c r="BL503" s="816"/>
      <c r="BM503" s="816"/>
      <c r="BN503" s="816"/>
      <c r="BO503" s="816"/>
      <c r="BP503" s="816"/>
      <c r="BQ503" s="562"/>
      <c r="BR503" s="576"/>
      <c r="BS503" s="562"/>
      <c r="BT503" s="562"/>
      <c r="BU503" s="562"/>
      <c r="BV503" s="562"/>
      <c r="BW503" s="562"/>
      <c r="BX503" s="562"/>
      <c r="BY503" s="562"/>
      <c r="BZ503" s="562"/>
      <c r="CA503" s="562"/>
      <c r="CB503" s="562"/>
      <c r="CC503" s="562"/>
    </row>
    <row r="504" spans="1:81" s="596" customFormat="1" ht="12.75" hidden="1" customHeight="1">
      <c r="A504" s="14"/>
      <c r="B504" s="576"/>
      <c r="C504" s="2074" t="s">
        <v>601</v>
      </c>
      <c r="D504" s="2075"/>
      <c r="F504" s="577" t="s">
        <v>1722</v>
      </c>
      <c r="G504" s="577"/>
      <c r="H504" s="577"/>
      <c r="I504" s="577"/>
      <c r="J504" s="577"/>
      <c r="K504" s="577"/>
      <c r="L504" s="577"/>
      <c r="M504" s="577"/>
      <c r="N504" s="577"/>
      <c r="O504" s="577"/>
      <c r="P504" s="577"/>
      <c r="Q504" s="577"/>
      <c r="R504" s="577"/>
      <c r="S504" s="577"/>
      <c r="T504" s="577"/>
      <c r="U504" s="577"/>
      <c r="V504" s="577"/>
      <c r="W504" s="577"/>
      <c r="X504" s="577"/>
      <c r="Y504" s="577"/>
      <c r="Z504" s="577"/>
      <c r="AA504" s="577"/>
      <c r="AB504" s="577"/>
      <c r="AC504" s="617"/>
      <c r="AD504" s="576"/>
      <c r="AE504" s="576"/>
      <c r="AF504" s="576"/>
      <c r="AG504" s="639">
        <f>IF(AND($C$504="Yes",$C$499="Yes"),2,0)</f>
        <v>0</v>
      </c>
      <c r="AH504" s="666" t="s">
        <v>1501</v>
      </c>
      <c r="AI504" s="577"/>
      <c r="AJ504" s="620"/>
      <c r="AK504" s="758"/>
      <c r="AL504" s="576"/>
      <c r="AM504" s="576"/>
      <c r="AN504" s="560"/>
      <c r="AO504" s="562"/>
      <c r="AP504" s="815"/>
      <c r="AQ504" s="815"/>
      <c r="AR504" s="815"/>
      <c r="AS504" s="814"/>
      <c r="AT504" s="576"/>
      <c r="AU504" s="816"/>
      <c r="AV504" s="816"/>
      <c r="AW504" s="816"/>
      <c r="AX504" s="816"/>
      <c r="AY504" s="816"/>
      <c r="AZ504" s="816"/>
      <c r="BA504" s="816"/>
      <c r="BB504" s="562"/>
      <c r="BC504" s="562"/>
      <c r="BD504" s="562"/>
      <c r="BE504" s="815"/>
      <c r="BF504" s="815"/>
      <c r="BG504" s="815"/>
      <c r="BH504" s="814"/>
      <c r="BI504" s="576"/>
      <c r="BJ504" s="817"/>
      <c r="BK504" s="816"/>
      <c r="BL504" s="816"/>
      <c r="BM504" s="816"/>
      <c r="BN504" s="816"/>
      <c r="BO504" s="816"/>
      <c r="BP504" s="816"/>
      <c r="BQ504" s="562"/>
      <c r="BR504" s="576"/>
      <c r="BS504" s="562"/>
      <c r="BT504" s="562"/>
      <c r="BU504" s="562"/>
      <c r="BV504" s="562"/>
      <c r="BW504" s="562"/>
      <c r="BX504" s="562"/>
      <c r="BY504" s="562"/>
      <c r="BZ504" s="562"/>
      <c r="CA504" s="562"/>
      <c r="CB504" s="562"/>
      <c r="CC504" s="562"/>
    </row>
    <row r="505" spans="1:81" s="596" customFormat="1" ht="13.5" hidden="1" thickTop="1">
      <c r="A505" s="14"/>
      <c r="B505" s="576"/>
      <c r="C505" s="808"/>
      <c r="D505" s="756"/>
      <c r="E505" s="756"/>
      <c r="F505" s="577"/>
      <c r="G505" s="577" t="s">
        <v>1723</v>
      </c>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617"/>
      <c r="AD505" s="576"/>
      <c r="AE505" s="576"/>
      <c r="AF505" s="576"/>
      <c r="AG505" s="620"/>
      <c r="AH505" s="620"/>
      <c r="AI505" s="620"/>
      <c r="AJ505" s="620"/>
      <c r="AK505" s="758"/>
      <c r="AL505" s="576"/>
      <c r="AM505" s="576"/>
      <c r="AN505" s="623"/>
      <c r="AO505" s="562"/>
      <c r="AP505" s="815"/>
      <c r="AQ505" s="815"/>
      <c r="AR505" s="815"/>
      <c r="AS505" s="814"/>
      <c r="AT505" s="576"/>
      <c r="AU505" s="816"/>
      <c r="AV505" s="816"/>
      <c r="AW505" s="816"/>
      <c r="AX505" s="816"/>
      <c r="AY505" s="816"/>
      <c r="AZ505" s="816"/>
      <c r="BA505" s="816"/>
      <c r="BB505" s="562"/>
      <c r="BC505" s="562"/>
      <c r="BD505" s="562"/>
      <c r="BE505" s="815"/>
      <c r="BF505" s="815"/>
      <c r="BG505" s="815"/>
      <c r="BH505" s="814"/>
      <c r="BI505" s="576"/>
      <c r="BJ505" s="817"/>
      <c r="BK505" s="816"/>
      <c r="BL505" s="816"/>
      <c r="BM505" s="816"/>
      <c r="BN505" s="816"/>
      <c r="BO505" s="816"/>
      <c r="BP505" s="816"/>
      <c r="BQ505" s="562"/>
      <c r="BR505" s="576"/>
      <c r="BS505" s="562"/>
      <c r="BT505" s="562"/>
      <c r="BU505" s="562"/>
      <c r="BV505" s="562"/>
      <c r="BW505" s="562"/>
      <c r="BX505" s="562"/>
      <c r="BY505" s="562"/>
      <c r="BZ505" s="562"/>
      <c r="CA505" s="562"/>
      <c r="CB505" s="562"/>
      <c r="CC505" s="562"/>
    </row>
    <row r="506" spans="1:81" s="576" customFormat="1" ht="12.75" hidden="1" customHeight="1">
      <c r="A506" s="14"/>
      <c r="C506" s="808"/>
      <c r="D506" s="756"/>
      <c r="E506" s="756"/>
      <c r="F506" s="577"/>
      <c r="G506" s="577" t="s">
        <v>1724</v>
      </c>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617"/>
      <c r="AG506" s="620"/>
      <c r="AH506" s="620"/>
      <c r="AI506" s="620"/>
      <c r="AJ506" s="620"/>
      <c r="AK506" s="758"/>
      <c r="AN506" s="561"/>
      <c r="AP506" s="562"/>
      <c r="AQ506" s="562"/>
      <c r="AR506" s="562"/>
    </row>
    <row r="507" spans="1:81" s="576" customFormat="1" ht="12.75" hidden="1" customHeight="1">
      <c r="A507" s="663"/>
      <c r="B507" s="14"/>
      <c r="C507" s="820"/>
      <c r="D507" s="14"/>
      <c r="G507" s="637"/>
      <c r="H507" s="637"/>
      <c r="I507" s="637"/>
      <c r="J507" s="637"/>
      <c r="K507" s="637"/>
      <c r="L507" s="637"/>
      <c r="M507" s="637"/>
      <c r="N507" s="637"/>
      <c r="O507" s="637"/>
      <c r="P507" s="637"/>
      <c r="Q507" s="637"/>
      <c r="R507" s="637"/>
      <c r="S507" s="637"/>
      <c r="T507" s="637"/>
      <c r="U507" s="637"/>
      <c r="V507" s="637"/>
      <c r="W507" s="637"/>
      <c r="X507" s="637"/>
      <c r="Y507" s="637"/>
      <c r="Z507" s="637"/>
      <c r="AA507" s="637"/>
      <c r="AB507" s="637"/>
      <c r="AC507" s="637"/>
      <c r="AD507" s="637"/>
      <c r="AE507" s="637"/>
      <c r="AF507" s="637"/>
      <c r="AG507" s="617"/>
      <c r="AH507" s="617"/>
      <c r="AI507" s="617"/>
      <c r="AJ507" s="617"/>
      <c r="AK507" s="821"/>
      <c r="AL507" s="14"/>
      <c r="AM507" s="14"/>
      <c r="AN507" s="561"/>
      <c r="AO507" s="562"/>
      <c r="AP507" s="562"/>
      <c r="AQ507" s="562"/>
      <c r="AR507" s="562"/>
    </row>
    <row r="508" spans="1:81" s="576" customFormat="1" ht="12.75" hidden="1" customHeight="1">
      <c r="A508" s="663"/>
      <c r="C508" s="2074" t="s">
        <v>601</v>
      </c>
      <c r="D508" s="2075"/>
      <c r="F508" s="822" t="s">
        <v>1725</v>
      </c>
      <c r="G508" s="2031" t="s">
        <v>1726</v>
      </c>
      <c r="H508" s="2031"/>
      <c r="I508" s="2031"/>
      <c r="J508" s="2031"/>
      <c r="K508" s="2031"/>
      <c r="L508" s="2031"/>
      <c r="M508" s="2031"/>
      <c r="N508" s="2031"/>
      <c r="O508" s="2031"/>
      <c r="P508" s="2031"/>
      <c r="Q508" s="2031"/>
      <c r="R508" s="2031"/>
      <c r="S508" s="2031"/>
      <c r="T508" s="2031"/>
      <c r="U508" s="2031"/>
      <c r="V508" s="2031"/>
      <c r="W508" s="2031"/>
      <c r="X508" s="2031"/>
      <c r="Y508" s="2031"/>
      <c r="Z508" s="2031"/>
      <c r="AA508" s="2031"/>
      <c r="AB508" s="2031"/>
      <c r="AC508" s="2031"/>
      <c r="AD508" s="2031"/>
      <c r="AE508" s="2031"/>
      <c r="AF508" s="2031"/>
      <c r="AG508" s="639">
        <f>IF(AND($C$508="Yes",$C$499="Yes"),2,0)</f>
        <v>0</v>
      </c>
      <c r="AH508" s="666" t="s">
        <v>1501</v>
      </c>
      <c r="AI508" s="577"/>
      <c r="AJ508" s="620"/>
      <c r="AK508" s="758"/>
      <c r="AN508" s="561"/>
      <c r="AZ508" s="565"/>
      <c r="BC508" s="569"/>
      <c r="BD508" s="565"/>
      <c r="BE508" s="565"/>
      <c r="BF508" s="565"/>
      <c r="BM508" s="562"/>
      <c r="BN508" s="565"/>
      <c r="BO508" s="562"/>
      <c r="BP508" s="565"/>
      <c r="BQ508" s="565"/>
      <c r="BR508" s="565"/>
      <c r="BS508" s="565"/>
      <c r="BT508" s="565"/>
      <c r="BU508" s="565"/>
      <c r="BV508" s="562"/>
      <c r="BW508" s="562"/>
      <c r="BX508" s="562"/>
      <c r="BY508" s="562"/>
      <c r="BZ508" s="562"/>
      <c r="CA508" s="562"/>
      <c r="CB508" s="562"/>
      <c r="CC508" s="562"/>
    </row>
    <row r="509" spans="1:81" s="576" customFormat="1" ht="12.75" hidden="1" customHeight="1">
      <c r="C509" s="823"/>
      <c r="D509" s="753"/>
      <c r="E509" s="792"/>
      <c r="F509" s="752"/>
      <c r="G509" s="2046"/>
      <c r="H509" s="2046"/>
      <c r="I509" s="2046"/>
      <c r="J509" s="2046"/>
      <c r="K509" s="2046"/>
      <c r="L509" s="2046"/>
      <c r="M509" s="2046"/>
      <c r="N509" s="2046"/>
      <c r="O509" s="2046"/>
      <c r="P509" s="2046"/>
      <c r="Q509" s="2046"/>
      <c r="R509" s="2046"/>
      <c r="S509" s="2046"/>
      <c r="T509" s="2046"/>
      <c r="U509" s="2046"/>
      <c r="V509" s="2046"/>
      <c r="W509" s="2046"/>
      <c r="X509" s="2046"/>
      <c r="Y509" s="2046"/>
      <c r="Z509" s="2046"/>
      <c r="AA509" s="2046"/>
      <c r="AB509" s="2046"/>
      <c r="AC509" s="2046"/>
      <c r="AD509" s="2046"/>
      <c r="AE509" s="2046"/>
      <c r="AF509" s="2046"/>
      <c r="AG509" s="684"/>
      <c r="AH509" s="684"/>
      <c r="AI509" s="684"/>
      <c r="AJ509" s="684"/>
      <c r="AK509" s="768"/>
      <c r="AN509" s="561"/>
      <c r="AZ509" s="565"/>
      <c r="BC509" s="569"/>
      <c r="BD509" s="565"/>
      <c r="BE509" s="565"/>
      <c r="BF509" s="565"/>
      <c r="BM509" s="621"/>
      <c r="BN509" s="621"/>
      <c r="BO509" s="621"/>
      <c r="BP509" s="621"/>
      <c r="BQ509" s="621"/>
      <c r="BR509" s="621"/>
      <c r="BS509" s="621"/>
      <c r="BT509" s="621"/>
      <c r="BU509" s="621"/>
      <c r="BV509" s="621"/>
      <c r="BW509" s="621"/>
      <c r="BX509" s="621"/>
      <c r="BY509" s="621"/>
      <c r="BZ509" s="621"/>
      <c r="CA509" s="621"/>
      <c r="CB509" s="621"/>
      <c r="CC509" s="621"/>
    </row>
    <row r="510" spans="1:81" s="576" customFormat="1" ht="12.75" hidden="1" customHeight="1">
      <c r="C510" s="562"/>
      <c r="E510" s="790"/>
      <c r="F510" s="629"/>
      <c r="G510" s="599"/>
      <c r="H510" s="599"/>
      <c r="I510" s="599"/>
      <c r="J510" s="599"/>
      <c r="K510" s="599"/>
      <c r="L510" s="599"/>
      <c r="M510" s="599"/>
      <c r="N510" s="599"/>
      <c r="O510" s="599"/>
      <c r="P510" s="599"/>
      <c r="Q510" s="599"/>
      <c r="R510" s="599"/>
      <c r="S510" s="599"/>
      <c r="T510" s="599"/>
      <c r="U510" s="599"/>
      <c r="V510" s="599"/>
      <c r="W510" s="599"/>
      <c r="X510" s="599"/>
      <c r="Y510" s="599"/>
      <c r="Z510" s="599"/>
      <c r="AA510" s="599"/>
      <c r="AB510" s="599"/>
      <c r="AC510" s="599"/>
      <c r="AD510" s="599"/>
      <c r="AE510" s="599"/>
      <c r="AF510" s="599"/>
      <c r="AG510" s="577"/>
      <c r="AH510" s="577"/>
      <c r="AI510" s="577"/>
      <c r="AJ510" s="577"/>
      <c r="AN510" s="561"/>
      <c r="AP510" s="565"/>
      <c r="AQ510" s="565"/>
      <c r="AR510" s="565"/>
      <c r="AS510" s="565"/>
      <c r="AT510" s="565"/>
      <c r="AU510" s="565"/>
      <c r="AV510" s="565"/>
      <c r="AW510" s="565"/>
      <c r="AX510" s="565"/>
      <c r="AY510" s="565"/>
      <c r="AZ510" s="565"/>
      <c r="BA510" s="565"/>
      <c r="BB510" s="565"/>
      <c r="BC510" s="565"/>
      <c r="BD510" s="565"/>
      <c r="BE510" s="565"/>
      <c r="BF510" s="565"/>
      <c r="BG510" s="565"/>
      <c r="BH510" s="565"/>
      <c r="BI510" s="569"/>
      <c r="BJ510" s="824"/>
      <c r="BK510" s="824"/>
      <c r="BM510" s="621"/>
      <c r="BN510" s="621"/>
      <c r="BO510" s="621"/>
      <c r="BP510" s="621"/>
      <c r="BQ510" s="621"/>
      <c r="BR510" s="621"/>
      <c r="BS510" s="621"/>
      <c r="BT510" s="621"/>
      <c r="BU510" s="621"/>
      <c r="BV510" s="621"/>
      <c r="BW510" s="621"/>
      <c r="BX510" s="621"/>
      <c r="BY510" s="621"/>
      <c r="BZ510" s="621"/>
      <c r="CA510" s="621"/>
      <c r="CB510" s="621"/>
      <c r="CC510" s="621"/>
    </row>
    <row r="511" spans="1:81" s="576" customFormat="1" ht="12.75" hidden="1" customHeight="1">
      <c r="C511" s="825" t="s">
        <v>1727</v>
      </c>
      <c r="D511" s="740"/>
      <c r="E511" s="826"/>
      <c r="F511" s="827"/>
      <c r="G511" s="828"/>
      <c r="H511" s="828"/>
      <c r="I511" s="828"/>
      <c r="J511" s="828"/>
      <c r="K511" s="828"/>
      <c r="L511" s="828"/>
      <c r="M511" s="828"/>
      <c r="N511" s="828"/>
      <c r="O511" s="828"/>
      <c r="P511" s="828"/>
      <c r="Q511" s="828"/>
      <c r="R511" s="828"/>
      <c r="S511" s="828"/>
      <c r="T511" s="828"/>
      <c r="U511" s="828"/>
      <c r="V511" s="828"/>
      <c r="W511" s="828"/>
      <c r="X511" s="828"/>
      <c r="Y511" s="828"/>
      <c r="Z511" s="828"/>
      <c r="AA511" s="828"/>
      <c r="AB511" s="828"/>
      <c r="AC511" s="828"/>
      <c r="AD511" s="828"/>
      <c r="AE511" s="828"/>
      <c r="AF511" s="828"/>
      <c r="AG511" s="675"/>
      <c r="AH511" s="675"/>
      <c r="AI511" s="675"/>
      <c r="AJ511" s="675"/>
      <c r="AK511" s="771"/>
      <c r="AN511" s="623"/>
      <c r="AP511" s="565"/>
      <c r="AQ511" s="565"/>
      <c r="AR511" s="565"/>
      <c r="AS511" s="565"/>
      <c r="AT511" s="565"/>
      <c r="AU511" s="565"/>
      <c r="AV511" s="565"/>
      <c r="AW511" s="565"/>
      <c r="AX511" s="565"/>
      <c r="AY511" s="565"/>
      <c r="AZ511" s="565"/>
      <c r="BA511" s="565"/>
      <c r="BB511" s="565"/>
      <c r="BC511" s="565"/>
      <c r="BD511" s="565"/>
      <c r="BE511" s="565"/>
      <c r="BF511" s="565"/>
      <c r="BG511" s="565"/>
      <c r="BH511" s="565"/>
      <c r="BI511" s="663"/>
      <c r="BJ511" s="824"/>
      <c r="BK511" s="824"/>
      <c r="BM511" s="621"/>
      <c r="BN511" s="621"/>
      <c r="BO511" s="621"/>
      <c r="BP511" s="621"/>
      <c r="BQ511" s="621"/>
      <c r="BR511" s="621"/>
      <c r="BS511" s="621"/>
      <c r="BT511" s="621"/>
      <c r="BU511" s="621"/>
      <c r="BV511" s="621"/>
      <c r="BW511" s="621"/>
      <c r="BX511" s="621"/>
      <c r="BY511" s="621"/>
      <c r="BZ511" s="621"/>
      <c r="CA511" s="621"/>
      <c r="CB511" s="621"/>
      <c r="CC511" s="621"/>
    </row>
    <row r="512" spans="1:81" s="576" customFormat="1" ht="12.75" hidden="1" customHeight="1">
      <c r="C512" s="2062" t="s">
        <v>601</v>
      </c>
      <c r="D512" s="2063"/>
      <c r="E512" s="829" t="s">
        <v>1728</v>
      </c>
      <c r="F512" s="798" t="s">
        <v>1729</v>
      </c>
      <c r="G512" s="599"/>
      <c r="H512" s="599"/>
      <c r="I512" s="599"/>
      <c r="J512" s="599"/>
      <c r="K512" s="599"/>
      <c r="L512" s="599"/>
      <c r="M512" s="599"/>
      <c r="N512" s="599"/>
      <c r="O512" s="599"/>
      <c r="P512" s="599"/>
      <c r="Q512" s="599"/>
      <c r="R512" s="599"/>
      <c r="S512" s="599"/>
      <c r="T512" s="599"/>
      <c r="U512" s="599"/>
      <c r="V512" s="599"/>
      <c r="W512" s="599"/>
      <c r="X512" s="599"/>
      <c r="Y512" s="599"/>
      <c r="Z512" s="599"/>
      <c r="AA512" s="599"/>
      <c r="AB512" s="599"/>
      <c r="AC512" s="599"/>
      <c r="AD512" s="599"/>
      <c r="AE512" s="599"/>
      <c r="AF512" s="599"/>
      <c r="AG512" s="639">
        <f>IF(C$512="Yes",(VLOOKUP(F$513,$AO$483:$AP$486,2,FALSE)),0)</f>
        <v>0</v>
      </c>
      <c r="AH512" s="666" t="s">
        <v>1501</v>
      </c>
      <c r="AI512" s="577"/>
      <c r="AJ512" s="577"/>
      <c r="AK512" s="758"/>
      <c r="AN512" s="623"/>
      <c r="AP512" s="565"/>
      <c r="AQ512" s="565"/>
      <c r="AR512" s="565"/>
      <c r="AS512" s="565"/>
      <c r="AT512" s="565"/>
      <c r="AU512" s="565"/>
      <c r="AV512" s="565"/>
      <c r="AW512" s="565"/>
      <c r="AX512" s="565"/>
      <c r="AY512" s="565"/>
      <c r="AZ512" s="565"/>
      <c r="BA512" s="565"/>
      <c r="BB512" s="565"/>
      <c r="BC512" s="565"/>
      <c r="BD512" s="565"/>
      <c r="BE512" s="565"/>
      <c r="BF512" s="565"/>
      <c r="BG512" s="565"/>
      <c r="BH512" s="565"/>
      <c r="BI512" s="663"/>
      <c r="BJ512" s="824"/>
      <c r="BK512" s="824"/>
      <c r="BM512" s="562"/>
      <c r="BN512" s="562"/>
      <c r="BO512" s="562"/>
      <c r="BP512" s="562"/>
      <c r="BQ512" s="562"/>
      <c r="BR512" s="562"/>
      <c r="BS512" s="562"/>
      <c r="BT512" s="562"/>
      <c r="BU512" s="562"/>
      <c r="BV512" s="562"/>
      <c r="BW512" s="562"/>
      <c r="BX512" s="562"/>
      <c r="BY512" s="562"/>
      <c r="BZ512" s="562"/>
      <c r="CA512" s="562"/>
      <c r="CB512" s="562"/>
      <c r="CC512" s="562"/>
    </row>
    <row r="513" spans="1:81" s="576" customFormat="1" ht="12.75" hidden="1" customHeight="1">
      <c r="C513" s="744"/>
      <c r="E513" s="790"/>
      <c r="F513" s="2064" t="s">
        <v>601</v>
      </c>
      <c r="G513" s="2064"/>
      <c r="H513" s="2064"/>
      <c r="I513" s="2064"/>
      <c r="J513" s="2064"/>
      <c r="K513" s="2064"/>
      <c r="L513" s="2064"/>
      <c r="M513" s="2064"/>
      <c r="N513" s="2064"/>
      <c r="O513" s="2064"/>
      <c r="P513" s="2064"/>
      <c r="Q513" s="2064"/>
      <c r="R513" s="2064"/>
      <c r="S513" s="2064"/>
      <c r="T513" s="2064"/>
      <c r="U513" s="2064"/>
      <c r="V513" s="2064"/>
      <c r="W513" s="2064"/>
      <c r="X513" s="2064"/>
      <c r="Y513" s="2064"/>
      <c r="Z513" s="2064"/>
      <c r="AA513" s="2064"/>
      <c r="AB513" s="2064"/>
      <c r="AC513" s="2064"/>
      <c r="AD513" s="2064"/>
      <c r="AE513" s="2064"/>
      <c r="AF513" s="2064"/>
      <c r="AG513" s="577"/>
      <c r="AH513" s="577"/>
      <c r="AI513" s="577"/>
      <c r="AJ513" s="577"/>
      <c r="AK513" s="758"/>
      <c r="AN513" s="623"/>
      <c r="BM513" s="562"/>
      <c r="BN513" s="562"/>
      <c r="BO513" s="562"/>
      <c r="BP513" s="562"/>
      <c r="BQ513" s="562"/>
      <c r="BR513" s="562"/>
      <c r="BS513" s="562"/>
      <c r="BT513" s="562"/>
      <c r="BU513" s="562"/>
      <c r="BV513" s="562"/>
      <c r="BW513" s="562"/>
      <c r="BX513" s="562"/>
      <c r="BY513" s="562"/>
      <c r="BZ513" s="562"/>
      <c r="CA513" s="562"/>
      <c r="CB513" s="562"/>
      <c r="CC513" s="562"/>
    </row>
    <row r="514" spans="1:81" s="576" customFormat="1" ht="12.75" hidden="1" customHeight="1">
      <c r="C514" s="823"/>
      <c r="D514" s="753"/>
      <c r="E514" s="792"/>
      <c r="F514" s="2065"/>
      <c r="G514" s="2065"/>
      <c r="H514" s="2065"/>
      <c r="I514" s="2065"/>
      <c r="J514" s="2065"/>
      <c r="K514" s="2065"/>
      <c r="L514" s="2065"/>
      <c r="M514" s="2065"/>
      <c r="N514" s="2065"/>
      <c r="O514" s="2065"/>
      <c r="P514" s="2065"/>
      <c r="Q514" s="2065"/>
      <c r="R514" s="2065"/>
      <c r="S514" s="2065"/>
      <c r="T514" s="2065"/>
      <c r="U514" s="2065"/>
      <c r="V514" s="2065"/>
      <c r="W514" s="2065"/>
      <c r="X514" s="2065"/>
      <c r="Y514" s="2065"/>
      <c r="Z514" s="2065"/>
      <c r="AA514" s="2065"/>
      <c r="AB514" s="2065"/>
      <c r="AC514" s="2065"/>
      <c r="AD514" s="2065"/>
      <c r="AE514" s="2065"/>
      <c r="AF514" s="2065"/>
      <c r="AG514" s="684"/>
      <c r="AH514" s="684"/>
      <c r="AI514" s="684"/>
      <c r="AJ514" s="684"/>
      <c r="AK514" s="768"/>
      <c r="AN514" s="623"/>
      <c r="BM514" s="562"/>
      <c r="BN514" s="562"/>
      <c r="BO514" s="562"/>
      <c r="BP514" s="562"/>
      <c r="BQ514" s="562"/>
      <c r="BR514" s="562"/>
      <c r="BS514" s="562"/>
      <c r="BT514" s="562"/>
      <c r="BU514" s="562"/>
      <c r="BV514" s="562"/>
      <c r="BW514" s="562"/>
      <c r="BX514" s="562"/>
      <c r="BY514" s="562"/>
      <c r="BZ514" s="562"/>
      <c r="CA514" s="562"/>
      <c r="CB514" s="562"/>
      <c r="CC514" s="562"/>
    </row>
    <row r="515" spans="1:81" s="576" customFormat="1" ht="12.75" hidden="1" customHeight="1">
      <c r="A515" s="663"/>
      <c r="C515" s="577"/>
      <c r="E515" s="577"/>
      <c r="F515" s="798"/>
      <c r="G515" s="577"/>
      <c r="H515" s="577"/>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642"/>
      <c r="AE515" s="577"/>
      <c r="AF515" s="577"/>
      <c r="AG515" s="577"/>
      <c r="AH515" s="577"/>
      <c r="AN515" s="623"/>
      <c r="BM515" s="562"/>
      <c r="BN515" s="562"/>
      <c r="BO515" s="562"/>
      <c r="BP515" s="562"/>
      <c r="BQ515" s="562"/>
      <c r="BR515" s="562"/>
      <c r="BS515" s="562"/>
      <c r="BT515" s="562"/>
      <c r="BU515" s="562"/>
      <c r="BV515" s="562"/>
      <c r="BW515" s="562"/>
      <c r="BX515" s="562"/>
      <c r="BY515" s="562"/>
      <c r="BZ515" s="562"/>
      <c r="CA515" s="562"/>
      <c r="CB515" s="562"/>
      <c r="CC515" s="562"/>
    </row>
    <row r="516" spans="1:81" s="576" customFormat="1" ht="12.75" hidden="1" customHeight="1">
      <c r="A516" s="663"/>
      <c r="B516" s="576" t="s">
        <v>1730</v>
      </c>
      <c r="C516" s="577"/>
      <c r="E516" s="577"/>
      <c r="F516" s="577"/>
      <c r="G516" s="577"/>
      <c r="H516" s="577"/>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642"/>
      <c r="AE516" s="577"/>
      <c r="AF516" s="577"/>
      <c r="AG516" s="577"/>
      <c r="AH516" s="577"/>
      <c r="AN516" s="623"/>
      <c r="AP516" s="813"/>
      <c r="AQ516" s="813"/>
      <c r="AR516" s="813"/>
      <c r="AS516" s="813"/>
      <c r="AT516" s="813"/>
      <c r="AU516" s="813"/>
      <c r="AV516" s="813"/>
      <c r="AW516" s="813"/>
      <c r="AX516" s="813"/>
      <c r="AY516" s="813"/>
      <c r="BM516" s="562"/>
      <c r="BN516" s="562"/>
      <c r="BO516" s="562"/>
      <c r="BP516" s="562"/>
      <c r="BQ516" s="562"/>
      <c r="BR516" s="562"/>
      <c r="BS516" s="562"/>
      <c r="BT516" s="562"/>
      <c r="BU516" s="562"/>
      <c r="BV516" s="562"/>
      <c r="BW516" s="562"/>
      <c r="BX516" s="562"/>
      <c r="BY516" s="562"/>
      <c r="BZ516" s="562"/>
      <c r="CA516" s="562"/>
      <c r="CB516" s="562"/>
      <c r="CC516" s="562"/>
    </row>
    <row r="517" spans="1:81" s="576" customFormat="1" ht="12.75" hidden="1" customHeight="1">
      <c r="A517" s="663"/>
      <c r="B517" s="576" t="s">
        <v>1731</v>
      </c>
      <c r="C517" s="577"/>
      <c r="E517" s="577"/>
      <c r="F517" s="577"/>
      <c r="G517" s="577"/>
      <c r="H517" s="577"/>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642"/>
      <c r="AE517" s="577"/>
      <c r="AF517" s="577"/>
      <c r="AG517" s="577"/>
      <c r="AH517" s="577"/>
      <c r="AN517" s="623"/>
      <c r="AP517" s="830"/>
      <c r="AQ517" s="830"/>
      <c r="AR517" s="830"/>
      <c r="AS517" s="830"/>
      <c r="AT517" s="830"/>
      <c r="AU517" s="830"/>
      <c r="AV517" s="830"/>
      <c r="AW517" s="830"/>
      <c r="AX517" s="830"/>
      <c r="AY517" s="830"/>
      <c r="BM517" s="562"/>
      <c r="BN517" s="562"/>
      <c r="BO517" s="562"/>
      <c r="BP517" s="562"/>
      <c r="BQ517" s="562"/>
      <c r="BR517" s="562"/>
      <c r="BS517" s="562"/>
      <c r="BT517" s="562"/>
      <c r="BU517" s="562"/>
      <c r="BV517" s="562"/>
      <c r="BW517" s="562"/>
      <c r="BX517" s="562"/>
      <c r="BY517" s="562"/>
      <c r="BZ517" s="562"/>
      <c r="CA517" s="562"/>
      <c r="CB517" s="562"/>
      <c r="CC517" s="562"/>
    </row>
    <row r="518" spans="1:81" s="576" customFormat="1" ht="12.75" hidden="1" customHeight="1">
      <c r="A518" s="663"/>
      <c r="B518" s="576" t="s">
        <v>2427</v>
      </c>
      <c r="C518" s="577"/>
      <c r="E518" s="577"/>
      <c r="F518" s="577"/>
      <c r="G518" s="577"/>
      <c r="H518" s="577"/>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642"/>
      <c r="AE518" s="577"/>
      <c r="AF518" s="577"/>
      <c r="AG518" s="577"/>
      <c r="AH518" s="577"/>
      <c r="AN518" s="623"/>
      <c r="AP518" s="830"/>
      <c r="AQ518" s="830"/>
      <c r="AR518" s="830"/>
      <c r="AS518" s="830"/>
      <c r="AT518" s="830"/>
      <c r="AU518" s="830"/>
      <c r="AV518" s="830"/>
      <c r="AW518" s="830"/>
      <c r="AX518" s="830"/>
      <c r="AY518" s="830"/>
      <c r="BM518" s="562"/>
      <c r="BN518" s="562"/>
      <c r="BO518" s="562"/>
      <c r="BP518" s="562"/>
      <c r="BQ518" s="562"/>
      <c r="BR518" s="562"/>
      <c r="BS518" s="562"/>
      <c r="BT518" s="562"/>
      <c r="BU518" s="562"/>
      <c r="BV518" s="562"/>
      <c r="BW518" s="562"/>
      <c r="BX518" s="562"/>
      <c r="BY518" s="562"/>
      <c r="BZ518" s="562"/>
      <c r="CA518" s="562"/>
      <c r="CB518" s="562"/>
      <c r="CC518" s="562"/>
    </row>
    <row r="519" spans="1:81" s="576" customFormat="1" ht="12.75" hidden="1" customHeight="1">
      <c r="A519" s="663"/>
      <c r="B519" s="576" t="s">
        <v>1732</v>
      </c>
      <c r="C519" s="577"/>
      <c r="E519" s="577"/>
      <c r="F519" s="577"/>
      <c r="G519" s="577"/>
      <c r="H519" s="577"/>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642"/>
      <c r="AE519" s="577"/>
      <c r="AF519" s="577"/>
      <c r="AG519" s="577"/>
      <c r="AH519" s="577"/>
      <c r="AN519" s="623"/>
      <c r="AP519" s="830"/>
      <c r="AQ519" s="830"/>
      <c r="AR519" s="830"/>
      <c r="AS519" s="830"/>
      <c r="AT519" s="830"/>
      <c r="AU519" s="830"/>
      <c r="AV519" s="830"/>
      <c r="AW519" s="830"/>
      <c r="AX519" s="830"/>
      <c r="AY519" s="830"/>
      <c r="BM519" s="562"/>
      <c r="BN519" s="562"/>
      <c r="BO519" s="562"/>
      <c r="BP519" s="562"/>
      <c r="BQ519" s="562"/>
      <c r="BR519" s="562"/>
      <c r="BS519" s="562"/>
      <c r="BT519" s="562"/>
      <c r="BU519" s="562"/>
      <c r="BV519" s="562"/>
      <c r="BW519" s="562"/>
      <c r="BX519" s="562"/>
      <c r="BY519" s="562"/>
      <c r="BZ519" s="562"/>
      <c r="CA519" s="562"/>
      <c r="CB519" s="562"/>
      <c r="CC519" s="562"/>
    </row>
    <row r="520" spans="1:81" s="576" customFormat="1" ht="12.75" hidden="1" customHeight="1">
      <c r="A520" s="663"/>
      <c r="B520" s="576" t="s">
        <v>2428</v>
      </c>
      <c r="C520" s="577"/>
      <c r="E520" s="577"/>
      <c r="F520" s="577"/>
      <c r="G520" s="577"/>
      <c r="H520" s="577"/>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642"/>
      <c r="AE520" s="577"/>
      <c r="AF520" s="577"/>
      <c r="AG520" s="577"/>
      <c r="AH520" s="577"/>
      <c r="AN520" s="623"/>
      <c r="AP520" s="830"/>
      <c r="AQ520" s="830"/>
      <c r="AR520" s="830"/>
      <c r="AS520" s="830"/>
      <c r="AT520" s="830"/>
      <c r="AU520" s="830"/>
      <c r="AV520" s="830"/>
      <c r="AW520" s="830"/>
      <c r="AX520" s="830"/>
      <c r="AY520" s="830"/>
      <c r="BM520" s="562"/>
      <c r="BN520" s="562"/>
      <c r="BO520" s="562"/>
      <c r="BP520" s="562"/>
      <c r="BQ520" s="562"/>
      <c r="BR520" s="562"/>
      <c r="BS520" s="562"/>
      <c r="BT520" s="562"/>
      <c r="BU520" s="562"/>
      <c r="BV520" s="562"/>
      <c r="BW520" s="562"/>
      <c r="BX520" s="562"/>
      <c r="BY520" s="562"/>
      <c r="BZ520" s="562"/>
      <c r="CA520" s="562"/>
      <c r="CB520" s="562"/>
      <c r="CC520" s="562"/>
    </row>
    <row r="521" spans="1:81" s="576" customFormat="1" ht="12.75" hidden="1" customHeight="1">
      <c r="A521" s="663"/>
      <c r="B521" s="576" t="s">
        <v>1733</v>
      </c>
      <c r="C521" s="577"/>
      <c r="E521" s="577"/>
      <c r="F521" s="577"/>
      <c r="G521" s="577"/>
      <c r="H521" s="577"/>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642"/>
      <c r="AE521" s="577"/>
      <c r="AF521" s="577"/>
      <c r="AG521" s="577"/>
      <c r="AH521" s="577"/>
      <c r="AN521" s="623"/>
      <c r="AP521" s="830"/>
      <c r="AQ521" s="830"/>
      <c r="AR521" s="830"/>
      <c r="AS521" s="830"/>
      <c r="AT521" s="830"/>
      <c r="AU521" s="830"/>
      <c r="AV521" s="830"/>
      <c r="AW521" s="830"/>
      <c r="AX521" s="830"/>
      <c r="AY521" s="830"/>
      <c r="BM521" s="562"/>
      <c r="BN521" s="562"/>
      <c r="BO521" s="562"/>
      <c r="BP521" s="562"/>
      <c r="BQ521" s="562"/>
      <c r="BR521" s="562"/>
      <c r="BS521" s="562"/>
      <c r="BT521" s="562"/>
      <c r="BU521" s="562"/>
      <c r="BV521" s="562"/>
      <c r="BW521" s="562"/>
      <c r="BX521" s="562"/>
      <c r="BY521" s="562"/>
      <c r="BZ521" s="562"/>
      <c r="CA521" s="562"/>
      <c r="CB521" s="562"/>
      <c r="CC521" s="562"/>
    </row>
    <row r="522" spans="1:81" s="576" customFormat="1" ht="12.75" hidden="1" customHeight="1">
      <c r="A522" s="663"/>
      <c r="B522" s="576" t="s">
        <v>1734</v>
      </c>
      <c r="C522" s="577"/>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642"/>
      <c r="AE522" s="577"/>
      <c r="AF522" s="577"/>
      <c r="AG522" s="577"/>
      <c r="AH522" s="577"/>
      <c r="AN522" s="623"/>
    </row>
    <row r="523" spans="1:81" s="576" customFormat="1" ht="12.75" hidden="1" customHeight="1">
      <c r="A523" s="831"/>
      <c r="C523" s="577"/>
      <c r="E523" s="577"/>
      <c r="F523" s="577"/>
      <c r="G523" s="577"/>
      <c r="H523" s="577"/>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642"/>
      <c r="AE523" s="577"/>
      <c r="AF523" s="577"/>
      <c r="AG523" s="577"/>
      <c r="AH523" s="577"/>
      <c r="AN523" s="623"/>
    </row>
    <row r="524" spans="1:81" s="576" customFormat="1" ht="12.75" hidden="1" customHeight="1">
      <c r="A524" s="632"/>
      <c r="B524" s="690"/>
      <c r="C524" s="690"/>
      <c r="D524" s="690"/>
      <c r="E524" s="690"/>
      <c r="F524" s="690"/>
      <c r="G524" s="690"/>
      <c r="H524" s="690"/>
      <c r="I524" s="690"/>
      <c r="J524" s="690"/>
      <c r="K524" s="690"/>
      <c r="L524" s="690"/>
      <c r="M524" s="690"/>
      <c r="N524" s="690"/>
      <c r="O524" s="690"/>
      <c r="P524" s="690"/>
      <c r="Q524" s="690"/>
      <c r="R524" s="690"/>
      <c r="S524" s="690"/>
      <c r="T524" s="690"/>
      <c r="U524" s="690"/>
      <c r="V524" s="690"/>
      <c r="W524" s="690"/>
      <c r="X524" s="690"/>
      <c r="Y524" s="690"/>
      <c r="Z524" s="690"/>
      <c r="AA524" s="690"/>
      <c r="AB524" s="690"/>
      <c r="AC524" s="691"/>
      <c r="AD524" s="690"/>
      <c r="AE524" s="690"/>
      <c r="AF524" s="690"/>
      <c r="AG524" s="690"/>
      <c r="AH524" s="590"/>
      <c r="AI524" s="591"/>
      <c r="AJ524" s="591" t="s">
        <v>1735</v>
      </c>
      <c r="AK524" s="1987">
        <f>SUM(AG468:AG513)</f>
        <v>0</v>
      </c>
      <c r="AL524" s="1988"/>
      <c r="AM524" s="1989"/>
      <c r="AN524" s="623"/>
      <c r="AP524" s="562"/>
      <c r="AQ524" s="562"/>
      <c r="AR524" s="562"/>
      <c r="AS524" s="562"/>
      <c r="AT524" s="562"/>
      <c r="AU524" s="562"/>
      <c r="AV524" s="562"/>
      <c r="AW524" s="562"/>
      <c r="AX524" s="562"/>
      <c r="AY524" s="562"/>
      <c r="AZ524" s="562"/>
    </row>
    <row r="525" spans="1:81" s="576" customFormat="1" ht="12.75" hidden="1" customHeight="1" thickBot="1">
      <c r="B525" s="577"/>
      <c r="C525" s="577"/>
      <c r="D525" s="577"/>
      <c r="E525" s="577"/>
      <c r="F525" s="577"/>
      <c r="G525" s="577"/>
      <c r="H525" s="577"/>
      <c r="I525" s="577"/>
      <c r="J525" s="577"/>
      <c r="K525" s="577"/>
      <c r="L525" s="577"/>
      <c r="M525" s="577"/>
      <c r="N525" s="577"/>
      <c r="O525" s="577"/>
      <c r="P525" s="577"/>
      <c r="Q525" s="577"/>
      <c r="R525" s="577"/>
      <c r="S525" s="577"/>
      <c r="T525" s="577"/>
      <c r="U525" s="577"/>
      <c r="V525" s="577"/>
      <c r="W525" s="577"/>
      <c r="X525" s="577"/>
      <c r="Y525" s="577"/>
      <c r="Z525" s="577"/>
      <c r="AA525" s="577"/>
      <c r="AB525" s="577"/>
      <c r="AC525" s="642"/>
      <c r="AD525" s="577"/>
      <c r="AE525" s="577"/>
      <c r="AF525" s="577"/>
      <c r="AG525" s="577"/>
      <c r="AI525" s="569"/>
      <c r="AJ525" s="569"/>
      <c r="AK525" s="621"/>
      <c r="AL525" s="621"/>
      <c r="AM525" s="621"/>
      <c r="AN525" s="623"/>
      <c r="AP525" s="562"/>
      <c r="AQ525" s="562"/>
      <c r="AR525" s="562"/>
      <c r="AS525" s="562"/>
      <c r="AT525" s="562"/>
      <c r="AU525" s="562"/>
      <c r="AV525" s="562"/>
      <c r="AW525" s="562"/>
      <c r="AX525" s="562"/>
      <c r="AY525" s="562"/>
      <c r="AZ525" s="562"/>
    </row>
    <row r="526" spans="1:81" ht="13" thickTop="1"/>
    <row r="527" spans="1:81" s="576" customFormat="1" ht="12.75" customHeight="1">
      <c r="A527" s="565" t="s">
        <v>1736</v>
      </c>
      <c r="B527" s="565" t="s">
        <v>1737</v>
      </c>
      <c r="C527" s="577"/>
      <c r="D527" s="577"/>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c r="AB527" s="577"/>
      <c r="AC527" s="642"/>
      <c r="AD527" s="577"/>
      <c r="AE527" s="1922" t="s">
        <v>1738</v>
      </c>
      <c r="AF527" s="1922"/>
      <c r="AG527" s="1922"/>
      <c r="AH527" s="1922"/>
      <c r="AI527" s="1922"/>
      <c r="AJ527" s="1922"/>
      <c r="AK527" s="1922"/>
      <c r="AL527" s="621"/>
      <c r="AM527" s="621"/>
      <c r="AN527" s="623"/>
    </row>
    <row r="528" spans="1:81" s="576" customFormat="1" ht="12.75" customHeight="1">
      <c r="A528" s="565"/>
      <c r="B528" s="565" t="s">
        <v>1497</v>
      </c>
      <c r="C528" s="577"/>
      <c r="D528" s="577"/>
      <c r="E528" s="577"/>
      <c r="F528" s="577"/>
      <c r="G528" s="577"/>
      <c r="H528" s="577"/>
      <c r="I528" s="577"/>
      <c r="J528" s="577"/>
      <c r="K528" s="577"/>
      <c r="L528" s="577"/>
      <c r="M528" s="577"/>
      <c r="N528" s="577"/>
      <c r="O528" s="577"/>
      <c r="P528" s="577"/>
      <c r="Q528" s="577"/>
      <c r="R528" s="577"/>
      <c r="S528" s="577"/>
      <c r="T528" s="577"/>
      <c r="U528" s="577"/>
      <c r="V528" s="577"/>
      <c r="W528" s="577"/>
      <c r="X528" s="577"/>
      <c r="Y528" s="577"/>
      <c r="Z528" s="577"/>
      <c r="AA528" s="577"/>
      <c r="AB528" s="577"/>
      <c r="AC528" s="642"/>
      <c r="AD528" s="577"/>
      <c r="AE528" s="569"/>
      <c r="AF528" s="569"/>
      <c r="AG528" s="569"/>
      <c r="AH528" s="569"/>
      <c r="AI528" s="569"/>
      <c r="AJ528" s="569"/>
      <c r="AK528" s="569"/>
      <c r="AL528" s="621"/>
      <c r="AM528" s="621"/>
      <c r="AN528" s="623"/>
    </row>
    <row r="529" spans="1:49" s="576" customFormat="1" ht="12.75" customHeight="1">
      <c r="A529" s="565"/>
      <c r="B529" s="565"/>
      <c r="C529" s="577"/>
      <c r="D529" s="577"/>
      <c r="E529" s="577"/>
      <c r="F529" s="577"/>
      <c r="G529" s="577"/>
      <c r="H529" s="577"/>
      <c r="I529" s="577"/>
      <c r="J529" s="577"/>
      <c r="K529" s="577"/>
      <c r="L529" s="577"/>
      <c r="M529" s="577"/>
      <c r="N529" s="577"/>
      <c r="O529" s="577"/>
      <c r="P529" s="577"/>
      <c r="Q529" s="577"/>
      <c r="R529" s="577"/>
      <c r="S529" s="577"/>
      <c r="T529" s="577"/>
      <c r="U529" s="577"/>
      <c r="V529" s="577"/>
      <c r="W529" s="577"/>
      <c r="X529" s="577"/>
      <c r="Y529" s="577"/>
      <c r="Z529" s="577"/>
      <c r="AA529" s="577"/>
      <c r="AB529" s="577"/>
      <c r="AC529" s="642"/>
      <c r="AD529" s="577"/>
      <c r="AE529" s="569"/>
      <c r="AF529" s="569"/>
      <c r="AG529" s="569"/>
      <c r="AH529" s="569"/>
      <c r="AI529" s="569"/>
      <c r="AJ529" s="569"/>
      <c r="AK529" s="569"/>
      <c r="AL529" s="621"/>
      <c r="AM529" s="621"/>
      <c r="AN529" s="623"/>
    </row>
    <row r="530" spans="1:49" s="576" customFormat="1" ht="12.75" customHeight="1">
      <c r="A530" s="565"/>
      <c r="B530" s="565"/>
      <c r="C530" s="1984" t="s">
        <v>555</v>
      </c>
      <c r="D530" s="1984"/>
      <c r="E530" s="577"/>
      <c r="F530" s="2066" t="s">
        <v>1739</v>
      </c>
      <c r="G530" s="2067"/>
      <c r="H530" s="2067"/>
      <c r="I530" s="2067"/>
      <c r="J530" s="2067"/>
      <c r="K530" s="2067"/>
      <c r="L530" s="2067"/>
      <c r="M530" s="2067"/>
      <c r="N530" s="2067"/>
      <c r="O530" s="2067"/>
      <c r="P530" s="2067"/>
      <c r="Q530" s="2067"/>
      <c r="R530" s="2067"/>
      <c r="S530" s="2067"/>
      <c r="T530" s="2067"/>
      <c r="U530" s="2067"/>
      <c r="V530" s="2067"/>
      <c r="W530" s="2067"/>
      <c r="X530" s="2067"/>
      <c r="Y530" s="2067"/>
      <c r="Z530" s="2067"/>
      <c r="AA530" s="2067"/>
      <c r="AB530" s="2067"/>
      <c r="AC530" s="2067"/>
      <c r="AD530" s="2067"/>
      <c r="AE530" s="2067"/>
      <c r="AF530" s="2067"/>
      <c r="AG530" s="2067"/>
      <c r="AH530" s="2067"/>
      <c r="AI530" s="2067"/>
      <c r="AJ530" s="2067"/>
      <c r="AK530" s="2067"/>
      <c r="AL530" s="2068"/>
      <c r="AM530" s="621"/>
      <c r="AN530" s="623"/>
    </row>
    <row r="531" spans="1:49" s="576" customFormat="1" ht="12.75" customHeight="1">
      <c r="A531" s="565"/>
      <c r="B531" s="565"/>
      <c r="C531" s="577"/>
      <c r="D531" s="577"/>
      <c r="E531" s="577"/>
      <c r="F531" s="2069"/>
      <c r="G531" s="2070"/>
      <c r="H531" s="2070"/>
      <c r="I531" s="2070"/>
      <c r="J531" s="2070"/>
      <c r="K531" s="2070"/>
      <c r="L531" s="2070"/>
      <c r="M531" s="2070"/>
      <c r="N531" s="2070"/>
      <c r="O531" s="2070"/>
      <c r="P531" s="2070"/>
      <c r="Q531" s="2070"/>
      <c r="R531" s="2070"/>
      <c r="S531" s="2070"/>
      <c r="T531" s="2070"/>
      <c r="U531" s="2070"/>
      <c r="V531" s="2070"/>
      <c r="W531" s="2070"/>
      <c r="X531" s="2070"/>
      <c r="Y531" s="2070"/>
      <c r="Z531" s="2070"/>
      <c r="AA531" s="2070"/>
      <c r="AB531" s="2070"/>
      <c r="AC531" s="2070"/>
      <c r="AD531" s="2070"/>
      <c r="AE531" s="2070"/>
      <c r="AF531" s="2070"/>
      <c r="AG531" s="2070"/>
      <c r="AH531" s="2070"/>
      <c r="AI531" s="2070"/>
      <c r="AJ531" s="2070"/>
      <c r="AK531" s="2070"/>
      <c r="AL531" s="2071"/>
      <c r="AM531" s="621"/>
      <c r="AN531" s="623"/>
    </row>
    <row r="532" spans="1:49" s="576" customFormat="1" ht="12.75" customHeight="1">
      <c r="A532" s="565"/>
      <c r="B532" s="565"/>
      <c r="C532" s="577"/>
      <c r="D532" s="577"/>
      <c r="E532" s="577"/>
      <c r="F532" s="832"/>
      <c r="G532" s="832"/>
      <c r="H532" s="832"/>
      <c r="I532" s="832"/>
      <c r="J532" s="832"/>
      <c r="K532" s="832"/>
      <c r="L532" s="832"/>
      <c r="M532" s="832"/>
      <c r="N532" s="832"/>
      <c r="O532" s="832"/>
      <c r="P532" s="832"/>
      <c r="Q532" s="832"/>
      <c r="R532" s="832"/>
      <c r="S532" s="832"/>
      <c r="T532" s="832"/>
      <c r="U532" s="832"/>
      <c r="V532" s="832"/>
      <c r="W532" s="832"/>
      <c r="X532" s="832"/>
      <c r="Y532" s="832"/>
      <c r="Z532" s="832"/>
      <c r="AA532" s="832"/>
      <c r="AB532" s="832"/>
      <c r="AC532" s="832"/>
      <c r="AD532" s="832"/>
      <c r="AE532" s="832"/>
      <c r="AF532" s="832"/>
      <c r="AG532" s="832"/>
      <c r="AH532" s="832"/>
      <c r="AI532" s="832"/>
      <c r="AJ532" s="832"/>
      <c r="AK532" s="832"/>
      <c r="AL532" s="832"/>
      <c r="AM532" s="621"/>
      <c r="AN532" s="623"/>
    </row>
    <row r="533" spans="1:49" s="576" customFormat="1" ht="12.75" customHeight="1">
      <c r="A533" s="565"/>
      <c r="B533" s="833"/>
      <c r="C533" s="1984" t="s">
        <v>601</v>
      </c>
      <c r="D533" s="1984"/>
      <c r="E533" s="833"/>
      <c r="F533" s="670" t="s">
        <v>1740</v>
      </c>
      <c r="G533" s="834"/>
      <c r="H533" s="835"/>
      <c r="I533" s="835"/>
      <c r="J533" s="835"/>
      <c r="K533" s="835"/>
      <c r="L533" s="835"/>
      <c r="M533" s="835"/>
      <c r="N533" s="835"/>
      <c r="O533" s="835"/>
      <c r="P533" s="835"/>
      <c r="Q533" s="835"/>
      <c r="R533" s="835"/>
      <c r="S533" s="835"/>
      <c r="T533" s="835"/>
      <c r="U533" s="835"/>
      <c r="V533" s="835"/>
      <c r="W533" s="835"/>
      <c r="X533" s="835"/>
      <c r="Y533" s="835"/>
      <c r="Z533" s="835"/>
      <c r="AA533" s="835"/>
      <c r="AB533" s="835"/>
      <c r="AC533" s="835"/>
      <c r="AD533" s="835"/>
      <c r="AE533" s="835"/>
      <c r="AF533" s="835"/>
      <c r="AG533" s="835"/>
      <c r="AH533" s="835"/>
      <c r="AI533" s="835"/>
      <c r="AJ533" s="835"/>
      <c r="AK533" s="836"/>
      <c r="AL533" s="837"/>
      <c r="AM533" s="621"/>
      <c r="AN533" s="623"/>
    </row>
    <row r="534" spans="1:49" s="576" customFormat="1" ht="12.75" customHeight="1">
      <c r="B534" s="833"/>
      <c r="C534" s="833"/>
      <c r="D534" s="833"/>
      <c r="E534" s="833"/>
      <c r="F534" s="2006" t="s">
        <v>1741</v>
      </c>
      <c r="G534" s="2007"/>
      <c r="H534" s="2007"/>
      <c r="I534" s="2007"/>
      <c r="J534" s="2007"/>
      <c r="K534" s="2007"/>
      <c r="L534" s="2007"/>
      <c r="M534" s="2007"/>
      <c r="N534" s="2007"/>
      <c r="O534" s="2007"/>
      <c r="P534" s="2007"/>
      <c r="Q534" s="2007"/>
      <c r="R534" s="2007"/>
      <c r="S534" s="2007"/>
      <c r="T534" s="2007"/>
      <c r="U534" s="2007"/>
      <c r="V534" s="2007"/>
      <c r="W534" s="2007"/>
      <c r="X534" s="2007"/>
      <c r="Y534" s="2007"/>
      <c r="Z534" s="2007"/>
      <c r="AA534" s="2007"/>
      <c r="AB534" s="2007"/>
      <c r="AC534" s="2007"/>
      <c r="AD534" s="2007"/>
      <c r="AE534" s="2007"/>
      <c r="AF534" s="2007"/>
      <c r="AG534" s="2007"/>
      <c r="AH534" s="2007"/>
      <c r="AI534" s="2007"/>
      <c r="AJ534" s="2007"/>
      <c r="AK534" s="2007"/>
      <c r="AL534" s="2008"/>
      <c r="AM534" s="621"/>
      <c r="AN534" s="623"/>
      <c r="AS534" s="897"/>
      <c r="AT534" s="897"/>
      <c r="AU534" s="897"/>
      <c r="AV534" s="897"/>
      <c r="AW534" s="897"/>
    </row>
    <row r="535" spans="1:49" s="576" customFormat="1" ht="12.75" customHeight="1">
      <c r="B535" s="833"/>
      <c r="C535" s="833"/>
      <c r="D535" s="833"/>
      <c r="E535" s="833"/>
      <c r="F535" s="2006"/>
      <c r="G535" s="2007"/>
      <c r="H535" s="2007"/>
      <c r="I535" s="2007"/>
      <c r="J535" s="2007"/>
      <c r="K535" s="2007"/>
      <c r="L535" s="2007"/>
      <c r="M535" s="2007"/>
      <c r="N535" s="2007"/>
      <c r="O535" s="2007"/>
      <c r="P535" s="2007"/>
      <c r="Q535" s="2007"/>
      <c r="R535" s="2007"/>
      <c r="S535" s="2007"/>
      <c r="T535" s="2007"/>
      <c r="U535" s="2007"/>
      <c r="V535" s="2007"/>
      <c r="W535" s="2007"/>
      <c r="X535" s="2007"/>
      <c r="Y535" s="2007"/>
      <c r="Z535" s="2007"/>
      <c r="AA535" s="2007"/>
      <c r="AB535" s="2007"/>
      <c r="AC535" s="2007"/>
      <c r="AD535" s="2007"/>
      <c r="AE535" s="2007"/>
      <c r="AF535" s="2007"/>
      <c r="AG535" s="2007"/>
      <c r="AH535" s="2007"/>
      <c r="AI535" s="2007"/>
      <c r="AJ535" s="2007"/>
      <c r="AK535" s="2007"/>
      <c r="AL535" s="2008"/>
      <c r="AM535" s="621"/>
      <c r="AN535" s="623"/>
    </row>
    <row r="536" spans="1:49" s="576" customFormat="1" ht="12.75" customHeight="1">
      <c r="B536" s="833"/>
      <c r="C536" s="833"/>
      <c r="D536" s="833"/>
      <c r="E536" s="833"/>
      <c r="F536" s="838" t="s">
        <v>2429</v>
      </c>
      <c r="G536" s="642"/>
      <c r="H536" s="642"/>
      <c r="I536" s="642"/>
      <c r="J536" s="642"/>
      <c r="K536" s="642"/>
      <c r="L536" s="642"/>
      <c r="M536" s="642"/>
      <c r="N536" s="642"/>
      <c r="O536" s="642"/>
      <c r="P536" s="642"/>
      <c r="Q536" s="642"/>
      <c r="R536" s="642"/>
      <c r="S536" s="642"/>
      <c r="T536" s="642"/>
      <c r="U536" s="642"/>
      <c r="V536" s="642"/>
      <c r="W536" s="642"/>
      <c r="X536" s="642"/>
      <c r="Y536" s="642"/>
      <c r="Z536" s="642"/>
      <c r="AA536" s="642"/>
      <c r="AB536" s="642"/>
      <c r="AC536" s="642"/>
      <c r="AD536" s="642"/>
      <c r="AE536" s="642"/>
      <c r="AF536" s="642"/>
      <c r="AG536" s="642"/>
      <c r="AH536" s="642"/>
      <c r="AI536" s="642"/>
      <c r="AJ536" s="642"/>
      <c r="AK536" s="642"/>
      <c r="AL536" s="839"/>
      <c r="AM536" s="621"/>
      <c r="AN536" s="623"/>
    </row>
    <row r="537" spans="1:49" s="576" customFormat="1" ht="12.75" customHeight="1">
      <c r="B537" s="833"/>
      <c r="C537" s="833"/>
      <c r="D537" s="833"/>
      <c r="E537" s="833"/>
      <c r="F537" s="2006" t="s">
        <v>1742</v>
      </c>
      <c r="G537" s="2007"/>
      <c r="H537" s="2007"/>
      <c r="I537" s="2007"/>
      <c r="J537" s="2007"/>
      <c r="K537" s="2007"/>
      <c r="L537" s="2007"/>
      <c r="M537" s="2007"/>
      <c r="N537" s="2007"/>
      <c r="O537" s="2007"/>
      <c r="P537" s="2007"/>
      <c r="Q537" s="2007"/>
      <c r="R537" s="2007"/>
      <c r="S537" s="2007"/>
      <c r="T537" s="2007"/>
      <c r="U537" s="2007"/>
      <c r="V537" s="2007"/>
      <c r="W537" s="2007"/>
      <c r="X537" s="2007"/>
      <c r="Y537" s="2007"/>
      <c r="Z537" s="2007"/>
      <c r="AA537" s="2007"/>
      <c r="AB537" s="2007"/>
      <c r="AC537" s="2007"/>
      <c r="AD537" s="2007"/>
      <c r="AE537" s="2007"/>
      <c r="AF537" s="2007"/>
      <c r="AG537" s="2007"/>
      <c r="AH537" s="2007"/>
      <c r="AI537" s="2007"/>
      <c r="AJ537" s="2007"/>
      <c r="AK537" s="2007"/>
      <c r="AL537" s="840"/>
      <c r="AM537" s="621"/>
      <c r="AN537" s="623"/>
    </row>
    <row r="538" spans="1:49" s="576" customFormat="1" ht="12.75" customHeight="1">
      <c r="B538" s="833"/>
      <c r="C538" s="833"/>
      <c r="D538" s="833"/>
      <c r="E538" s="833"/>
      <c r="F538" s="2009"/>
      <c r="G538" s="2010"/>
      <c r="H538" s="2010"/>
      <c r="I538" s="2010"/>
      <c r="J538" s="2010"/>
      <c r="K538" s="2010"/>
      <c r="L538" s="2010"/>
      <c r="M538" s="2010"/>
      <c r="N538" s="2010"/>
      <c r="O538" s="2010"/>
      <c r="P538" s="2010"/>
      <c r="Q538" s="2010"/>
      <c r="R538" s="2010"/>
      <c r="S538" s="2010"/>
      <c r="T538" s="2010"/>
      <c r="U538" s="2010"/>
      <c r="V538" s="2010"/>
      <c r="W538" s="2010"/>
      <c r="X538" s="2010"/>
      <c r="Y538" s="2010"/>
      <c r="Z538" s="2010"/>
      <c r="AA538" s="2010"/>
      <c r="AB538" s="2010"/>
      <c r="AC538" s="2010"/>
      <c r="AD538" s="2010"/>
      <c r="AE538" s="2010"/>
      <c r="AF538" s="2010"/>
      <c r="AG538" s="2010"/>
      <c r="AH538" s="2010"/>
      <c r="AI538" s="2010"/>
      <c r="AJ538" s="2010"/>
      <c r="AK538" s="2010"/>
      <c r="AL538" s="841"/>
      <c r="AM538" s="621"/>
      <c r="AN538" s="623"/>
    </row>
    <row r="539" spans="1:49" s="576" customFormat="1" ht="12.75" customHeight="1">
      <c r="B539" s="833"/>
      <c r="C539" s="833"/>
      <c r="D539" s="833"/>
      <c r="E539" s="833"/>
      <c r="F539" s="668"/>
      <c r="G539" s="668"/>
      <c r="H539" s="668"/>
      <c r="I539" s="668"/>
      <c r="J539" s="668"/>
      <c r="K539" s="668"/>
      <c r="L539" s="668"/>
      <c r="M539" s="668"/>
      <c r="N539" s="668"/>
      <c r="O539" s="668"/>
      <c r="P539" s="668"/>
      <c r="Q539" s="668"/>
      <c r="R539" s="668"/>
      <c r="S539" s="668"/>
      <c r="T539" s="668"/>
      <c r="U539" s="668"/>
      <c r="V539" s="668"/>
      <c r="W539" s="668"/>
      <c r="X539" s="668"/>
      <c r="Y539" s="668"/>
      <c r="Z539" s="668"/>
      <c r="AA539" s="668"/>
      <c r="AB539" s="668"/>
      <c r="AC539" s="668"/>
      <c r="AD539" s="668"/>
      <c r="AE539" s="668"/>
      <c r="AF539" s="668"/>
      <c r="AG539" s="668"/>
      <c r="AH539" s="668"/>
      <c r="AI539" s="668"/>
      <c r="AJ539" s="668"/>
      <c r="AK539" s="668"/>
      <c r="AL539" s="621"/>
      <c r="AM539" s="621"/>
      <c r="AN539" s="623"/>
      <c r="AP539" s="2130">
        <f>Application!AJ961</f>
        <v>104373300</v>
      </c>
      <c r="AQ539" s="2130"/>
      <c r="AR539" s="2130"/>
    </row>
    <row r="540" spans="1:49" s="576" customFormat="1" ht="12.75" customHeight="1">
      <c r="A540" s="524"/>
      <c r="B540" s="473" t="s">
        <v>1743</v>
      </c>
      <c r="C540" s="649"/>
      <c r="D540" s="649"/>
      <c r="E540" s="649"/>
      <c r="F540" s="14"/>
      <c r="G540" s="650"/>
      <c r="H540" s="650"/>
      <c r="I540" s="650"/>
      <c r="J540" s="650"/>
      <c r="K540" s="650"/>
      <c r="L540" s="650"/>
      <c r="M540" s="650"/>
      <c r="N540" s="650"/>
      <c r="O540" s="650"/>
      <c r="P540" s="650"/>
      <c r="Q540" s="650"/>
      <c r="R540" s="14"/>
      <c r="S540" s="14"/>
      <c r="T540" s="14"/>
      <c r="U540" s="14"/>
      <c r="V540" s="14"/>
      <c r="W540" s="14"/>
      <c r="X540" s="650"/>
      <c r="Y540" s="650"/>
      <c r="Z540" s="650"/>
      <c r="AA540" s="648"/>
      <c r="AB540" s="648"/>
      <c r="AC540" s="648"/>
      <c r="AD540" s="648"/>
      <c r="AE540" s="14"/>
      <c r="AF540" s="1990">
        <f>'Sources and Uses Budget'!S107+'Sources and Uses Budget'!T107</f>
        <v>128087373</v>
      </c>
      <c r="AG540" s="1990"/>
      <c r="AH540" s="1990"/>
      <c r="AI540" s="1990"/>
      <c r="AJ540" s="1990"/>
      <c r="AK540" s="621"/>
      <c r="AL540" s="621"/>
      <c r="AM540" s="621"/>
      <c r="AN540" s="623"/>
    </row>
    <row r="541" spans="1:49" s="576" customFormat="1" ht="12.75" customHeight="1">
      <c r="A541" s="651"/>
      <c r="B541" s="651" t="s">
        <v>1744</v>
      </c>
      <c r="C541" s="650"/>
      <c r="D541" s="650"/>
      <c r="E541" s="652"/>
      <c r="F541" s="652"/>
      <c r="G541" s="652"/>
      <c r="H541" s="652"/>
      <c r="I541" s="652"/>
      <c r="J541" s="652"/>
      <c r="K541" s="652"/>
      <c r="L541" s="650"/>
      <c r="M541" s="652"/>
      <c r="N541" s="652"/>
      <c r="O541" s="652"/>
      <c r="P541" s="652"/>
      <c r="Q541" s="652"/>
      <c r="R541" s="14"/>
      <c r="S541" s="14"/>
      <c r="T541" s="14"/>
      <c r="U541" s="14"/>
      <c r="V541" s="14"/>
      <c r="W541" s="14"/>
      <c r="X541" s="650"/>
      <c r="Y541" s="650"/>
      <c r="Z541" s="650"/>
      <c r="AA541" s="648"/>
      <c r="AB541" s="648"/>
      <c r="AC541" s="648"/>
      <c r="AD541" s="648"/>
      <c r="AE541" s="14"/>
      <c r="AF541" s="2135">
        <f>IFERROR(AP548,0)</f>
        <v>234708059</v>
      </c>
      <c r="AG541" s="2135"/>
      <c r="AH541" s="2135"/>
      <c r="AI541" s="2135"/>
      <c r="AJ541" s="2135"/>
      <c r="AK541" s="621"/>
      <c r="AL541" s="621"/>
      <c r="AM541" s="621"/>
      <c r="AN541" s="623"/>
      <c r="AP541" s="2130">
        <f>Application!AJ1010</f>
        <v>36530655</v>
      </c>
      <c r="AQ541" s="2130"/>
      <c r="AR541" s="2130"/>
    </row>
    <row r="542" spans="1:49" s="576" customFormat="1" ht="12.75" customHeight="1">
      <c r="A542" s="650"/>
      <c r="B542" s="650" t="s">
        <v>13</v>
      </c>
      <c r="C542" s="650"/>
      <c r="D542" s="650"/>
      <c r="E542" s="650"/>
      <c r="F542" s="650"/>
      <c r="G542" s="650"/>
      <c r="H542" s="650"/>
      <c r="I542" s="650"/>
      <c r="J542" s="650"/>
      <c r="K542" s="650"/>
      <c r="L542" s="650"/>
      <c r="M542" s="650"/>
      <c r="N542" s="650"/>
      <c r="O542" s="650"/>
      <c r="P542" s="650"/>
      <c r="Q542" s="650"/>
      <c r="R542" s="14"/>
      <c r="S542" s="14"/>
      <c r="T542" s="14"/>
      <c r="U542" s="14"/>
      <c r="V542" s="14"/>
      <c r="W542" s="14"/>
      <c r="X542" s="650"/>
      <c r="Y542" s="650"/>
      <c r="Z542" s="650"/>
      <c r="AA542" s="648"/>
      <c r="AB542" s="648"/>
      <c r="AC542" s="648"/>
      <c r="AD542" s="648"/>
      <c r="AE542" s="14"/>
      <c r="AF542" s="2136">
        <f>IFERROR(ROUNDDOWN(IF(C533="YES",((1-(AF540/AF541))*2),(1-(AF540/AF541))),2),0)</f>
        <v>0.45</v>
      </c>
      <c r="AG542" s="2136"/>
      <c r="AH542" s="2136"/>
      <c r="AI542" s="2136"/>
      <c r="AJ542" s="2136"/>
      <c r="AK542" s="621"/>
      <c r="AL542" s="621"/>
      <c r="AM542" s="621"/>
      <c r="AN542" s="623"/>
      <c r="AP542" s="2133">
        <f>Application!AJ1014</f>
        <v>68886378</v>
      </c>
      <c r="AQ542" s="2133"/>
      <c r="AR542" s="2133"/>
    </row>
    <row r="543" spans="1:49" s="576" customFormat="1" ht="12.75" customHeight="1">
      <c r="A543" s="650"/>
      <c r="B543" s="650"/>
      <c r="C543" s="650"/>
      <c r="D543" s="650"/>
      <c r="E543" s="650"/>
      <c r="F543" s="650"/>
      <c r="G543" s="650"/>
      <c r="H543" s="650"/>
      <c r="I543" s="650"/>
      <c r="J543" s="650"/>
      <c r="K543" s="650"/>
      <c r="L543" s="650"/>
      <c r="M543" s="650"/>
      <c r="N543" s="650"/>
      <c r="O543" s="650"/>
      <c r="P543" s="650"/>
      <c r="Q543" s="650"/>
      <c r="R543" s="14"/>
      <c r="S543" s="14"/>
      <c r="T543" s="14"/>
      <c r="U543" s="14"/>
      <c r="V543" s="14"/>
      <c r="W543" s="14"/>
      <c r="X543" s="650"/>
      <c r="Y543" s="650"/>
      <c r="Z543" s="650"/>
      <c r="AA543" s="648"/>
      <c r="AB543" s="648"/>
      <c r="AC543" s="648"/>
      <c r="AD543" s="648"/>
      <c r="AE543" s="14"/>
      <c r="AF543" s="842"/>
      <c r="AG543" s="842"/>
      <c r="AH543" s="842"/>
      <c r="AI543" s="842"/>
      <c r="AJ543" s="842"/>
      <c r="AK543" s="621"/>
      <c r="AL543" s="621"/>
      <c r="AM543" s="621"/>
      <c r="AN543" s="623"/>
      <c r="AP543" s="2129">
        <f>IF(((AP541+AP542)/AP539)&gt;0.8,0.8,((AP541+AP542)/AP539))</f>
        <v>0.8</v>
      </c>
      <c r="AQ543" s="2129"/>
      <c r="AR543" s="2129"/>
    </row>
    <row r="544" spans="1:49" s="576" customFormat="1" ht="12.75" customHeight="1">
      <c r="A544" s="650"/>
      <c r="B544" s="2082" t="s">
        <v>2430</v>
      </c>
      <c r="C544" s="2083"/>
      <c r="D544" s="2083"/>
      <c r="E544" s="2083"/>
      <c r="F544" s="2083"/>
      <c r="G544" s="2083"/>
      <c r="H544" s="2083"/>
      <c r="I544" s="2083"/>
      <c r="J544" s="2083"/>
      <c r="K544" s="2083"/>
      <c r="L544" s="2083"/>
      <c r="M544" s="2083"/>
      <c r="N544" s="2083"/>
      <c r="O544" s="2083"/>
      <c r="P544" s="2083"/>
      <c r="Q544" s="2083"/>
      <c r="R544" s="2083"/>
      <c r="S544" s="2083"/>
      <c r="T544" s="2083"/>
      <c r="U544" s="2083"/>
      <c r="V544" s="2083"/>
      <c r="W544" s="2083"/>
      <c r="X544" s="2083"/>
      <c r="Y544" s="2083"/>
      <c r="Z544" s="2083"/>
      <c r="AA544" s="2083"/>
      <c r="AB544" s="2083"/>
      <c r="AC544" s="2083"/>
      <c r="AD544" s="2083"/>
      <c r="AE544" s="2083"/>
      <c r="AF544" s="2083"/>
      <c r="AG544" s="2083"/>
      <c r="AH544" s="2083"/>
      <c r="AI544" s="2083"/>
      <c r="AJ544" s="2084"/>
      <c r="AK544" s="621"/>
      <c r="AL544" s="621"/>
      <c r="AM544" s="621"/>
      <c r="AN544" s="623"/>
    </row>
    <row r="545" spans="1:44" s="576" customFormat="1" ht="12.75" customHeight="1">
      <c r="A545" s="650"/>
      <c r="B545" s="2085"/>
      <c r="C545" s="2086"/>
      <c r="D545" s="2086"/>
      <c r="E545" s="2086"/>
      <c r="F545" s="2086"/>
      <c r="G545" s="2086"/>
      <c r="H545" s="2086"/>
      <c r="I545" s="2086"/>
      <c r="J545" s="2086"/>
      <c r="K545" s="2086"/>
      <c r="L545" s="2086"/>
      <c r="M545" s="2086"/>
      <c r="N545" s="2086"/>
      <c r="O545" s="2086"/>
      <c r="P545" s="2086"/>
      <c r="Q545" s="2086"/>
      <c r="R545" s="2086"/>
      <c r="S545" s="2086"/>
      <c r="T545" s="2086"/>
      <c r="U545" s="2086"/>
      <c r="V545" s="2086"/>
      <c r="W545" s="2086"/>
      <c r="X545" s="2086"/>
      <c r="Y545" s="2086"/>
      <c r="Z545" s="2086"/>
      <c r="AA545" s="2086"/>
      <c r="AB545" s="2086"/>
      <c r="AC545" s="2086"/>
      <c r="AD545" s="2086"/>
      <c r="AE545" s="2086"/>
      <c r="AF545" s="2086"/>
      <c r="AG545" s="2086"/>
      <c r="AH545" s="2086"/>
      <c r="AI545" s="2086"/>
      <c r="AJ545" s="2087"/>
      <c r="AK545" s="621"/>
      <c r="AL545" s="621"/>
      <c r="AM545" s="621"/>
      <c r="AN545" s="623"/>
      <c r="AP545" s="2130">
        <f>AP546-AP541-AP542</f>
        <v>151209419</v>
      </c>
      <c r="AQ545" s="2039"/>
      <c r="AR545" s="2039"/>
    </row>
    <row r="546" spans="1:44" s="576" customFormat="1" ht="12.75" customHeight="1">
      <c r="A546" s="650"/>
      <c r="B546" s="2088"/>
      <c r="C546" s="2089"/>
      <c r="D546" s="2089"/>
      <c r="E546" s="2089"/>
      <c r="F546" s="2089"/>
      <c r="G546" s="2089"/>
      <c r="H546" s="2089"/>
      <c r="I546" s="2089"/>
      <c r="J546" s="2089"/>
      <c r="K546" s="2089"/>
      <c r="L546" s="2089"/>
      <c r="M546" s="2089"/>
      <c r="N546" s="2089"/>
      <c r="O546" s="2089"/>
      <c r="P546" s="2089"/>
      <c r="Q546" s="2089"/>
      <c r="R546" s="2089"/>
      <c r="S546" s="2089"/>
      <c r="T546" s="2089"/>
      <c r="U546" s="2089"/>
      <c r="V546" s="2089"/>
      <c r="W546" s="2089"/>
      <c r="X546" s="2089"/>
      <c r="Y546" s="2089"/>
      <c r="Z546" s="2089"/>
      <c r="AA546" s="2089"/>
      <c r="AB546" s="2089"/>
      <c r="AC546" s="2089"/>
      <c r="AD546" s="2089"/>
      <c r="AE546" s="2089"/>
      <c r="AF546" s="2089"/>
      <c r="AG546" s="2089"/>
      <c r="AH546" s="2089"/>
      <c r="AI546" s="2089"/>
      <c r="AJ546" s="2090"/>
      <c r="AK546" s="621"/>
      <c r="AL546" s="621"/>
      <c r="AM546" s="621"/>
      <c r="AN546" s="623"/>
      <c r="AP546" s="2130">
        <f>Application!AJ1018</f>
        <v>256626452</v>
      </c>
      <c r="AQ546" s="2130"/>
      <c r="AR546" s="2130"/>
    </row>
    <row r="547" spans="1:44" s="576" customFormat="1" ht="12.75" customHeight="1">
      <c r="B547" s="577"/>
      <c r="C547" s="577"/>
      <c r="D547" s="577"/>
      <c r="E547" s="577"/>
      <c r="F547" s="577"/>
      <c r="G547" s="577"/>
      <c r="H547" s="577"/>
      <c r="I547" s="577"/>
      <c r="J547" s="577"/>
      <c r="K547" s="577"/>
      <c r="L547" s="577"/>
      <c r="M547" s="577"/>
      <c r="N547" s="577"/>
      <c r="O547" s="577"/>
      <c r="P547" s="577"/>
      <c r="Q547" s="577"/>
      <c r="R547" s="577"/>
      <c r="S547" s="577"/>
      <c r="T547" s="577"/>
      <c r="U547" s="577"/>
      <c r="V547" s="577"/>
      <c r="W547" s="577"/>
      <c r="X547" s="577"/>
      <c r="Y547" s="577"/>
      <c r="Z547" s="577"/>
      <c r="AA547" s="577"/>
      <c r="AB547" s="577"/>
      <c r="AC547" s="642"/>
      <c r="AD547" s="577"/>
      <c r="AI547" s="569"/>
      <c r="AJ547" s="569"/>
      <c r="AK547" s="621"/>
      <c r="AL547" s="621"/>
      <c r="AM547" s="621"/>
      <c r="AN547" s="623"/>
    </row>
    <row r="548" spans="1:44" s="576" customFormat="1" ht="12.75" customHeight="1">
      <c r="A548" s="654"/>
      <c r="B548" s="654"/>
      <c r="C548" s="654"/>
      <c r="D548" s="654"/>
      <c r="E548" s="654"/>
      <c r="F548" s="654"/>
      <c r="G548" s="654"/>
      <c r="H548" s="654"/>
      <c r="I548" s="654"/>
      <c r="J548" s="654"/>
      <c r="K548" s="654"/>
      <c r="L548" s="654"/>
      <c r="M548" s="654"/>
      <c r="N548" s="654"/>
      <c r="O548" s="654"/>
      <c r="P548" s="654"/>
      <c r="Q548" s="654"/>
      <c r="R548" s="654"/>
      <c r="S548" s="654"/>
      <c r="T548" s="654"/>
      <c r="U548" s="654"/>
      <c r="V548" s="654"/>
      <c r="W548" s="654"/>
      <c r="X548" s="654"/>
      <c r="Y548" s="654"/>
      <c r="Z548" s="654"/>
      <c r="AA548" s="654"/>
      <c r="AB548" s="654"/>
      <c r="AC548" s="654"/>
      <c r="AD548" s="654"/>
      <c r="AE548" s="654"/>
      <c r="AF548" s="654"/>
      <c r="AG548" s="654"/>
      <c r="AH548" s="655"/>
      <c r="AI548" s="591"/>
      <c r="AJ548" s="591" t="s">
        <v>1745</v>
      </c>
      <c r="AK548" s="2091">
        <f>IFERROR(IF(AND(C530="N/A",C533="N/A"),0,IF(AF542=0,0,IF((AF542*100)&gt;12,12,(AF542*100)))),0)</f>
        <v>12</v>
      </c>
      <c r="AL548" s="2091"/>
      <c r="AM548" s="2092"/>
      <c r="AN548" s="623"/>
      <c r="AP548" s="2146">
        <f>AP545+(AP539*AP543)</f>
        <v>234708059</v>
      </c>
      <c r="AQ548" s="2147"/>
      <c r="AR548" s="2148"/>
    </row>
    <row r="549" spans="1:44" s="576" customFormat="1" ht="12.75" customHeight="1" thickBot="1">
      <c r="A549" s="786"/>
      <c r="B549" s="786"/>
      <c r="C549" s="786"/>
      <c r="D549" s="786"/>
      <c r="E549" s="786"/>
      <c r="F549" s="786"/>
      <c r="G549" s="786"/>
      <c r="H549" s="786"/>
      <c r="I549" s="786"/>
      <c r="J549" s="786"/>
      <c r="K549" s="786"/>
      <c r="L549" s="786"/>
      <c r="M549" s="786"/>
      <c r="N549" s="786"/>
      <c r="O549" s="786"/>
      <c r="P549" s="786"/>
      <c r="Q549" s="786"/>
      <c r="R549" s="786"/>
      <c r="S549" s="786"/>
      <c r="T549" s="786"/>
      <c r="U549" s="786"/>
      <c r="V549" s="786"/>
      <c r="W549" s="786"/>
      <c r="X549" s="786"/>
      <c r="Y549" s="786"/>
      <c r="Z549" s="786"/>
      <c r="AA549" s="786"/>
      <c r="AB549" s="786"/>
      <c r="AC549" s="786"/>
      <c r="AD549" s="786"/>
      <c r="AE549" s="786"/>
      <c r="AF549" s="786"/>
      <c r="AG549" s="786"/>
      <c r="AH549" s="786"/>
      <c r="AI549" s="786"/>
      <c r="AJ549" s="786"/>
      <c r="AK549" s="786"/>
      <c r="AL549" s="786"/>
      <c r="AM549" s="787"/>
      <c r="AN549" s="623"/>
    </row>
    <row r="550" spans="1:44" s="576" customFormat="1" ht="12.75" customHeight="1" thickTop="1">
      <c r="A550" s="692"/>
      <c r="B550" s="693"/>
      <c r="C550" s="692"/>
      <c r="D550" s="693"/>
      <c r="E550" s="693"/>
      <c r="F550" s="693"/>
      <c r="G550" s="693"/>
      <c r="H550" s="693"/>
      <c r="I550" s="693"/>
      <c r="J550" s="693"/>
      <c r="K550" s="693"/>
      <c r="L550" s="693"/>
      <c r="M550" s="693"/>
      <c r="N550" s="693"/>
      <c r="O550" s="693"/>
      <c r="P550" s="693"/>
      <c r="Q550" s="693"/>
      <c r="R550" s="693"/>
      <c r="S550" s="693"/>
      <c r="T550" s="693"/>
      <c r="U550" s="693"/>
      <c r="V550" s="693"/>
      <c r="W550" s="693"/>
      <c r="X550" s="693"/>
      <c r="Y550" s="693"/>
      <c r="Z550" s="693"/>
      <c r="AA550" s="693"/>
      <c r="AB550" s="693"/>
      <c r="AC550" s="694"/>
      <c r="AD550" s="694"/>
      <c r="AE550" s="694"/>
      <c r="AF550" s="693"/>
      <c r="AG550" s="693"/>
      <c r="AH550" s="693"/>
      <c r="AI550" s="693"/>
      <c r="AJ550" s="693"/>
      <c r="AK550" s="693"/>
      <c r="AL550" s="693"/>
      <c r="AM550" s="695"/>
      <c r="AN550" s="623"/>
    </row>
    <row r="551" spans="1:44" s="576" customFormat="1" ht="12.75" customHeight="1">
      <c r="A551" s="564" t="s">
        <v>2420</v>
      </c>
      <c r="C551" s="564"/>
      <c r="D551" s="629"/>
      <c r="E551" s="629"/>
      <c r="F551" s="629"/>
      <c r="G551" s="629"/>
      <c r="H551" s="629"/>
      <c r="I551" s="629"/>
      <c r="J551" s="629"/>
      <c r="K551" s="629"/>
      <c r="L551" s="629"/>
      <c r="M551" s="629"/>
      <c r="N551" s="629"/>
      <c r="O551" s="629"/>
      <c r="P551" s="629"/>
      <c r="Q551" s="629"/>
      <c r="R551" s="629"/>
      <c r="S551" s="629"/>
      <c r="T551" s="629"/>
      <c r="U551" s="629"/>
      <c r="V551" s="629"/>
      <c r="W551" s="629"/>
      <c r="X551" s="629"/>
      <c r="Y551" s="629"/>
      <c r="Z551" s="629"/>
      <c r="AA551" s="629"/>
      <c r="AB551" s="629"/>
      <c r="AC551" s="629"/>
      <c r="AD551" s="629"/>
      <c r="AE551" s="1922" t="s">
        <v>1487</v>
      </c>
      <c r="AF551" s="1922"/>
      <c r="AG551" s="1922"/>
      <c r="AH551" s="1922"/>
      <c r="AI551" s="1922"/>
      <c r="AJ551" s="1922"/>
      <c r="AK551" s="1922"/>
      <c r="AL551" s="617"/>
      <c r="AM551" s="629"/>
      <c r="AN551" s="623"/>
    </row>
    <row r="552" spans="1:44" s="576" customFormat="1" ht="12.75" customHeight="1">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629"/>
      <c r="AD552" s="629"/>
      <c r="AE552" s="629"/>
      <c r="AF552" s="629"/>
      <c r="AG552" s="629"/>
      <c r="AH552" s="629"/>
      <c r="AI552" s="629"/>
      <c r="AJ552" s="629"/>
      <c r="AK552" s="629"/>
      <c r="AL552" s="629"/>
      <c r="AM552" s="629"/>
      <c r="AN552" s="623"/>
    </row>
    <row r="553" spans="1:44" s="576" customFormat="1" ht="12.75" customHeight="1">
      <c r="A553" s="629"/>
      <c r="B553" s="2007" t="s">
        <v>2421</v>
      </c>
      <c r="C553" s="2007"/>
      <c r="D553" s="2007"/>
      <c r="E553" s="2007"/>
      <c r="F553" s="2007"/>
      <c r="G553" s="2007"/>
      <c r="H553" s="2007"/>
      <c r="I553" s="2007"/>
      <c r="J553" s="2007"/>
      <c r="K553" s="2007"/>
      <c r="L553" s="2007"/>
      <c r="M553" s="2007"/>
      <c r="N553" s="2007"/>
      <c r="O553" s="2007"/>
      <c r="P553" s="2007"/>
      <c r="Q553" s="2007"/>
      <c r="R553" s="2007"/>
      <c r="S553" s="2007"/>
      <c r="T553" s="2007"/>
      <c r="U553" s="2007"/>
      <c r="V553" s="2007"/>
      <c r="W553" s="2007"/>
      <c r="X553" s="2007"/>
      <c r="Y553" s="2007"/>
      <c r="Z553" s="2007"/>
      <c r="AA553" s="2007"/>
      <c r="AB553" s="2007"/>
      <c r="AC553" s="2007"/>
      <c r="AD553" s="2007"/>
      <c r="AE553" s="2007"/>
      <c r="AF553" s="2007"/>
      <c r="AG553" s="2007"/>
      <c r="AH553" s="2007"/>
      <c r="AI553" s="2007"/>
      <c r="AJ553" s="2007"/>
      <c r="AK553" s="668"/>
      <c r="AL553" s="599"/>
      <c r="AM553" s="629"/>
      <c r="AN553" s="623"/>
    </row>
    <row r="554" spans="1:44" s="576" customFormat="1" ht="12.75" customHeight="1">
      <c r="A554" s="629"/>
      <c r="B554" s="2007"/>
      <c r="C554" s="2007"/>
      <c r="D554" s="2007"/>
      <c r="E554" s="2007"/>
      <c r="F554" s="2007"/>
      <c r="G554" s="2007"/>
      <c r="H554" s="2007"/>
      <c r="I554" s="2007"/>
      <c r="J554" s="2007"/>
      <c r="K554" s="2007"/>
      <c r="L554" s="2007"/>
      <c r="M554" s="2007"/>
      <c r="N554" s="2007"/>
      <c r="O554" s="2007"/>
      <c r="P554" s="2007"/>
      <c r="Q554" s="2007"/>
      <c r="R554" s="2007"/>
      <c r="S554" s="2007"/>
      <c r="T554" s="2007"/>
      <c r="U554" s="2007"/>
      <c r="V554" s="2007"/>
      <c r="W554" s="2007"/>
      <c r="X554" s="2007"/>
      <c r="Y554" s="2007"/>
      <c r="Z554" s="2007"/>
      <c r="AA554" s="2007"/>
      <c r="AB554" s="2007"/>
      <c r="AC554" s="2007"/>
      <c r="AD554" s="2007"/>
      <c r="AE554" s="2007"/>
      <c r="AF554" s="2007"/>
      <c r="AG554" s="2007"/>
      <c r="AH554" s="2007"/>
      <c r="AI554" s="2007"/>
      <c r="AJ554" s="2007"/>
      <c r="AK554" s="668"/>
      <c r="AL554" s="599"/>
      <c r="AM554" s="629"/>
      <c r="AN554" s="623"/>
    </row>
    <row r="555" spans="1:44" s="576" customFormat="1" ht="12.75" customHeight="1">
      <c r="A555" s="629"/>
      <c r="B555" s="2007"/>
      <c r="C555" s="2007"/>
      <c r="D555" s="2007"/>
      <c r="E555" s="2007"/>
      <c r="F555" s="2007"/>
      <c r="G555" s="2007"/>
      <c r="H555" s="2007"/>
      <c r="I555" s="2007"/>
      <c r="J555" s="2007"/>
      <c r="K555" s="2007"/>
      <c r="L555" s="2007"/>
      <c r="M555" s="2007"/>
      <c r="N555" s="2007"/>
      <c r="O555" s="2007"/>
      <c r="P555" s="2007"/>
      <c r="Q555" s="2007"/>
      <c r="R555" s="2007"/>
      <c r="S555" s="2007"/>
      <c r="T555" s="2007"/>
      <c r="U555" s="2007"/>
      <c r="V555" s="2007"/>
      <c r="W555" s="2007"/>
      <c r="X555" s="2007"/>
      <c r="Y555" s="2007"/>
      <c r="Z555" s="2007"/>
      <c r="AA555" s="2007"/>
      <c r="AB555" s="2007"/>
      <c r="AC555" s="2007"/>
      <c r="AD555" s="2007"/>
      <c r="AE555" s="2007"/>
      <c r="AF555" s="2007"/>
      <c r="AG555" s="2007"/>
      <c r="AH555" s="2007"/>
      <c r="AI555" s="2007"/>
      <c r="AJ555" s="2007"/>
      <c r="AK555" s="668"/>
      <c r="AL555" s="599"/>
      <c r="AM555" s="629"/>
      <c r="AN555" s="623"/>
    </row>
    <row r="556" spans="1:44" s="576" customFormat="1" ht="12.75" customHeight="1">
      <c r="A556" s="629"/>
      <c r="B556" s="2007"/>
      <c r="C556" s="2007"/>
      <c r="D556" s="2007"/>
      <c r="E556" s="2007"/>
      <c r="F556" s="2007"/>
      <c r="G556" s="2007"/>
      <c r="H556" s="2007"/>
      <c r="I556" s="2007"/>
      <c r="J556" s="2007"/>
      <c r="K556" s="2007"/>
      <c r="L556" s="2007"/>
      <c r="M556" s="2007"/>
      <c r="N556" s="2007"/>
      <c r="O556" s="2007"/>
      <c r="P556" s="2007"/>
      <c r="Q556" s="2007"/>
      <c r="R556" s="2007"/>
      <c r="S556" s="2007"/>
      <c r="T556" s="2007"/>
      <c r="U556" s="2007"/>
      <c r="V556" s="2007"/>
      <c r="W556" s="2007"/>
      <c r="X556" s="2007"/>
      <c r="Y556" s="2007"/>
      <c r="Z556" s="2007"/>
      <c r="AA556" s="2007"/>
      <c r="AB556" s="2007"/>
      <c r="AC556" s="2007"/>
      <c r="AD556" s="2007"/>
      <c r="AE556" s="2007"/>
      <c r="AF556" s="2007"/>
      <c r="AG556" s="2007"/>
      <c r="AH556" s="2007"/>
      <c r="AI556" s="2007"/>
      <c r="AJ556" s="2007"/>
      <c r="AK556" s="668"/>
      <c r="AL556" s="599"/>
      <c r="AM556" s="629"/>
      <c r="AN556" s="623"/>
    </row>
    <row r="557" spans="1:44" s="576" customFormat="1" ht="12.75" customHeight="1">
      <c r="A557" s="629"/>
      <c r="B557" s="2007"/>
      <c r="C557" s="2007"/>
      <c r="D557" s="2007"/>
      <c r="E557" s="2007"/>
      <c r="F557" s="2007"/>
      <c r="G557" s="2007"/>
      <c r="H557" s="2007"/>
      <c r="I557" s="2007"/>
      <c r="J557" s="2007"/>
      <c r="K557" s="2007"/>
      <c r="L557" s="2007"/>
      <c r="M557" s="2007"/>
      <c r="N557" s="2007"/>
      <c r="O557" s="2007"/>
      <c r="P557" s="2007"/>
      <c r="Q557" s="2007"/>
      <c r="R557" s="2007"/>
      <c r="S557" s="2007"/>
      <c r="T557" s="2007"/>
      <c r="U557" s="2007"/>
      <c r="V557" s="2007"/>
      <c r="W557" s="2007"/>
      <c r="X557" s="2007"/>
      <c r="Y557" s="2007"/>
      <c r="Z557" s="2007"/>
      <c r="AA557" s="2007"/>
      <c r="AB557" s="2007"/>
      <c r="AC557" s="2007"/>
      <c r="AD557" s="2007"/>
      <c r="AE557" s="2007"/>
      <c r="AF557" s="2007"/>
      <c r="AG557" s="2007"/>
      <c r="AH557" s="2007"/>
      <c r="AI557" s="2007"/>
      <c r="AJ557" s="2007"/>
      <c r="AK557" s="668"/>
      <c r="AL557" s="599"/>
      <c r="AM557" s="629"/>
      <c r="AN557" s="623"/>
    </row>
    <row r="558" spans="1:44" s="576" customFormat="1" ht="12.75" customHeight="1">
      <c r="A558" s="629"/>
      <c r="B558" s="2007"/>
      <c r="C558" s="2007"/>
      <c r="D558" s="2007"/>
      <c r="E558" s="2007"/>
      <c r="F558" s="2007"/>
      <c r="G558" s="2007"/>
      <c r="H558" s="2007"/>
      <c r="I558" s="2007"/>
      <c r="J558" s="2007"/>
      <c r="K558" s="2007"/>
      <c r="L558" s="2007"/>
      <c r="M558" s="2007"/>
      <c r="N558" s="2007"/>
      <c r="O558" s="2007"/>
      <c r="P558" s="2007"/>
      <c r="Q558" s="2007"/>
      <c r="R558" s="2007"/>
      <c r="S558" s="2007"/>
      <c r="T558" s="2007"/>
      <c r="U558" s="2007"/>
      <c r="V558" s="2007"/>
      <c r="W558" s="2007"/>
      <c r="X558" s="2007"/>
      <c r="Y558" s="2007"/>
      <c r="Z558" s="2007"/>
      <c r="AA558" s="2007"/>
      <c r="AB558" s="2007"/>
      <c r="AC558" s="2007"/>
      <c r="AD558" s="2007"/>
      <c r="AE558" s="2007"/>
      <c r="AF558" s="2007"/>
      <c r="AG558" s="2007"/>
      <c r="AH558" s="2007"/>
      <c r="AI558" s="2007"/>
      <c r="AJ558" s="2007"/>
      <c r="AK558" s="668"/>
      <c r="AL558" s="599"/>
      <c r="AM558" s="629"/>
      <c r="AN558" s="623"/>
    </row>
    <row r="559" spans="1:44" s="576" customFormat="1" ht="12.75" customHeight="1">
      <c r="A559" s="629"/>
      <c r="B559" s="2007"/>
      <c r="C559" s="2007"/>
      <c r="D559" s="2007"/>
      <c r="E559" s="2007"/>
      <c r="F559" s="2007"/>
      <c r="G559" s="2007"/>
      <c r="H559" s="2007"/>
      <c r="I559" s="2007"/>
      <c r="J559" s="2007"/>
      <c r="K559" s="2007"/>
      <c r="L559" s="2007"/>
      <c r="M559" s="2007"/>
      <c r="N559" s="2007"/>
      <c r="O559" s="2007"/>
      <c r="P559" s="2007"/>
      <c r="Q559" s="2007"/>
      <c r="R559" s="2007"/>
      <c r="S559" s="2007"/>
      <c r="T559" s="2007"/>
      <c r="U559" s="2007"/>
      <c r="V559" s="2007"/>
      <c r="W559" s="2007"/>
      <c r="X559" s="2007"/>
      <c r="Y559" s="2007"/>
      <c r="Z559" s="2007"/>
      <c r="AA559" s="2007"/>
      <c r="AB559" s="2007"/>
      <c r="AC559" s="2007"/>
      <c r="AD559" s="2007"/>
      <c r="AE559" s="2007"/>
      <c r="AF559" s="2007"/>
      <c r="AG559" s="2007"/>
      <c r="AH559" s="2007"/>
      <c r="AI559" s="2007"/>
      <c r="AJ559" s="2007"/>
      <c r="AK559" s="668"/>
      <c r="AL559" s="599"/>
      <c r="AM559" s="629"/>
      <c r="AN559" s="623"/>
    </row>
    <row r="560" spans="1:44" ht="12.75" customHeight="1">
      <c r="A560" s="629"/>
      <c r="B560" s="2007"/>
      <c r="C560" s="2007"/>
      <c r="D560" s="2007"/>
      <c r="E560" s="2007"/>
      <c r="F560" s="2007"/>
      <c r="G560" s="2007"/>
      <c r="H560" s="2007"/>
      <c r="I560" s="2007"/>
      <c r="J560" s="2007"/>
      <c r="K560" s="2007"/>
      <c r="L560" s="2007"/>
      <c r="M560" s="2007"/>
      <c r="N560" s="2007"/>
      <c r="O560" s="2007"/>
      <c r="P560" s="2007"/>
      <c r="Q560" s="2007"/>
      <c r="R560" s="2007"/>
      <c r="S560" s="2007"/>
      <c r="T560" s="2007"/>
      <c r="U560" s="2007"/>
      <c r="V560" s="2007"/>
      <c r="W560" s="2007"/>
      <c r="X560" s="2007"/>
      <c r="Y560" s="2007"/>
      <c r="Z560" s="2007"/>
      <c r="AA560" s="2007"/>
      <c r="AB560" s="2007"/>
      <c r="AC560" s="2007"/>
      <c r="AD560" s="2007"/>
      <c r="AE560" s="2007"/>
      <c r="AF560" s="2007"/>
      <c r="AG560" s="2007"/>
      <c r="AH560" s="2007"/>
      <c r="AI560" s="2007"/>
      <c r="AJ560" s="2007"/>
      <c r="AK560" s="668"/>
      <c r="AL560" s="599"/>
      <c r="AM560" s="629"/>
    </row>
    <row r="561" spans="1:42" s="576" customFormat="1" ht="12.75" customHeight="1">
      <c r="B561" s="2007"/>
      <c r="C561" s="2007"/>
      <c r="D561" s="2007"/>
      <c r="E561" s="2007"/>
      <c r="F561" s="2007"/>
      <c r="G561" s="2007"/>
      <c r="H561" s="2007"/>
      <c r="I561" s="2007"/>
      <c r="J561" s="2007"/>
      <c r="K561" s="2007"/>
      <c r="L561" s="2007"/>
      <c r="M561" s="2007"/>
      <c r="N561" s="2007"/>
      <c r="O561" s="2007"/>
      <c r="P561" s="2007"/>
      <c r="Q561" s="2007"/>
      <c r="R561" s="2007"/>
      <c r="S561" s="2007"/>
      <c r="T561" s="2007"/>
      <c r="U561" s="2007"/>
      <c r="V561" s="2007"/>
      <c r="W561" s="2007"/>
      <c r="X561" s="2007"/>
      <c r="Y561" s="2007"/>
      <c r="Z561" s="2007"/>
      <c r="AA561" s="2007"/>
      <c r="AB561" s="2007"/>
      <c r="AC561" s="2007"/>
      <c r="AD561" s="2007"/>
      <c r="AE561" s="2007"/>
      <c r="AF561" s="2007"/>
      <c r="AG561" s="2007"/>
      <c r="AH561" s="2007"/>
      <c r="AI561" s="2007"/>
      <c r="AJ561" s="2007"/>
      <c r="AK561" s="668"/>
      <c r="AL561" s="599"/>
      <c r="AN561" s="623"/>
    </row>
    <row r="562" spans="1:42" s="576" customFormat="1" ht="12.75" customHeight="1">
      <c r="B562" s="668"/>
      <c r="C562" s="668"/>
      <c r="D562" s="668"/>
      <c r="E562" s="668"/>
      <c r="F562" s="668"/>
      <c r="G562" s="668"/>
      <c r="H562" s="668"/>
      <c r="I562" s="668"/>
      <c r="J562" s="668"/>
      <c r="K562" s="668"/>
      <c r="L562" s="668"/>
      <c r="M562" s="668"/>
      <c r="N562" s="668"/>
      <c r="O562" s="668"/>
      <c r="P562" s="668"/>
      <c r="Q562" s="668"/>
      <c r="R562" s="668"/>
      <c r="S562" s="668"/>
      <c r="T562" s="668"/>
      <c r="U562" s="668"/>
      <c r="V562" s="668"/>
      <c r="W562" s="668"/>
      <c r="X562" s="668"/>
      <c r="Y562" s="668"/>
      <c r="Z562" s="668"/>
      <c r="AA562" s="668"/>
      <c r="AB562" s="668"/>
      <c r="AC562" s="668"/>
      <c r="AD562" s="668"/>
      <c r="AE562" s="668"/>
      <c r="AF562" s="668"/>
      <c r="AG562" s="668"/>
      <c r="AH562" s="668"/>
      <c r="AI562" s="668"/>
      <c r="AJ562" s="668"/>
      <c r="AK562" s="668"/>
      <c r="AL562" s="599"/>
      <c r="AN562" s="623"/>
    </row>
    <row r="563" spans="1:42" s="576" customFormat="1" ht="12.75" customHeight="1">
      <c r="B563" s="689" t="s">
        <v>1567</v>
      </c>
      <c r="C563" s="697"/>
      <c r="D563" s="599"/>
      <c r="E563" s="599"/>
      <c r="F563" s="599"/>
      <c r="G563" s="599"/>
      <c r="H563" s="599"/>
      <c r="I563" s="599"/>
      <c r="J563" s="599"/>
      <c r="K563" s="599"/>
      <c r="L563" s="599"/>
      <c r="M563" s="599"/>
      <c r="N563" s="599"/>
      <c r="O563" s="599"/>
      <c r="P563" s="599"/>
      <c r="Q563" s="599"/>
      <c r="R563" s="599"/>
      <c r="S563" s="599"/>
      <c r="T563" s="599"/>
      <c r="U563" s="599"/>
      <c r="V563" s="599"/>
      <c r="W563" s="599"/>
      <c r="X563" s="599"/>
      <c r="Y563" s="599"/>
      <c r="Z563" s="599"/>
      <c r="AA563" s="599"/>
      <c r="AB563" s="599"/>
      <c r="AC563" s="599"/>
      <c r="AD563" s="599"/>
      <c r="AE563" s="599"/>
      <c r="AF563" s="599"/>
      <c r="AG563" s="599"/>
      <c r="AH563" s="599"/>
      <c r="AI563" s="599"/>
      <c r="AN563" s="623"/>
      <c r="AP563" s="576" t="s">
        <v>601</v>
      </c>
    </row>
    <row r="564" spans="1:42" s="576" customFormat="1" ht="12.75" customHeight="1">
      <c r="B564" s="562"/>
      <c r="C564" s="697"/>
      <c r="D564" s="599"/>
      <c r="E564" s="599"/>
      <c r="F564" s="599"/>
      <c r="G564" s="599"/>
      <c r="H564" s="599"/>
      <c r="I564" s="599"/>
      <c r="J564" s="599"/>
      <c r="K564" s="599"/>
      <c r="L564" s="599"/>
      <c r="M564" s="599"/>
      <c r="N564" s="599"/>
      <c r="O564" s="599"/>
      <c r="P564" s="599"/>
      <c r="Q564" s="599"/>
      <c r="R564" s="599"/>
      <c r="S564" s="599"/>
      <c r="T564" s="599"/>
      <c r="U564" s="599"/>
      <c r="V564" s="599"/>
      <c r="W564" s="599"/>
      <c r="X564" s="599"/>
      <c r="Y564" s="599"/>
      <c r="Z564" s="599"/>
      <c r="AA564" s="599"/>
      <c r="AB564" s="599"/>
      <c r="AC564" s="599"/>
      <c r="AD564" s="599"/>
      <c r="AE564" s="599"/>
      <c r="AF564" s="599"/>
      <c r="AG564" s="599"/>
      <c r="AH564" s="599"/>
      <c r="AI564" s="599"/>
      <c r="AN564" s="623"/>
      <c r="AP564" s="576" t="s">
        <v>555</v>
      </c>
    </row>
    <row r="565" spans="1:42" s="576" customFormat="1" ht="12.75" customHeight="1">
      <c r="C565" s="565" t="s">
        <v>1568</v>
      </c>
      <c r="D565" s="698"/>
      <c r="E565" s="599"/>
      <c r="F565" s="599"/>
      <c r="G565" s="599"/>
      <c r="H565" s="599"/>
      <c r="I565" s="599"/>
      <c r="J565" s="599"/>
      <c r="K565" s="599"/>
      <c r="L565" s="599"/>
      <c r="M565" s="599"/>
      <c r="N565" s="599"/>
      <c r="O565" s="599"/>
      <c r="P565" s="599"/>
      <c r="Q565" s="599"/>
      <c r="R565" s="599"/>
      <c r="S565" s="599"/>
      <c r="T565" s="599"/>
      <c r="U565" s="599"/>
      <c r="V565" s="599"/>
      <c r="W565" s="599"/>
      <c r="X565" s="599"/>
      <c r="Y565" s="599"/>
      <c r="Z565" s="599"/>
      <c r="AA565" s="599"/>
      <c r="AB565" s="599"/>
      <c r="AC565" s="599"/>
      <c r="AD565" s="599"/>
      <c r="AE565" s="599"/>
      <c r="AF565" s="599"/>
      <c r="AG565" s="599"/>
      <c r="AH565" s="599"/>
      <c r="AI565" s="599"/>
      <c r="AN565" s="623"/>
    </row>
    <row r="566" spans="1:42" s="576" customFormat="1" ht="12.75" customHeight="1">
      <c r="B566" s="562"/>
      <c r="C566" s="562"/>
      <c r="D566" s="666"/>
      <c r="E566" s="669"/>
      <c r="F566" s="669"/>
      <c r="G566" s="669"/>
      <c r="H566" s="669"/>
      <c r="I566" s="669"/>
      <c r="J566" s="669"/>
      <c r="K566" s="669"/>
      <c r="L566" s="669"/>
      <c r="M566" s="669"/>
      <c r="N566" s="669"/>
      <c r="O566" s="669"/>
      <c r="P566" s="669"/>
      <c r="Q566" s="669"/>
      <c r="R566" s="669"/>
      <c r="S566" s="669"/>
      <c r="T566" s="669"/>
      <c r="U566" s="669"/>
      <c r="V566" s="669"/>
      <c r="W566" s="669"/>
      <c r="X566" s="669"/>
      <c r="Y566" s="669"/>
      <c r="Z566" s="669"/>
      <c r="AA566" s="669"/>
      <c r="AB566" s="669"/>
      <c r="AC566" s="669"/>
      <c r="AD566" s="669"/>
      <c r="AE566" s="669"/>
      <c r="AF566" s="562"/>
      <c r="AG566" s="562"/>
      <c r="AH566" s="562"/>
      <c r="AI566" s="562"/>
      <c r="AJ566" s="562"/>
      <c r="AK566" s="562"/>
      <c r="AL566" s="562"/>
      <c r="AN566" s="623"/>
    </row>
    <row r="567" spans="1:42" s="576" customFormat="1" ht="12.75" customHeight="1">
      <c r="B567" s="562"/>
      <c r="C567" s="562"/>
      <c r="D567" s="689" t="s">
        <v>698</v>
      </c>
      <c r="E567" s="865" t="s">
        <v>1959</v>
      </c>
      <c r="F567" s="668"/>
      <c r="G567" s="668"/>
      <c r="H567" s="668"/>
      <c r="I567" s="668"/>
      <c r="J567" s="668"/>
      <c r="K567" s="668"/>
      <c r="L567" s="668"/>
      <c r="M567" s="668"/>
      <c r="N567" s="668"/>
      <c r="O567" s="668"/>
      <c r="P567" s="668"/>
      <c r="Q567" s="668"/>
      <c r="R567" s="668"/>
      <c r="S567" s="668"/>
      <c r="T567" s="668"/>
      <c r="U567" s="668"/>
      <c r="V567" s="668"/>
      <c r="W567" s="668"/>
      <c r="X567" s="668"/>
      <c r="Y567" s="668"/>
      <c r="Z567" s="668"/>
      <c r="AA567" s="668"/>
      <c r="AB567" s="668"/>
      <c r="AC567" s="562"/>
      <c r="AD567" s="562"/>
      <c r="AE567" s="562"/>
      <c r="AF567" s="1954" t="s">
        <v>1511</v>
      </c>
      <c r="AG567" s="1954"/>
      <c r="AH567" s="1954"/>
      <c r="AI567" s="1954"/>
      <c r="AJ567" s="1954"/>
      <c r="AK567" s="1954"/>
      <c r="AL567" s="1954"/>
      <c r="AN567" s="623"/>
    </row>
    <row r="568" spans="1:42" s="576" customFormat="1" ht="12.75" customHeight="1">
      <c r="B568" s="562"/>
      <c r="C568" s="642"/>
      <c r="D568" s="689"/>
      <c r="E568" s="865" t="s">
        <v>1960</v>
      </c>
      <c r="F568" s="668"/>
      <c r="G568" s="668"/>
      <c r="H568" s="668"/>
      <c r="I568" s="668"/>
      <c r="J568" s="668"/>
      <c r="K568" s="668"/>
      <c r="L568" s="668"/>
      <c r="M568" s="668"/>
      <c r="N568" s="668"/>
      <c r="O568" s="668"/>
      <c r="P568" s="668"/>
      <c r="Q568" s="668"/>
      <c r="R568" s="668"/>
      <c r="S568" s="668"/>
      <c r="T568" s="668"/>
      <c r="U568" s="668"/>
      <c r="V568" s="668"/>
      <c r="W568" s="668"/>
      <c r="X568" s="668"/>
      <c r="Y568" s="668"/>
      <c r="Z568" s="668"/>
      <c r="AA568" s="668"/>
      <c r="AB568" s="668"/>
      <c r="AC568" s="562"/>
      <c r="AD568" s="562"/>
      <c r="AE568" s="642"/>
      <c r="AF568" s="642"/>
      <c r="AG568" s="642"/>
      <c r="AH568" s="642"/>
      <c r="AI568" s="642"/>
      <c r="AJ568" s="642"/>
      <c r="AK568" s="642"/>
      <c r="AL568" s="642"/>
      <c r="AN568" s="623"/>
    </row>
    <row r="569" spans="1:42" s="576" customFormat="1" ht="12.75" customHeight="1">
      <c r="B569" s="562"/>
      <c r="C569" s="642"/>
      <c r="D569" s="689"/>
      <c r="E569" s="865" t="s">
        <v>1961</v>
      </c>
      <c r="F569" s="668"/>
      <c r="G569" s="668"/>
      <c r="H569" s="668"/>
      <c r="I569" s="668"/>
      <c r="J569" s="668"/>
      <c r="K569" s="668"/>
      <c r="L569" s="668"/>
      <c r="M569" s="668"/>
      <c r="N569" s="668"/>
      <c r="O569" s="668"/>
      <c r="P569" s="668"/>
      <c r="Q569" s="668"/>
      <c r="R569" s="668"/>
      <c r="S569" s="668"/>
      <c r="T569" s="668"/>
      <c r="U569" s="668"/>
      <c r="V569" s="668"/>
      <c r="W569" s="668"/>
      <c r="X569" s="668"/>
      <c r="Y569" s="668"/>
      <c r="Z569" s="668"/>
      <c r="AA569" s="668"/>
      <c r="AB569" s="668"/>
      <c r="AC569" s="562"/>
      <c r="AD569" s="562"/>
      <c r="AE569" s="642"/>
      <c r="AF569" s="642"/>
      <c r="AG569" s="642"/>
      <c r="AH569" s="642"/>
      <c r="AI569" s="642"/>
      <c r="AJ569" s="642"/>
      <c r="AK569" s="642"/>
      <c r="AL569" s="642"/>
      <c r="AN569" s="623"/>
    </row>
    <row r="570" spans="1:42" s="576" customFormat="1" ht="12.75" customHeight="1">
      <c r="B570" s="562"/>
      <c r="C570" s="642"/>
      <c r="D570" s="689"/>
      <c r="E570" s="865" t="s">
        <v>1962</v>
      </c>
      <c r="F570" s="668"/>
      <c r="G570" s="668"/>
      <c r="H570" s="668"/>
      <c r="I570" s="668"/>
      <c r="J570" s="668"/>
      <c r="K570" s="668"/>
      <c r="L570" s="668"/>
      <c r="M570" s="668"/>
      <c r="N570" s="668"/>
      <c r="O570" s="668"/>
      <c r="P570" s="668"/>
      <c r="Q570" s="668"/>
      <c r="R570" s="668"/>
      <c r="S570" s="668"/>
      <c r="T570" s="668"/>
      <c r="U570" s="668"/>
      <c r="V570" s="668"/>
      <c r="W570" s="668"/>
      <c r="X570" s="668"/>
      <c r="Y570" s="668"/>
      <c r="Z570" s="668"/>
      <c r="AA570" s="668"/>
      <c r="AB570" s="668"/>
      <c r="AC570" s="562"/>
      <c r="AD570" s="562"/>
      <c r="AE570" s="642"/>
      <c r="AF570" s="642"/>
      <c r="AG570" s="642"/>
      <c r="AH570" s="642"/>
      <c r="AI570" s="642"/>
      <c r="AJ570" s="642"/>
      <c r="AK570" s="642"/>
      <c r="AL570" s="642"/>
      <c r="AN570" s="623"/>
    </row>
    <row r="571" spans="1:42" s="576" customFormat="1" ht="12.75" customHeight="1">
      <c r="B571" s="562"/>
      <c r="C571" s="642"/>
      <c r="D571" s="689"/>
      <c r="E571" s="865" t="s">
        <v>1963</v>
      </c>
      <c r="F571" s="668"/>
      <c r="G571" s="668"/>
      <c r="H571" s="668"/>
      <c r="I571" s="668"/>
      <c r="J571" s="668"/>
      <c r="K571" s="668"/>
      <c r="L571" s="668"/>
      <c r="M571" s="668"/>
      <c r="N571" s="668"/>
      <c r="O571" s="668"/>
      <c r="P571" s="668"/>
      <c r="Q571" s="668"/>
      <c r="R571" s="668"/>
      <c r="S571" s="668"/>
      <c r="T571" s="668"/>
      <c r="U571" s="668"/>
      <c r="V571" s="668"/>
      <c r="W571" s="668"/>
      <c r="X571" s="668"/>
      <c r="Y571" s="668"/>
      <c r="Z571" s="668"/>
      <c r="AA571" s="668"/>
      <c r="AB571" s="668"/>
      <c r="AC571" s="562"/>
      <c r="AD571" s="562"/>
      <c r="AE571" s="642"/>
      <c r="AF571" s="642"/>
      <c r="AG571" s="642"/>
      <c r="AH571" s="642"/>
      <c r="AI571" s="642"/>
      <c r="AJ571" s="642"/>
      <c r="AK571" s="642"/>
      <c r="AL571" s="642"/>
      <c r="AN571" s="623"/>
    </row>
    <row r="572" spans="1:42" s="576" customFormat="1" ht="12.75" customHeight="1">
      <c r="B572" s="562"/>
      <c r="C572" s="642"/>
      <c r="D572" s="689"/>
      <c r="E572" s="865" t="s">
        <v>1964</v>
      </c>
      <c r="F572" s="668"/>
      <c r="G572" s="668"/>
      <c r="H572" s="668"/>
      <c r="I572" s="668"/>
      <c r="J572" s="668"/>
      <c r="K572" s="668"/>
      <c r="L572" s="668"/>
      <c r="M572" s="668"/>
      <c r="N572" s="668"/>
      <c r="O572" s="668"/>
      <c r="P572" s="668"/>
      <c r="Q572" s="668"/>
      <c r="R572" s="668"/>
      <c r="S572" s="668"/>
      <c r="T572" s="668"/>
      <c r="U572" s="668"/>
      <c r="V572" s="668"/>
      <c r="W572" s="668"/>
      <c r="X572" s="668"/>
      <c r="Y572" s="668"/>
      <c r="Z572" s="668"/>
      <c r="AA572" s="668"/>
      <c r="AB572" s="668"/>
      <c r="AC572" s="562"/>
      <c r="AD572" s="562"/>
      <c r="AE572" s="642"/>
      <c r="AF572" s="642"/>
      <c r="AG572" s="642"/>
      <c r="AH572" s="642"/>
      <c r="AI572" s="642"/>
      <c r="AJ572" s="642"/>
      <c r="AK572" s="642"/>
      <c r="AL572" s="642"/>
      <c r="AN572" s="623"/>
    </row>
    <row r="573" spans="1:42" s="576" customFormat="1" ht="12.75" customHeight="1">
      <c r="B573" s="562"/>
      <c r="C573" s="642"/>
      <c r="D573" s="689"/>
      <c r="E573" s="865"/>
      <c r="F573" s="668"/>
      <c r="G573" s="668"/>
      <c r="H573" s="668"/>
      <c r="I573" s="668"/>
      <c r="J573" s="668"/>
      <c r="K573" s="668"/>
      <c r="L573" s="668"/>
      <c r="M573" s="668"/>
      <c r="N573" s="668"/>
      <c r="O573" s="668"/>
      <c r="P573" s="668"/>
      <c r="Q573" s="668"/>
      <c r="R573" s="668"/>
      <c r="S573" s="668"/>
      <c r="T573" s="668"/>
      <c r="U573" s="668"/>
      <c r="V573" s="668"/>
      <c r="W573" s="668"/>
      <c r="X573" s="668"/>
      <c r="Y573" s="668"/>
      <c r="Z573" s="668"/>
      <c r="AA573" s="668"/>
      <c r="AB573" s="668"/>
      <c r="AC573" s="562"/>
      <c r="AD573" s="562"/>
      <c r="AE573" s="642"/>
      <c r="AF573" s="562"/>
      <c r="AG573" s="562"/>
      <c r="AH573" s="562"/>
      <c r="AI573" s="562"/>
      <c r="AJ573" s="562"/>
      <c r="AK573" s="562"/>
      <c r="AL573" s="562"/>
      <c r="AN573" s="623"/>
    </row>
    <row r="574" spans="1:42" s="576" customFormat="1" ht="12.75" customHeight="1">
      <c r="A574" s="663"/>
      <c r="B574" s="562"/>
      <c r="C574" s="959"/>
      <c r="D574" s="689" t="s">
        <v>519</v>
      </c>
      <c r="E574" s="865" t="s">
        <v>1965</v>
      </c>
      <c r="F574" s="960"/>
      <c r="G574" s="960"/>
      <c r="H574" s="960"/>
      <c r="I574" s="960"/>
      <c r="J574" s="960"/>
      <c r="K574" s="960"/>
      <c r="L574" s="960"/>
      <c r="M574" s="960"/>
      <c r="N574" s="960"/>
      <c r="O574" s="960"/>
      <c r="P574" s="960"/>
      <c r="Q574" s="960"/>
      <c r="R574" s="960"/>
      <c r="S574" s="960"/>
      <c r="T574" s="960"/>
      <c r="U574" s="960"/>
      <c r="V574" s="960"/>
      <c r="W574" s="960"/>
      <c r="X574" s="960"/>
      <c r="Y574" s="960"/>
      <c r="Z574" s="960"/>
      <c r="AA574" s="960"/>
      <c r="AB574" s="960"/>
      <c r="AC574" s="562"/>
      <c r="AD574" s="562"/>
      <c r="AE574" s="562"/>
      <c r="AF574" s="1954" t="s">
        <v>1569</v>
      </c>
      <c r="AG574" s="1954"/>
      <c r="AH574" s="1954"/>
      <c r="AI574" s="1954"/>
      <c r="AJ574" s="1954"/>
      <c r="AK574" s="1954"/>
      <c r="AL574" s="1954"/>
      <c r="AN574" s="623"/>
    </row>
    <row r="575" spans="1:42" s="576" customFormat="1" ht="12.75" customHeight="1">
      <c r="B575" s="562"/>
      <c r="C575" s="961"/>
      <c r="D575" s="689"/>
      <c r="E575" s="865" t="s">
        <v>1966</v>
      </c>
      <c r="F575" s="960"/>
      <c r="G575" s="960"/>
      <c r="H575" s="960"/>
      <c r="I575" s="960"/>
      <c r="J575" s="960"/>
      <c r="K575" s="960"/>
      <c r="L575" s="960"/>
      <c r="M575" s="960"/>
      <c r="N575" s="960"/>
      <c r="O575" s="960"/>
      <c r="P575" s="960"/>
      <c r="Q575" s="960"/>
      <c r="R575" s="960"/>
      <c r="S575" s="960"/>
      <c r="T575" s="960"/>
      <c r="U575" s="960"/>
      <c r="V575" s="960"/>
      <c r="W575" s="960"/>
      <c r="X575" s="960"/>
      <c r="Y575" s="960"/>
      <c r="Z575" s="960"/>
      <c r="AA575" s="960"/>
      <c r="AB575" s="960"/>
      <c r="AC575" s="562"/>
      <c r="AD575" s="562"/>
      <c r="AE575" s="562"/>
      <c r="AF575" s="562"/>
      <c r="AG575" s="562"/>
      <c r="AH575" s="562"/>
      <c r="AI575" s="562"/>
      <c r="AJ575" s="562"/>
      <c r="AK575" s="562"/>
      <c r="AL575" s="562"/>
      <c r="AN575" s="623"/>
      <c r="AO575" s="576" t="s">
        <v>601</v>
      </c>
      <c r="AP575" s="699">
        <v>0</v>
      </c>
    </row>
    <row r="576" spans="1:42" s="576" customFormat="1" ht="12.75" customHeight="1">
      <c r="B576" s="636"/>
      <c r="C576" s="959"/>
      <c r="D576" s="689"/>
      <c r="E576" s="865" t="s">
        <v>1967</v>
      </c>
      <c r="F576" s="960"/>
      <c r="G576" s="960"/>
      <c r="H576" s="960"/>
      <c r="I576" s="960"/>
      <c r="J576" s="960"/>
      <c r="K576" s="960"/>
      <c r="L576" s="960"/>
      <c r="M576" s="960"/>
      <c r="N576" s="960"/>
      <c r="O576" s="960"/>
      <c r="P576" s="960"/>
      <c r="Q576" s="960"/>
      <c r="R576" s="960"/>
      <c r="S576" s="960"/>
      <c r="T576" s="960"/>
      <c r="U576" s="960"/>
      <c r="V576" s="960"/>
      <c r="W576" s="960"/>
      <c r="X576" s="960"/>
      <c r="Y576" s="960"/>
      <c r="Z576" s="960"/>
      <c r="AA576" s="960"/>
      <c r="AB576" s="960"/>
      <c r="AC576" s="562"/>
      <c r="AD576" s="562"/>
      <c r="AE576" s="562"/>
      <c r="AF576" s="562"/>
      <c r="AG576" s="562"/>
      <c r="AH576" s="562"/>
      <c r="AI576" s="562"/>
      <c r="AJ576" s="562"/>
      <c r="AK576" s="562"/>
      <c r="AL576" s="562"/>
      <c r="AN576" s="623"/>
      <c r="AO576" s="637" t="s">
        <v>698</v>
      </c>
      <c r="AP576" s="576">
        <v>7</v>
      </c>
    </row>
    <row r="577" spans="1:53" s="576" customFormat="1" ht="12.75" customHeight="1">
      <c r="B577" s="636"/>
      <c r="C577" s="959"/>
      <c r="D577" s="689"/>
      <c r="E577" s="865" t="s">
        <v>1969</v>
      </c>
      <c r="F577" s="960"/>
      <c r="G577" s="960"/>
      <c r="H577" s="960"/>
      <c r="I577" s="960"/>
      <c r="J577" s="960"/>
      <c r="K577" s="960"/>
      <c r="L577" s="960"/>
      <c r="M577" s="960"/>
      <c r="N577" s="960"/>
      <c r="O577" s="960"/>
      <c r="P577" s="960"/>
      <c r="Q577" s="960"/>
      <c r="R577" s="960"/>
      <c r="S577" s="960"/>
      <c r="T577" s="960"/>
      <c r="U577" s="960"/>
      <c r="V577" s="960"/>
      <c r="W577" s="960"/>
      <c r="X577" s="960"/>
      <c r="Y577" s="960"/>
      <c r="Z577" s="960"/>
      <c r="AA577" s="960"/>
      <c r="AB577" s="960"/>
      <c r="AC577" s="562"/>
      <c r="AD577" s="562"/>
      <c r="AE577" s="562"/>
      <c r="AF577" s="562"/>
      <c r="AG577" s="562"/>
      <c r="AH577" s="562"/>
      <c r="AI577" s="562"/>
      <c r="AJ577" s="562"/>
      <c r="AK577" s="562"/>
      <c r="AL577" s="562"/>
      <c r="AN577" s="623"/>
      <c r="AO577" s="637" t="s">
        <v>519</v>
      </c>
      <c r="AP577" s="576">
        <v>6</v>
      </c>
    </row>
    <row r="578" spans="1:53" s="576" customFormat="1" ht="12.75" customHeight="1">
      <c r="B578" s="636"/>
      <c r="C578" s="959"/>
      <c r="D578" s="689"/>
      <c r="E578" s="865" t="s">
        <v>1968</v>
      </c>
      <c r="F578" s="960"/>
      <c r="G578" s="960"/>
      <c r="H578" s="960"/>
      <c r="I578" s="960"/>
      <c r="J578" s="960"/>
      <c r="K578" s="960"/>
      <c r="L578" s="960"/>
      <c r="M578" s="960"/>
      <c r="N578" s="960"/>
      <c r="O578" s="960"/>
      <c r="P578" s="960"/>
      <c r="Q578" s="960"/>
      <c r="R578" s="960"/>
      <c r="S578" s="960"/>
      <c r="T578" s="960"/>
      <c r="U578" s="960"/>
      <c r="V578" s="960"/>
      <c r="W578" s="960"/>
      <c r="X578" s="960"/>
      <c r="Y578" s="960"/>
      <c r="Z578" s="960"/>
      <c r="AA578" s="960"/>
      <c r="AB578" s="960"/>
      <c r="AC578" s="562"/>
      <c r="AD578" s="562"/>
      <c r="AE578" s="562"/>
      <c r="AF578" s="562"/>
      <c r="AG578" s="562"/>
      <c r="AH578" s="562"/>
      <c r="AI578" s="562"/>
      <c r="AJ578" s="562"/>
      <c r="AK578" s="562"/>
      <c r="AL578" s="562"/>
      <c r="AN578" s="623"/>
      <c r="AO578" s="637" t="s">
        <v>280</v>
      </c>
      <c r="AP578" s="576">
        <v>5</v>
      </c>
    </row>
    <row r="579" spans="1:53" s="576" customFormat="1" ht="12.75" customHeight="1">
      <c r="B579" s="636"/>
      <c r="C579" s="959"/>
      <c r="D579" s="689"/>
      <c r="E579" s="962"/>
      <c r="F579" s="963"/>
      <c r="G579" s="963"/>
      <c r="H579" s="963"/>
      <c r="I579" s="642"/>
      <c r="J579" s="642"/>
      <c r="K579" s="642"/>
      <c r="L579" s="642"/>
      <c r="M579" s="642"/>
      <c r="N579" s="642"/>
      <c r="O579" s="642"/>
      <c r="P579" s="642"/>
      <c r="Q579" s="642"/>
      <c r="R579" s="642"/>
      <c r="S579" s="642"/>
      <c r="T579" s="642"/>
      <c r="U579" s="642"/>
      <c r="V579" s="642"/>
      <c r="W579" s="642"/>
      <c r="X579" s="642"/>
      <c r="Y579" s="642"/>
      <c r="Z579" s="642"/>
      <c r="AA579" s="642"/>
      <c r="AB579" s="642"/>
      <c r="AC579" s="562"/>
      <c r="AD579" s="562"/>
      <c r="AE579" s="642"/>
      <c r="AF579" s="562"/>
      <c r="AG579" s="562"/>
      <c r="AH579" s="562"/>
      <c r="AI579" s="562"/>
      <c r="AJ579" s="562"/>
      <c r="AK579" s="562"/>
      <c r="AL579" s="562"/>
      <c r="AN579" s="623"/>
      <c r="AO579" s="637" t="s">
        <v>1570</v>
      </c>
      <c r="AP579" s="576">
        <v>4</v>
      </c>
    </row>
    <row r="580" spans="1:53" s="576" customFormat="1" ht="12.75" customHeight="1">
      <c r="B580" s="562"/>
      <c r="C580" s="959"/>
      <c r="D580" s="689" t="s">
        <v>280</v>
      </c>
      <c r="E580" s="865" t="s">
        <v>1970</v>
      </c>
      <c r="F580" s="960"/>
      <c r="G580" s="960"/>
      <c r="H580" s="960"/>
      <c r="I580" s="960"/>
      <c r="J580" s="960"/>
      <c r="K580" s="960"/>
      <c r="L580" s="960"/>
      <c r="M580" s="960"/>
      <c r="N580" s="960"/>
      <c r="O580" s="960"/>
      <c r="P580" s="960"/>
      <c r="Q580" s="960"/>
      <c r="R580" s="960"/>
      <c r="S580" s="960"/>
      <c r="T580" s="960"/>
      <c r="U580" s="960"/>
      <c r="V580" s="960"/>
      <c r="W580" s="960"/>
      <c r="X580" s="960"/>
      <c r="Y580" s="960"/>
      <c r="Z580" s="960"/>
      <c r="AA580" s="960"/>
      <c r="AB580" s="960"/>
      <c r="AC580" s="562"/>
      <c r="AD580" s="562"/>
      <c r="AE580" s="562"/>
      <c r="AF580" s="1954" t="s">
        <v>1551</v>
      </c>
      <c r="AG580" s="1954"/>
      <c r="AH580" s="1954"/>
      <c r="AI580" s="1954"/>
      <c r="AJ580" s="1954"/>
      <c r="AK580" s="1954"/>
      <c r="AL580" s="1954"/>
      <c r="AN580" s="623"/>
      <c r="AO580" s="637" t="s">
        <v>1571</v>
      </c>
      <c r="AP580" s="576">
        <v>3</v>
      </c>
    </row>
    <row r="581" spans="1:53" s="576" customFormat="1" ht="12.75" customHeight="1">
      <c r="B581" s="562"/>
      <c r="C581" s="961"/>
      <c r="D581" s="689"/>
      <c r="E581" s="865" t="s">
        <v>1966</v>
      </c>
      <c r="F581" s="960"/>
      <c r="G581" s="960"/>
      <c r="H581" s="960"/>
      <c r="I581" s="960"/>
      <c r="J581" s="960"/>
      <c r="K581" s="960"/>
      <c r="L581" s="960"/>
      <c r="M581" s="960"/>
      <c r="N581" s="960"/>
      <c r="O581" s="960"/>
      <c r="P581" s="960"/>
      <c r="Q581" s="960"/>
      <c r="R581" s="960"/>
      <c r="S581" s="960"/>
      <c r="T581" s="960"/>
      <c r="U581" s="960"/>
      <c r="V581" s="960"/>
      <c r="W581" s="960"/>
      <c r="X581" s="960"/>
      <c r="Y581" s="960"/>
      <c r="Z581" s="960"/>
      <c r="AA581" s="960"/>
      <c r="AB581" s="960"/>
      <c r="AC581" s="562"/>
      <c r="AD581" s="562"/>
      <c r="AE581" s="562"/>
      <c r="AF581" s="562"/>
      <c r="AG581" s="562"/>
      <c r="AH581" s="562"/>
      <c r="AI581" s="562"/>
      <c r="AJ581" s="562"/>
      <c r="AK581" s="562"/>
      <c r="AL581" s="562"/>
      <c r="AN581" s="623"/>
    </row>
    <row r="582" spans="1:53" s="576" customFormat="1" ht="12.75" customHeight="1">
      <c r="B582" s="562"/>
      <c r="C582" s="961"/>
      <c r="D582" s="689"/>
      <c r="E582" s="865" t="s">
        <v>1967</v>
      </c>
      <c r="F582" s="960"/>
      <c r="G582" s="960"/>
      <c r="H582" s="960"/>
      <c r="I582" s="960"/>
      <c r="J582" s="960"/>
      <c r="K582" s="960"/>
      <c r="L582" s="960"/>
      <c r="M582" s="960"/>
      <c r="N582" s="960"/>
      <c r="O582" s="960"/>
      <c r="P582" s="960"/>
      <c r="Q582" s="960"/>
      <c r="R582" s="960"/>
      <c r="S582" s="960"/>
      <c r="T582" s="960"/>
      <c r="U582" s="960"/>
      <c r="V582" s="960"/>
      <c r="W582" s="960"/>
      <c r="X582" s="960"/>
      <c r="Y582" s="960"/>
      <c r="Z582" s="960"/>
      <c r="AA582" s="960"/>
      <c r="AB582" s="960"/>
      <c r="AC582" s="562"/>
      <c r="AD582" s="562"/>
      <c r="AE582" s="562"/>
      <c r="AF582" s="562"/>
      <c r="AG582" s="562"/>
      <c r="AH582" s="562"/>
      <c r="AI582" s="562"/>
      <c r="AJ582" s="562"/>
      <c r="AK582" s="562"/>
      <c r="AL582" s="562"/>
      <c r="AN582" s="623"/>
    </row>
    <row r="583" spans="1:53" s="576" customFormat="1" ht="12.75" customHeight="1">
      <c r="B583" s="562"/>
      <c r="C583" s="961"/>
      <c r="D583" s="689"/>
      <c r="E583" s="865" t="s">
        <v>1969</v>
      </c>
      <c r="F583" s="960"/>
      <c r="G583" s="960"/>
      <c r="H583" s="960"/>
      <c r="I583" s="960"/>
      <c r="J583" s="960"/>
      <c r="K583" s="960"/>
      <c r="L583" s="960"/>
      <c r="M583" s="960"/>
      <c r="N583" s="960"/>
      <c r="O583" s="960"/>
      <c r="P583" s="960"/>
      <c r="Q583" s="960"/>
      <c r="R583" s="960"/>
      <c r="S583" s="960"/>
      <c r="T583" s="960"/>
      <c r="U583" s="960"/>
      <c r="V583" s="960"/>
      <c r="W583" s="960"/>
      <c r="X583" s="960"/>
      <c r="Y583" s="960"/>
      <c r="Z583" s="960"/>
      <c r="AA583" s="960"/>
      <c r="AB583" s="960"/>
      <c r="AC583" s="562"/>
      <c r="AD583" s="562"/>
      <c r="AE583" s="562"/>
      <c r="AF583" s="562"/>
      <c r="AG583" s="562"/>
      <c r="AH583" s="562"/>
      <c r="AI583" s="562"/>
      <c r="AJ583" s="562"/>
      <c r="AK583" s="562"/>
      <c r="AL583" s="562"/>
      <c r="AN583" s="623"/>
    </row>
    <row r="584" spans="1:53" s="576" customFormat="1" ht="12.75" customHeight="1">
      <c r="B584" s="562"/>
      <c r="C584" s="961"/>
      <c r="D584" s="689"/>
      <c r="E584" s="865" t="s">
        <v>1968</v>
      </c>
      <c r="F584" s="960"/>
      <c r="G584" s="960"/>
      <c r="H584" s="960"/>
      <c r="I584" s="960"/>
      <c r="J584" s="960"/>
      <c r="K584" s="960"/>
      <c r="L584" s="960"/>
      <c r="M584" s="960"/>
      <c r="N584" s="960"/>
      <c r="O584" s="960"/>
      <c r="P584" s="960"/>
      <c r="Q584" s="960"/>
      <c r="R584" s="960"/>
      <c r="S584" s="960"/>
      <c r="T584" s="960"/>
      <c r="U584" s="960"/>
      <c r="V584" s="960"/>
      <c r="W584" s="960"/>
      <c r="X584" s="960"/>
      <c r="Y584" s="960"/>
      <c r="Z584" s="960"/>
      <c r="AA584" s="960"/>
      <c r="AB584" s="960"/>
      <c r="AC584" s="562"/>
      <c r="AD584" s="562"/>
      <c r="AE584" s="562"/>
      <c r="AF584" s="562"/>
      <c r="AG584" s="562"/>
      <c r="AH584" s="562"/>
      <c r="AI584" s="562"/>
      <c r="AJ584" s="562"/>
      <c r="AK584" s="562"/>
      <c r="AL584" s="562"/>
      <c r="AN584" s="623"/>
    </row>
    <row r="585" spans="1:53" s="576" customFormat="1" ht="12.75" customHeight="1">
      <c r="A585" s="14"/>
      <c r="B585" s="14"/>
      <c r="C585" s="14"/>
      <c r="D585" s="689"/>
      <c r="E585" s="700"/>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2"/>
      <c r="AD585" s="562"/>
      <c r="AE585" s="14"/>
      <c r="AF585" s="562"/>
      <c r="AG585" s="562"/>
      <c r="AH585" s="562"/>
      <c r="AI585" s="562"/>
      <c r="AJ585" s="562"/>
      <c r="AK585" s="562"/>
      <c r="AL585" s="562"/>
      <c r="AM585" s="14"/>
      <c r="AN585" s="623"/>
    </row>
    <row r="586" spans="1:53" s="576" customFormat="1" ht="12.75" customHeight="1">
      <c r="B586" s="562"/>
      <c r="C586" s="959"/>
      <c r="D586" s="689" t="s">
        <v>1570</v>
      </c>
      <c r="E586" s="865" t="s">
        <v>1971</v>
      </c>
      <c r="F586" s="960"/>
      <c r="G586" s="960"/>
      <c r="H586" s="960"/>
      <c r="I586" s="960"/>
      <c r="J586" s="960"/>
      <c r="K586" s="960"/>
      <c r="L586" s="960"/>
      <c r="M586" s="960"/>
      <c r="N586" s="960"/>
      <c r="O586" s="960"/>
      <c r="P586" s="960"/>
      <c r="Q586" s="960"/>
      <c r="R586" s="960"/>
      <c r="S586" s="960"/>
      <c r="T586" s="960"/>
      <c r="U586" s="960"/>
      <c r="V586" s="960"/>
      <c r="W586" s="960"/>
      <c r="X586" s="960"/>
      <c r="Y586" s="960"/>
      <c r="Z586" s="960"/>
      <c r="AA586" s="960"/>
      <c r="AB586" s="960"/>
      <c r="AC586" s="562"/>
      <c r="AD586" s="562"/>
      <c r="AE586" s="562"/>
      <c r="AF586" s="1954" t="s">
        <v>1572</v>
      </c>
      <c r="AG586" s="1954"/>
      <c r="AH586" s="1954"/>
      <c r="AI586" s="1954"/>
      <c r="AJ586" s="1954"/>
      <c r="AK586" s="1954"/>
      <c r="AL586" s="1954"/>
      <c r="AN586" s="623"/>
      <c r="AO586" s="576" t="str">
        <f>X623</f>
        <v>N/A</v>
      </c>
    </row>
    <row r="587" spans="1:53" s="576" customFormat="1" ht="12.75" customHeight="1">
      <c r="B587" s="562"/>
      <c r="C587" s="961"/>
      <c r="D587" s="689"/>
      <c r="E587" s="865" t="s">
        <v>1972</v>
      </c>
      <c r="F587" s="960"/>
      <c r="G587" s="960"/>
      <c r="H587" s="960"/>
      <c r="I587" s="960"/>
      <c r="J587" s="960"/>
      <c r="K587" s="960"/>
      <c r="L587" s="960"/>
      <c r="M587" s="960"/>
      <c r="N587" s="960"/>
      <c r="O587" s="960"/>
      <c r="P587" s="960"/>
      <c r="Q587" s="960"/>
      <c r="R587" s="960"/>
      <c r="S587" s="960"/>
      <c r="T587" s="960"/>
      <c r="U587" s="960"/>
      <c r="V587" s="960"/>
      <c r="W587" s="960"/>
      <c r="X587" s="960"/>
      <c r="Y587" s="960"/>
      <c r="Z587" s="960"/>
      <c r="AA587" s="960"/>
      <c r="AB587" s="960"/>
      <c r="AC587" s="14"/>
      <c r="AD587" s="14"/>
      <c r="AE587" s="562"/>
      <c r="AF587" s="562"/>
      <c r="AG587" s="562"/>
      <c r="AH587" s="562"/>
      <c r="AI587" s="562"/>
      <c r="AJ587" s="562"/>
      <c r="AK587" s="562"/>
      <c r="AL587" s="562"/>
      <c r="AN587" s="623"/>
      <c r="AU587" s="620"/>
      <c r="AV587" s="620"/>
      <c r="AW587" s="620"/>
      <c r="AX587" s="620"/>
      <c r="AY587" s="620"/>
      <c r="AZ587" s="620"/>
      <c r="BA587" s="620"/>
    </row>
    <row r="588" spans="1:53" s="576" customFormat="1" ht="12.75" customHeight="1">
      <c r="B588" s="636"/>
      <c r="C588" s="959"/>
      <c r="D588" s="689"/>
      <c r="E588" s="865" t="s">
        <v>1973</v>
      </c>
      <c r="F588" s="960"/>
      <c r="G588" s="960"/>
      <c r="H588" s="960"/>
      <c r="I588" s="960"/>
      <c r="J588" s="960"/>
      <c r="K588" s="960"/>
      <c r="L588" s="960"/>
      <c r="M588" s="960"/>
      <c r="N588" s="960"/>
      <c r="O588" s="960"/>
      <c r="P588" s="960"/>
      <c r="Q588" s="960"/>
      <c r="R588" s="960"/>
      <c r="S588" s="960"/>
      <c r="T588" s="960"/>
      <c r="U588" s="960"/>
      <c r="V588" s="960"/>
      <c r="W588" s="960"/>
      <c r="X588" s="960"/>
      <c r="Y588" s="960"/>
      <c r="Z588" s="960"/>
      <c r="AA588" s="960"/>
      <c r="AB588" s="960"/>
      <c r="AC588" s="562"/>
      <c r="AD588" s="562"/>
      <c r="AE588" s="562"/>
      <c r="AF588" s="562"/>
      <c r="AG588" s="562"/>
      <c r="AH588" s="562"/>
      <c r="AI588" s="562"/>
      <c r="AJ588" s="562"/>
      <c r="AK588" s="562"/>
      <c r="AL588" s="562"/>
      <c r="AN588" s="623"/>
    </row>
    <row r="589" spans="1:53" s="576" customFormat="1" ht="12.75" customHeight="1">
      <c r="B589" s="636"/>
      <c r="C589" s="959"/>
      <c r="D589" s="689"/>
      <c r="E589" s="865"/>
      <c r="F589" s="960"/>
      <c r="G589" s="960"/>
      <c r="H589" s="960"/>
      <c r="I589" s="960"/>
      <c r="J589" s="960"/>
      <c r="K589" s="960"/>
      <c r="L589" s="960"/>
      <c r="M589" s="960"/>
      <c r="N589" s="960"/>
      <c r="O589" s="960"/>
      <c r="P589" s="960"/>
      <c r="Q589" s="960"/>
      <c r="R589" s="960"/>
      <c r="S589" s="960"/>
      <c r="T589" s="960"/>
      <c r="U589" s="960"/>
      <c r="V589" s="960"/>
      <c r="W589" s="960"/>
      <c r="X589" s="960"/>
      <c r="Y589" s="960"/>
      <c r="Z589" s="960"/>
      <c r="AA589" s="960"/>
      <c r="AB589" s="960"/>
      <c r="AC589" s="562"/>
      <c r="AD589" s="562"/>
      <c r="AE589" s="562"/>
      <c r="AF589" s="562"/>
      <c r="AG589" s="562"/>
      <c r="AH589" s="562"/>
      <c r="AI589" s="562"/>
      <c r="AJ589" s="562"/>
      <c r="AK589" s="562"/>
      <c r="AL589" s="562"/>
      <c r="AN589" s="623"/>
    </row>
    <row r="590" spans="1:53" s="576" customFormat="1" ht="12.75" customHeight="1">
      <c r="B590" s="636"/>
      <c r="C590" s="959"/>
      <c r="D590" s="689"/>
      <c r="E590" s="562" t="s">
        <v>2131</v>
      </c>
      <c r="O590" s="2038" t="s">
        <v>1327</v>
      </c>
      <c r="P590" s="2038"/>
      <c r="Q590" s="2038"/>
      <c r="R590" s="2038"/>
      <c r="S590" s="2038"/>
      <c r="T590" s="2038"/>
      <c r="U590" s="2038"/>
      <c r="V590" s="2038"/>
      <c r="W590" s="2038"/>
      <c r="X590" s="2038"/>
      <c r="Y590" s="2038"/>
      <c r="Z590" s="2038"/>
      <c r="AA590" s="2038"/>
      <c r="AB590" s="2038"/>
      <c r="AH590" s="562"/>
      <c r="AI590" s="562"/>
      <c r="AJ590" s="562"/>
      <c r="AK590" s="562"/>
      <c r="AL590" s="562"/>
      <c r="AN590" s="623"/>
    </row>
    <row r="591" spans="1:53" s="576" customFormat="1" ht="12.75" customHeight="1">
      <c r="B591" s="636"/>
      <c r="C591" s="959"/>
      <c r="D591" s="689"/>
      <c r="E591" s="865"/>
      <c r="F591" s="960"/>
      <c r="G591" s="960"/>
      <c r="H591" s="960"/>
      <c r="I591" s="960"/>
      <c r="J591" s="960"/>
      <c r="K591" s="960"/>
      <c r="L591" s="960"/>
      <c r="M591" s="960"/>
      <c r="N591" s="960"/>
      <c r="O591" s="960"/>
      <c r="P591" s="960"/>
      <c r="Q591" s="960"/>
      <c r="R591" s="960"/>
      <c r="S591" s="960"/>
      <c r="T591" s="960"/>
      <c r="U591" s="960"/>
      <c r="V591" s="960"/>
      <c r="W591" s="960"/>
      <c r="X591" s="960"/>
      <c r="Y591" s="960"/>
      <c r="Z591" s="960"/>
      <c r="AA591" s="960"/>
      <c r="AB591" s="960"/>
      <c r="AC591" s="562"/>
      <c r="AD591" s="562"/>
      <c r="AE591" s="562"/>
      <c r="AF591" s="562"/>
      <c r="AG591" s="562"/>
      <c r="AH591" s="562"/>
      <c r="AI591" s="562"/>
      <c r="AJ591" s="562"/>
      <c r="AK591" s="562"/>
      <c r="AL591" s="562"/>
      <c r="AN591" s="623"/>
    </row>
    <row r="592" spans="1:53" s="576" customFormat="1" ht="12.75" customHeight="1">
      <c r="B592" s="562"/>
      <c r="C592" s="959"/>
      <c r="D592" s="689" t="s">
        <v>1571</v>
      </c>
      <c r="E592" s="865" t="s">
        <v>1975</v>
      </c>
      <c r="F592" s="960"/>
      <c r="G592" s="960"/>
      <c r="H592" s="960"/>
      <c r="I592" s="960"/>
      <c r="J592" s="960"/>
      <c r="K592" s="960"/>
      <c r="L592" s="960"/>
      <c r="M592" s="960"/>
      <c r="N592" s="960"/>
      <c r="O592" s="960"/>
      <c r="P592" s="960"/>
      <c r="Q592" s="960"/>
      <c r="R592" s="960"/>
      <c r="S592" s="960"/>
      <c r="T592" s="960"/>
      <c r="U592" s="960"/>
      <c r="V592" s="960"/>
      <c r="W592" s="960"/>
      <c r="X592" s="960"/>
      <c r="Y592" s="960"/>
      <c r="Z592" s="960"/>
      <c r="AA592" s="960"/>
      <c r="AB592" s="960"/>
      <c r="AC592" s="562"/>
      <c r="AD592" s="562"/>
      <c r="AE592" s="562"/>
      <c r="AF592" s="1954" t="s">
        <v>1525</v>
      </c>
      <c r="AG592" s="1954"/>
      <c r="AH592" s="1954"/>
      <c r="AI592" s="1954"/>
      <c r="AJ592" s="1954"/>
      <c r="AK592" s="1954"/>
      <c r="AL592" s="1954"/>
      <c r="AN592" s="623"/>
    </row>
    <row r="593" spans="2:47" s="576" customFormat="1" ht="12.75" customHeight="1">
      <c r="B593" s="562"/>
      <c r="C593" s="959"/>
      <c r="D593" s="689"/>
      <c r="E593" s="865" t="s">
        <v>1974</v>
      </c>
      <c r="F593" s="960"/>
      <c r="G593" s="960"/>
      <c r="H593" s="960"/>
      <c r="I593" s="960"/>
      <c r="J593" s="960"/>
      <c r="K593" s="960"/>
      <c r="L593" s="960"/>
      <c r="M593" s="960"/>
      <c r="N593" s="960"/>
      <c r="O593" s="960"/>
      <c r="P593" s="960"/>
      <c r="Q593" s="960"/>
      <c r="R593" s="960"/>
      <c r="S593" s="960"/>
      <c r="T593" s="960"/>
      <c r="U593" s="960"/>
      <c r="V593" s="960"/>
      <c r="W593" s="960"/>
      <c r="X593" s="960"/>
      <c r="Y593" s="960"/>
      <c r="Z593" s="960"/>
      <c r="AA593" s="960"/>
      <c r="AB593" s="960"/>
      <c r="AC593" s="562"/>
      <c r="AD593" s="562"/>
      <c r="AE593" s="620"/>
      <c r="AF593" s="562"/>
      <c r="AG593" s="562"/>
      <c r="AH593" s="562"/>
      <c r="AI593" s="562"/>
      <c r="AJ593" s="562"/>
      <c r="AK593" s="562"/>
      <c r="AL593" s="562"/>
      <c r="AN593" s="623"/>
    </row>
    <row r="594" spans="2:47" s="576" customFormat="1" ht="12.75" customHeight="1">
      <c r="B594" s="562"/>
      <c r="C594" s="961"/>
      <c r="D594" s="562"/>
      <c r="E594" s="642"/>
      <c r="F594" s="964"/>
      <c r="G594" s="964"/>
      <c r="H594" s="964"/>
      <c r="I594" s="964"/>
      <c r="J594" s="964"/>
      <c r="K594" s="964"/>
      <c r="L594" s="964"/>
      <c r="M594" s="964"/>
      <c r="N594" s="964"/>
      <c r="O594" s="964"/>
      <c r="P594" s="964"/>
      <c r="Q594" s="964"/>
      <c r="R594" s="964"/>
      <c r="S594" s="964"/>
      <c r="T594" s="964"/>
      <c r="U594" s="964"/>
      <c r="V594" s="964"/>
      <c r="W594" s="964"/>
      <c r="X594" s="964"/>
      <c r="Y594" s="964"/>
      <c r="Z594" s="964"/>
      <c r="AA594" s="964"/>
      <c r="AB594" s="964"/>
      <c r="AC594" s="562"/>
      <c r="AD594" s="562"/>
      <c r="AE594" s="562"/>
      <c r="AF594" s="562"/>
      <c r="AG594" s="562"/>
      <c r="AH594" s="562"/>
      <c r="AI594" s="562"/>
      <c r="AJ594" s="562"/>
      <c r="AK594" s="562"/>
      <c r="AL594" s="562"/>
      <c r="AN594" s="623"/>
      <c r="AO594" s="576" t="s">
        <v>601</v>
      </c>
      <c r="AP594" s="699">
        <v>0</v>
      </c>
      <c r="AT594" s="576" t="s">
        <v>601</v>
      </c>
      <c r="AU594" s="699">
        <v>0</v>
      </c>
    </row>
    <row r="595" spans="2:47" s="576" customFormat="1" ht="12.75" customHeight="1">
      <c r="B595" s="562"/>
      <c r="C595" s="961"/>
      <c r="D595" s="562" t="s">
        <v>1573</v>
      </c>
      <c r="E595" s="964"/>
      <c r="F595" s="964"/>
      <c r="G595" s="964"/>
      <c r="H595" s="2036" t="s">
        <v>698</v>
      </c>
      <c r="I595" s="2036"/>
      <c r="J595" s="964"/>
      <c r="K595" s="964"/>
      <c r="L595" s="964"/>
      <c r="M595" s="964"/>
      <c r="N595" s="562"/>
      <c r="O595" s="562"/>
      <c r="P595" s="562"/>
      <c r="Q595" s="562"/>
      <c r="R595" s="562"/>
      <c r="S595" s="562"/>
      <c r="T595" s="562"/>
      <c r="U595" s="562"/>
      <c r="V595" s="562"/>
      <c r="W595" s="562"/>
      <c r="X595" s="562"/>
      <c r="Y595" s="562"/>
      <c r="Z595" s="562"/>
      <c r="AA595" s="562"/>
      <c r="AB595" s="562"/>
      <c r="AC595" s="562"/>
      <c r="AD595" s="562"/>
      <c r="AE595" s="562"/>
      <c r="AF595" s="562"/>
      <c r="AG595" s="562"/>
      <c r="AH595" s="562"/>
      <c r="AI595" s="562"/>
      <c r="AJ595" s="562"/>
      <c r="AK595" s="562"/>
      <c r="AL595" s="562"/>
      <c r="AN595" s="623"/>
      <c r="AO595" s="637" t="s">
        <v>698</v>
      </c>
      <c r="AP595" s="576">
        <v>3</v>
      </c>
      <c r="AT595" s="637" t="s">
        <v>698</v>
      </c>
      <c r="AU595" s="576">
        <v>3</v>
      </c>
    </row>
    <row r="596" spans="2:47" s="576" customFormat="1" ht="12.75" customHeight="1">
      <c r="B596" s="562"/>
      <c r="C596" s="961"/>
      <c r="D596" s="562"/>
      <c r="E596" s="964"/>
      <c r="F596" s="964"/>
      <c r="G596" s="964"/>
      <c r="H596" s="964"/>
      <c r="I596" s="964"/>
      <c r="J596" s="964"/>
      <c r="K596" s="964"/>
      <c r="L596" s="964"/>
      <c r="M596" s="964"/>
      <c r="N596" s="562"/>
      <c r="O596" s="562"/>
      <c r="P596" s="562"/>
      <c r="Q596" s="562"/>
      <c r="R596" s="562"/>
      <c r="S596" s="562"/>
      <c r="T596" s="562"/>
      <c r="U596" s="562"/>
      <c r="V596" s="562"/>
      <c r="W596" s="562"/>
      <c r="X596" s="562"/>
      <c r="Y596" s="562"/>
      <c r="Z596" s="562"/>
      <c r="AA596" s="562"/>
      <c r="AB596" s="562"/>
      <c r="AC596" s="562"/>
      <c r="AD596" s="562"/>
      <c r="AE596" s="562"/>
      <c r="AF596" s="562"/>
      <c r="AG596" s="562"/>
      <c r="AH596" s="562"/>
      <c r="AI596" s="562"/>
      <c r="AJ596" s="562"/>
      <c r="AK596" s="562"/>
      <c r="AL596" s="562"/>
      <c r="AN596" s="623"/>
      <c r="AO596" s="637" t="s">
        <v>519</v>
      </c>
      <c r="AP596" s="576">
        <v>2</v>
      </c>
      <c r="AT596" s="637" t="s">
        <v>519</v>
      </c>
      <c r="AU596" s="576">
        <v>2</v>
      </c>
    </row>
    <row r="597" spans="2:47" s="576" customFormat="1" ht="12.75" customHeight="1">
      <c r="B597" s="562"/>
      <c r="C597" s="961"/>
      <c r="D597" s="562"/>
      <c r="E597" s="964"/>
      <c r="F597" s="964"/>
      <c r="G597" s="964"/>
      <c r="H597" s="964"/>
      <c r="I597" s="964"/>
      <c r="J597" s="964"/>
      <c r="K597" s="964"/>
      <c r="L597" s="964"/>
      <c r="M597" s="964"/>
      <c r="N597" s="562"/>
      <c r="O597" s="562"/>
      <c r="P597" s="562"/>
      <c r="Q597" s="562"/>
      <c r="R597" s="562"/>
      <c r="S597" s="562"/>
      <c r="T597" s="562"/>
      <c r="U597" s="562"/>
      <c r="V597" s="562"/>
      <c r="W597" s="562"/>
      <c r="X597" s="562"/>
      <c r="Y597" s="562"/>
      <c r="Z597" s="562"/>
      <c r="AA597" s="562"/>
      <c r="AB597" s="562"/>
      <c r="AC597" s="562"/>
      <c r="AD597" s="562"/>
      <c r="AE597" s="562"/>
      <c r="AF597" s="562"/>
      <c r="AG597" s="562"/>
      <c r="AH597" s="562"/>
      <c r="AI597" s="562"/>
      <c r="AJ597" s="562"/>
      <c r="AK597" s="562"/>
      <c r="AL597" s="562"/>
      <c r="AN597" s="623"/>
      <c r="AO597" s="637"/>
      <c r="AT597" s="637"/>
    </row>
    <row r="598" spans="2:47" s="576" customFormat="1" ht="12.75" customHeight="1">
      <c r="B598" s="562"/>
      <c r="C598" s="961"/>
      <c r="D598" s="562" t="s">
        <v>1976</v>
      </c>
      <c r="E598" s="964"/>
      <c r="F598" s="964"/>
      <c r="G598" s="964"/>
      <c r="H598" s="964"/>
      <c r="I598" s="964"/>
      <c r="J598" s="964"/>
      <c r="K598" s="964"/>
      <c r="L598" s="964"/>
      <c r="M598" s="964"/>
      <c r="N598" s="562"/>
      <c r="O598" s="562"/>
      <c r="P598" s="562"/>
      <c r="Q598" s="562"/>
      <c r="R598" s="562"/>
      <c r="S598" s="562"/>
      <c r="T598" s="562"/>
      <c r="U598" s="562"/>
      <c r="V598" s="562"/>
      <c r="W598" s="562"/>
      <c r="X598" s="562"/>
      <c r="Y598" s="562"/>
      <c r="Z598" s="562"/>
      <c r="AA598" s="562"/>
      <c r="AB598" s="562"/>
      <c r="AC598" s="562"/>
      <c r="AD598" s="562"/>
      <c r="AE598" s="562"/>
      <c r="AF598" s="562"/>
      <c r="AG598" s="562"/>
      <c r="AH598" s="562"/>
      <c r="AI598" s="562"/>
      <c r="AJ598" s="562"/>
      <c r="AK598" s="562"/>
      <c r="AL598" s="562"/>
      <c r="AN598" s="623"/>
    </row>
    <row r="599" spans="2:47" s="576" customFormat="1" ht="12.75" customHeight="1">
      <c r="B599" s="562"/>
      <c r="C599" s="961"/>
      <c r="D599" s="562" t="s">
        <v>1977</v>
      </c>
      <c r="E599" s="964"/>
      <c r="F599" s="964"/>
      <c r="G599" s="964"/>
      <c r="H599" s="964"/>
      <c r="I599" s="964"/>
      <c r="J599" s="964"/>
      <c r="K599" s="964"/>
      <c r="L599" s="964"/>
      <c r="M599" s="964"/>
      <c r="N599" s="562"/>
      <c r="O599" s="562"/>
      <c r="P599" s="562"/>
      <c r="Q599" s="562"/>
      <c r="R599" s="562"/>
      <c r="S599" s="562"/>
      <c r="T599" s="562"/>
      <c r="U599" s="562"/>
      <c r="V599" s="562"/>
      <c r="W599" s="562"/>
      <c r="X599" s="562"/>
      <c r="Y599" s="562"/>
      <c r="Z599" s="562"/>
      <c r="AA599" s="562"/>
      <c r="AB599" s="562"/>
      <c r="AC599" s="562"/>
      <c r="AD599" s="562"/>
      <c r="AE599" s="562"/>
      <c r="AF599" s="562"/>
      <c r="AG599" s="562"/>
      <c r="AH599" s="562"/>
      <c r="AI599" s="562"/>
      <c r="AJ599" s="562"/>
      <c r="AK599" s="562"/>
      <c r="AL599" s="562"/>
      <c r="AN599" s="623"/>
    </row>
    <row r="600" spans="2:47" s="576" customFormat="1" ht="12.75" customHeight="1">
      <c r="B600" s="562"/>
      <c r="C600" s="961"/>
      <c r="D600" s="562" t="s">
        <v>1978</v>
      </c>
      <c r="E600" s="964"/>
      <c r="F600" s="964"/>
      <c r="G600" s="964"/>
      <c r="H600" s="964"/>
      <c r="I600" s="964"/>
      <c r="J600" s="964"/>
      <c r="K600" s="964"/>
      <c r="L600" s="964"/>
      <c r="M600" s="964"/>
      <c r="N600" s="562"/>
      <c r="O600" s="562"/>
      <c r="P600" s="562"/>
      <c r="Q600" s="562"/>
      <c r="R600" s="562"/>
      <c r="S600" s="562"/>
      <c r="T600" s="562"/>
      <c r="U600" s="562"/>
      <c r="V600" s="562"/>
      <c r="W600" s="562"/>
      <c r="X600" s="562"/>
      <c r="Y600" s="562"/>
      <c r="Z600" s="562"/>
      <c r="AA600" s="562"/>
      <c r="AB600" s="562"/>
      <c r="AC600" s="562"/>
      <c r="AD600" s="562"/>
      <c r="AE600" s="562"/>
      <c r="AF600" s="562"/>
      <c r="AG600" s="562"/>
      <c r="AH600" s="562"/>
      <c r="AI600" s="562"/>
      <c r="AJ600" s="562"/>
      <c r="AK600" s="562"/>
      <c r="AL600" s="562"/>
      <c r="AN600" s="623"/>
    </row>
    <row r="601" spans="2:47" s="576" customFormat="1" ht="12.75" customHeight="1">
      <c r="B601" s="562"/>
      <c r="C601" s="961"/>
      <c r="D601" s="631" t="s">
        <v>1979</v>
      </c>
      <c r="E601" s="964"/>
      <c r="F601" s="964"/>
      <c r="G601" s="964"/>
      <c r="H601" s="964"/>
      <c r="I601" s="964"/>
      <c r="J601" s="964"/>
      <c r="K601" s="964"/>
      <c r="L601" s="964"/>
      <c r="M601" s="964"/>
      <c r="N601" s="562"/>
      <c r="O601" s="562"/>
      <c r="P601" s="562"/>
      <c r="Q601" s="562"/>
      <c r="R601" s="562"/>
      <c r="S601" s="562"/>
      <c r="T601" s="562"/>
      <c r="U601" s="562"/>
      <c r="V601" s="562"/>
      <c r="W601" s="562"/>
      <c r="X601" s="562"/>
      <c r="Y601" s="562"/>
      <c r="Z601" s="562"/>
      <c r="AA601" s="562"/>
      <c r="AB601" s="562"/>
      <c r="AC601" s="562"/>
      <c r="AD601" s="562"/>
      <c r="AE601" s="562"/>
      <c r="AF601" s="562"/>
      <c r="AG601" s="562"/>
      <c r="AH601" s="562"/>
      <c r="AI601" s="562"/>
      <c r="AJ601" s="562"/>
      <c r="AK601" s="562"/>
      <c r="AL601" s="562"/>
      <c r="AN601" s="623"/>
    </row>
    <row r="602" spans="2:47" s="576" customFormat="1" ht="12.75" customHeight="1">
      <c r="B602" s="562"/>
      <c r="C602" s="961"/>
      <c r="D602" s="562"/>
      <c r="E602" s="562"/>
      <c r="F602" s="562"/>
      <c r="G602" s="562"/>
      <c r="H602" s="562"/>
      <c r="I602" s="562"/>
      <c r="J602" s="562"/>
      <c r="K602" s="562"/>
      <c r="L602" s="562"/>
      <c r="M602" s="562"/>
      <c r="N602" s="562"/>
      <c r="O602" s="562"/>
      <c r="P602" s="562"/>
      <c r="Q602" s="562"/>
      <c r="R602" s="562"/>
      <c r="S602" s="562"/>
      <c r="T602" s="562"/>
      <c r="U602" s="562"/>
      <c r="V602" s="562"/>
      <c r="W602" s="562"/>
      <c r="X602" s="562"/>
      <c r="Y602" s="562"/>
      <c r="Z602" s="562"/>
      <c r="AA602" s="562"/>
      <c r="AB602" s="562"/>
      <c r="AC602" s="562"/>
      <c r="AD602" s="562"/>
      <c r="AE602" s="562"/>
      <c r="AF602" s="562"/>
      <c r="AG602" s="562"/>
      <c r="AH602" s="562"/>
      <c r="AI602" s="562"/>
      <c r="AJ602" s="562"/>
      <c r="AK602" s="562"/>
      <c r="AL602" s="562"/>
      <c r="AN602" s="623"/>
      <c r="AO602" s="576" t="s">
        <v>601</v>
      </c>
      <c r="AP602" s="699">
        <v>0</v>
      </c>
    </row>
    <row r="603" spans="2:47" s="576" customFormat="1" ht="12.75" customHeight="1">
      <c r="B603" s="562"/>
      <c r="C603" s="961"/>
      <c r="D603" s="562"/>
      <c r="E603" s="562" t="s">
        <v>1573</v>
      </c>
      <c r="F603" s="964"/>
      <c r="G603" s="964"/>
      <c r="I603" s="2037" t="s">
        <v>601</v>
      </c>
      <c r="J603" s="2037"/>
      <c r="K603" s="2037"/>
      <c r="L603" s="2037"/>
      <c r="M603" s="2037"/>
      <c r="N603" s="2037"/>
      <c r="O603" s="2037"/>
      <c r="P603" s="2037"/>
      <c r="Q603" s="2037"/>
      <c r="R603" s="2037"/>
      <c r="S603" s="2037"/>
      <c r="T603" s="2037"/>
      <c r="U603" s="2037"/>
      <c r="V603" s="2037"/>
      <c r="W603" s="2037"/>
      <c r="X603" s="2037"/>
      <c r="Y603" s="2037"/>
      <c r="Z603" s="2037"/>
      <c r="AA603" s="2037"/>
      <c r="AB603" s="2037"/>
      <c r="AC603" s="2037"/>
      <c r="AD603" s="2037"/>
      <c r="AE603" s="2037"/>
      <c r="AF603" s="562"/>
      <c r="AG603" s="562"/>
      <c r="AH603" s="562"/>
      <c r="AI603" s="562"/>
      <c r="AJ603" s="562"/>
      <c r="AK603" s="562"/>
      <c r="AL603" s="562"/>
      <c r="AN603" s="623"/>
      <c r="AO603" s="576" t="s">
        <v>1574</v>
      </c>
      <c r="AP603" s="576">
        <v>3</v>
      </c>
    </row>
    <row r="604" spans="2:47" s="576" customFormat="1" ht="12.75" customHeight="1">
      <c r="B604" s="562"/>
      <c r="C604" s="562"/>
      <c r="D604" s="562"/>
      <c r="E604" s="562"/>
      <c r="F604" s="668"/>
      <c r="G604" s="668"/>
      <c r="H604" s="668"/>
      <c r="I604" s="668"/>
      <c r="J604" s="668"/>
      <c r="K604" s="668"/>
      <c r="L604" s="668"/>
      <c r="M604" s="668"/>
      <c r="N604" s="668"/>
      <c r="O604" s="668"/>
      <c r="P604" s="668"/>
      <c r="Q604" s="668"/>
      <c r="R604" s="668"/>
      <c r="S604" s="668"/>
      <c r="T604" s="668"/>
      <c r="U604" s="668"/>
      <c r="V604" s="668"/>
      <c r="W604" s="668"/>
      <c r="X604" s="668"/>
      <c r="Y604" s="668"/>
      <c r="Z604" s="668"/>
      <c r="AA604" s="668"/>
      <c r="AB604" s="668"/>
      <c r="AC604" s="668"/>
      <c r="AD604" s="668"/>
      <c r="AE604" s="668"/>
      <c r="AF604" s="668"/>
      <c r="AG604" s="668"/>
      <c r="AH604" s="668"/>
      <c r="AI604" s="668"/>
      <c r="AJ604" s="668"/>
      <c r="AK604" s="668"/>
      <c r="AL604" s="668"/>
      <c r="AN604" s="623"/>
      <c r="AO604" s="576" t="s">
        <v>1575</v>
      </c>
      <c r="AP604" s="576">
        <v>2</v>
      </c>
    </row>
    <row r="605" spans="2:47" s="576" customFormat="1" ht="12.75" customHeight="1">
      <c r="B605" s="1981" t="s">
        <v>601</v>
      </c>
      <c r="C605" s="1981"/>
      <c r="D605" s="668"/>
      <c r="E605" s="2007" t="s">
        <v>1576</v>
      </c>
      <c r="F605" s="2007"/>
      <c r="G605" s="2007"/>
      <c r="H605" s="2007"/>
      <c r="I605" s="2007"/>
      <c r="J605" s="2007"/>
      <c r="K605" s="2007"/>
      <c r="L605" s="2007"/>
      <c r="M605" s="2007"/>
      <c r="N605" s="2007"/>
      <c r="O605" s="2007"/>
      <c r="P605" s="2007"/>
      <c r="Q605" s="2007"/>
      <c r="R605" s="2007"/>
      <c r="S605" s="2007"/>
      <c r="T605" s="2007"/>
      <c r="U605" s="2007"/>
      <c r="V605" s="2007"/>
      <c r="W605" s="2007"/>
      <c r="X605" s="2007"/>
      <c r="Y605" s="2007"/>
      <c r="Z605" s="2007"/>
      <c r="AA605" s="2007"/>
      <c r="AB605" s="2007"/>
      <c r="AC605" s="2007"/>
      <c r="AD605" s="2007"/>
      <c r="AE605" s="2007"/>
      <c r="AF605" s="2007"/>
      <c r="AG605" s="2007"/>
      <c r="AH605" s="668"/>
      <c r="AI605" s="668"/>
      <c r="AJ605" s="668"/>
      <c r="AK605" s="668"/>
      <c r="AL605" s="668"/>
      <c r="AN605" s="623"/>
    </row>
    <row r="606" spans="2:47" s="576" customFormat="1" ht="12.75" customHeight="1">
      <c r="B606" s="562"/>
      <c r="C606" s="961"/>
      <c r="D606" s="668"/>
      <c r="E606" s="2007"/>
      <c r="F606" s="2007"/>
      <c r="G606" s="2007"/>
      <c r="H606" s="2007"/>
      <c r="I606" s="2007"/>
      <c r="J606" s="2007"/>
      <c r="K606" s="2007"/>
      <c r="L606" s="2007"/>
      <c r="M606" s="2007"/>
      <c r="N606" s="2007"/>
      <c r="O606" s="2007"/>
      <c r="P606" s="2007"/>
      <c r="Q606" s="2007"/>
      <c r="R606" s="2007"/>
      <c r="S606" s="2007"/>
      <c r="T606" s="2007"/>
      <c r="U606" s="2007"/>
      <c r="V606" s="2007"/>
      <c r="W606" s="2007"/>
      <c r="X606" s="2007"/>
      <c r="Y606" s="2007"/>
      <c r="Z606" s="2007"/>
      <c r="AA606" s="2007"/>
      <c r="AB606" s="2007"/>
      <c r="AC606" s="2007"/>
      <c r="AD606" s="2007"/>
      <c r="AE606" s="2007"/>
      <c r="AF606" s="2007"/>
      <c r="AG606" s="2007"/>
      <c r="AH606" s="668"/>
      <c r="AI606" s="668"/>
      <c r="AJ606" s="668"/>
      <c r="AK606" s="668"/>
      <c r="AL606" s="668"/>
      <c r="AN606" s="623"/>
    </row>
    <row r="607" spans="2:47" s="576" customFormat="1" ht="12.75" customHeight="1">
      <c r="B607" s="562"/>
      <c r="C607" s="961"/>
      <c r="D607" s="668"/>
      <c r="E607" s="2007"/>
      <c r="F607" s="2007"/>
      <c r="G607" s="2007"/>
      <c r="H607" s="2007"/>
      <c r="I607" s="2007"/>
      <c r="J607" s="2007"/>
      <c r="K607" s="2007"/>
      <c r="L607" s="2007"/>
      <c r="M607" s="2007"/>
      <c r="N607" s="2007"/>
      <c r="O607" s="2007"/>
      <c r="P607" s="2007"/>
      <c r="Q607" s="2007"/>
      <c r="R607" s="2007"/>
      <c r="S607" s="2007"/>
      <c r="T607" s="2007"/>
      <c r="U607" s="2007"/>
      <c r="V607" s="2007"/>
      <c r="W607" s="2007"/>
      <c r="X607" s="2007"/>
      <c r="Y607" s="2007"/>
      <c r="Z607" s="2007"/>
      <c r="AA607" s="2007"/>
      <c r="AB607" s="2007"/>
      <c r="AC607" s="2007"/>
      <c r="AD607" s="2007"/>
      <c r="AE607" s="2007"/>
      <c r="AF607" s="2007"/>
      <c r="AG607" s="2007"/>
      <c r="AH607" s="668"/>
      <c r="AI607" s="668"/>
      <c r="AJ607" s="668"/>
      <c r="AK607" s="668"/>
      <c r="AL607" s="668"/>
      <c r="AN607" s="623"/>
    </row>
    <row r="608" spans="2:47" s="576" customFormat="1" ht="12.75" customHeight="1">
      <c r="B608" s="562"/>
      <c r="C608" s="961"/>
      <c r="D608" s="668"/>
      <c r="E608" s="2007"/>
      <c r="F608" s="2007"/>
      <c r="G608" s="2007"/>
      <c r="H608" s="2007"/>
      <c r="I608" s="2007"/>
      <c r="J608" s="2007"/>
      <c r="K608" s="2007"/>
      <c r="L608" s="2007"/>
      <c r="M608" s="2007"/>
      <c r="N608" s="2007"/>
      <c r="O608" s="2007"/>
      <c r="P608" s="2007"/>
      <c r="Q608" s="2007"/>
      <c r="R608" s="2007"/>
      <c r="S608" s="2007"/>
      <c r="T608" s="2007"/>
      <c r="U608" s="2007"/>
      <c r="V608" s="2007"/>
      <c r="W608" s="2007"/>
      <c r="X608" s="2007"/>
      <c r="Y608" s="2007"/>
      <c r="Z608" s="2007"/>
      <c r="AA608" s="2007"/>
      <c r="AB608" s="2007"/>
      <c r="AC608" s="2007"/>
      <c r="AD608" s="2007"/>
      <c r="AE608" s="2007"/>
      <c r="AF608" s="2007"/>
      <c r="AG608" s="2007"/>
      <c r="AH608" s="668"/>
      <c r="AI608" s="668"/>
      <c r="AJ608" s="668"/>
      <c r="AK608" s="668"/>
      <c r="AL608" s="668"/>
      <c r="AN608" s="623"/>
    </row>
    <row r="609" spans="1:42" s="576" customFormat="1" ht="12.75" customHeight="1">
      <c r="B609" s="562"/>
      <c r="C609" s="961"/>
      <c r="D609" s="965"/>
      <c r="E609" s="985"/>
      <c r="F609" s="985"/>
      <c r="G609" s="985"/>
      <c r="H609" s="985"/>
      <c r="I609" s="985"/>
      <c r="J609" s="985"/>
      <c r="K609" s="985"/>
      <c r="L609" s="985"/>
      <c r="M609" s="985"/>
      <c r="N609" s="985"/>
      <c r="O609" s="985"/>
      <c r="P609" s="985"/>
      <c r="Q609" s="985"/>
      <c r="R609" s="985"/>
      <c r="S609" s="985"/>
      <c r="T609" s="985"/>
      <c r="U609" s="985"/>
      <c r="V609" s="985"/>
      <c r="W609" s="985"/>
      <c r="X609" s="985"/>
      <c r="Y609" s="985"/>
      <c r="Z609" s="985"/>
      <c r="AA609" s="985"/>
      <c r="AB609" s="985"/>
      <c r="AC609" s="985"/>
      <c r="AD609" s="985"/>
      <c r="AE609" s="985"/>
      <c r="AF609" s="985"/>
      <c r="AG609" s="985"/>
      <c r="AH609" s="965"/>
      <c r="AI609" s="965"/>
      <c r="AJ609" s="965"/>
      <c r="AK609" s="965"/>
      <c r="AL609" s="668"/>
      <c r="AN609" s="623"/>
    </row>
    <row r="610" spans="1:42" s="576" customFormat="1" ht="12.75" customHeight="1">
      <c r="A610" s="632"/>
      <c r="B610" s="627"/>
      <c r="C610" s="966"/>
      <c r="D610" s="627"/>
      <c r="E610" s="967"/>
      <c r="F610" s="967"/>
      <c r="G610" s="967"/>
      <c r="H610" s="967"/>
      <c r="I610" s="967"/>
      <c r="J610" s="967"/>
      <c r="K610" s="967"/>
      <c r="L610" s="967"/>
      <c r="M610" s="967"/>
      <c r="N610" s="967"/>
      <c r="O610" s="967"/>
      <c r="P610" s="967"/>
      <c r="Q610" s="967"/>
      <c r="R610" s="967"/>
      <c r="S610" s="967"/>
      <c r="T610" s="967"/>
      <c r="U610" s="967"/>
      <c r="V610" s="967"/>
      <c r="W610" s="967"/>
      <c r="X610" s="967"/>
      <c r="Y610" s="967"/>
      <c r="Z610" s="967"/>
      <c r="AA610" s="967"/>
      <c r="AB610" s="627"/>
      <c r="AC610" s="627"/>
      <c r="AD610" s="627"/>
      <c r="AE610" s="627"/>
      <c r="AF610" s="627"/>
      <c r="AG610" s="627"/>
      <c r="AH610" s="627"/>
      <c r="AI610" s="591" t="s">
        <v>1577</v>
      </c>
      <c r="AJ610" s="1987">
        <f>VLOOKUP($H$595,$AO$575:$AP$580,2,FALSE)+VLOOKUP($I$603,$AO$602:$AP$604,2,FALSE)</f>
        <v>7</v>
      </c>
      <c r="AK610" s="1989"/>
      <c r="AL610" s="621"/>
      <c r="AM610" s="701"/>
      <c r="AN610" s="623"/>
    </row>
    <row r="611" spans="1:42" s="576" customFormat="1" ht="12.75" customHeight="1">
      <c r="B611" s="562"/>
      <c r="C611" s="961"/>
      <c r="D611" s="562"/>
      <c r="E611" s="964"/>
      <c r="F611" s="964"/>
      <c r="G611" s="964"/>
      <c r="H611" s="964"/>
      <c r="I611" s="964"/>
      <c r="J611" s="964"/>
      <c r="K611" s="964"/>
      <c r="L611" s="964"/>
      <c r="M611" s="964"/>
      <c r="N611" s="964"/>
      <c r="O611" s="964"/>
      <c r="P611" s="964"/>
      <c r="Q611" s="964"/>
      <c r="R611" s="964"/>
      <c r="S611" s="964"/>
      <c r="T611" s="964"/>
      <c r="U611" s="964"/>
      <c r="V611" s="964"/>
      <c r="W611" s="964"/>
      <c r="X611" s="964"/>
      <c r="Y611" s="964"/>
      <c r="Z611" s="964"/>
      <c r="AA611" s="964"/>
      <c r="AB611" s="964"/>
      <c r="AC611" s="562"/>
      <c r="AD611" s="562"/>
      <c r="AE611" s="964"/>
      <c r="AF611" s="964"/>
      <c r="AG611" s="964"/>
      <c r="AH611" s="964"/>
      <c r="AI611" s="964"/>
      <c r="AJ611" s="964"/>
      <c r="AK611" s="964"/>
      <c r="AL611" s="964"/>
      <c r="AM611" s="701"/>
      <c r="AN611" s="623"/>
    </row>
    <row r="612" spans="1:42" s="576" customFormat="1" ht="12.75" customHeight="1">
      <c r="B612" s="562"/>
      <c r="C612" s="565" t="s">
        <v>1578</v>
      </c>
      <c r="D612" s="565"/>
      <c r="E612" s="964"/>
      <c r="F612" s="964"/>
      <c r="G612" s="964"/>
      <c r="H612" s="964"/>
      <c r="I612" s="964"/>
      <c r="J612" s="964"/>
      <c r="K612" s="964"/>
      <c r="L612" s="964"/>
      <c r="M612" s="964"/>
      <c r="N612" s="964"/>
      <c r="O612" s="964"/>
      <c r="P612" s="964"/>
      <c r="Q612" s="964"/>
      <c r="R612" s="964"/>
      <c r="S612" s="964"/>
      <c r="T612" s="964"/>
      <c r="U612" s="964"/>
      <c r="V612" s="964"/>
      <c r="W612" s="964"/>
      <c r="X612" s="964"/>
      <c r="Y612" s="964"/>
      <c r="Z612" s="964"/>
      <c r="AA612" s="964"/>
      <c r="AB612" s="964"/>
      <c r="AC612" s="562"/>
      <c r="AD612" s="562"/>
      <c r="AE612" s="562"/>
      <c r="AF612" s="562"/>
      <c r="AG612" s="562"/>
      <c r="AH612" s="562"/>
      <c r="AI612" s="562"/>
      <c r="AJ612" s="562"/>
      <c r="AK612" s="562"/>
      <c r="AL612" s="562"/>
      <c r="AN612" s="623"/>
    </row>
    <row r="613" spans="1:42" s="576" customFormat="1" ht="12.75" customHeight="1">
      <c r="B613" s="636"/>
      <c r="C613" s="562"/>
      <c r="D613" s="963"/>
      <c r="E613" s="964"/>
      <c r="F613" s="964"/>
      <c r="G613" s="964"/>
      <c r="H613" s="964"/>
      <c r="I613" s="964"/>
      <c r="J613" s="964"/>
      <c r="K613" s="964"/>
      <c r="L613" s="964"/>
      <c r="M613" s="964"/>
      <c r="N613" s="964"/>
      <c r="O613" s="964"/>
      <c r="P613" s="964"/>
      <c r="Q613" s="964"/>
      <c r="R613" s="964"/>
      <c r="S613" s="964"/>
      <c r="T613" s="964"/>
      <c r="U613" s="964"/>
      <c r="V613" s="964"/>
      <c r="W613" s="964"/>
      <c r="X613" s="964"/>
      <c r="Y613" s="964"/>
      <c r="Z613" s="964"/>
      <c r="AA613" s="964"/>
      <c r="AB613" s="964"/>
      <c r="AC613" s="562"/>
      <c r="AD613" s="562"/>
      <c r="AE613" s="562"/>
      <c r="AF613" s="562"/>
      <c r="AG613" s="562"/>
      <c r="AH613" s="562"/>
      <c r="AI613" s="562"/>
      <c r="AJ613" s="562"/>
      <c r="AK613" s="562"/>
      <c r="AL613" s="562"/>
      <c r="AN613" s="623"/>
    </row>
    <row r="614" spans="1:42" s="622" customFormat="1" ht="12.75" customHeight="1">
      <c r="A614" s="576"/>
      <c r="B614" s="562"/>
      <c r="C614" s="562"/>
      <c r="D614" s="689" t="s">
        <v>698</v>
      </c>
      <c r="E614" s="2035" t="s">
        <v>1955</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65"/>
      <c r="AF614" s="1954" t="s">
        <v>1525</v>
      </c>
      <c r="AG614" s="1954"/>
      <c r="AH614" s="1954"/>
      <c r="AI614" s="1954"/>
      <c r="AJ614" s="1954"/>
      <c r="AK614" s="1954"/>
      <c r="AL614" s="1954"/>
      <c r="AM614" s="576"/>
      <c r="AN614" s="704"/>
    </row>
    <row r="615" spans="1:42" s="576" customFormat="1" ht="12.75" customHeight="1">
      <c r="A615" s="705"/>
      <c r="B615" s="562"/>
      <c r="C615" s="961"/>
      <c r="D615" s="689"/>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62"/>
      <c r="AF615" s="562"/>
      <c r="AG615" s="562"/>
      <c r="AH615" s="562"/>
      <c r="AI615" s="562"/>
      <c r="AJ615" s="562"/>
      <c r="AK615" s="562"/>
      <c r="AL615" s="562"/>
      <c r="AN615" s="623"/>
    </row>
    <row r="616" spans="1:42" s="576" customFormat="1" ht="12.75" customHeight="1">
      <c r="B616" s="562"/>
      <c r="C616" s="959"/>
      <c r="D616" s="689"/>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62"/>
      <c r="AF616" s="562"/>
      <c r="AG616" s="562"/>
      <c r="AH616" s="562"/>
      <c r="AI616" s="562"/>
      <c r="AJ616" s="562"/>
      <c r="AK616" s="562"/>
      <c r="AL616" s="562"/>
      <c r="AN616" s="623"/>
    </row>
    <row r="617" spans="1:42" s="576" customFormat="1" ht="12.75" customHeight="1">
      <c r="B617" s="562"/>
      <c r="C617" s="959"/>
      <c r="D617" s="689"/>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62"/>
      <c r="AF617" s="562"/>
      <c r="AG617" s="562"/>
      <c r="AH617" s="562"/>
      <c r="AI617" s="562"/>
      <c r="AJ617" s="562"/>
      <c r="AK617" s="562"/>
      <c r="AL617" s="562"/>
      <c r="AN617" s="623"/>
    </row>
    <row r="618" spans="1:42" s="576" customFormat="1" ht="12.75" customHeight="1">
      <c r="B618" s="562"/>
      <c r="C618" s="959"/>
      <c r="D618" s="689"/>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62"/>
      <c r="AF618" s="562"/>
      <c r="AG618" s="562"/>
      <c r="AH618" s="562"/>
      <c r="AI618" s="562"/>
      <c r="AJ618" s="562"/>
      <c r="AK618" s="562"/>
      <c r="AL618" s="562"/>
      <c r="AN618" s="623"/>
    </row>
    <row r="619" spans="1:42" s="576" customFormat="1" ht="12.75" customHeight="1">
      <c r="B619" s="562"/>
      <c r="C619" s="959"/>
      <c r="D619" s="689"/>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62"/>
      <c r="AF619" s="562"/>
      <c r="AG619" s="562"/>
      <c r="AH619" s="562"/>
      <c r="AI619" s="562"/>
      <c r="AJ619" s="562"/>
      <c r="AK619" s="562"/>
      <c r="AL619" s="562"/>
      <c r="AN619" s="623"/>
    </row>
    <row r="620" spans="1:42" s="576" customFormat="1" ht="12.75" customHeight="1">
      <c r="A620" s="663"/>
      <c r="B620" s="642"/>
      <c r="C620" s="968"/>
      <c r="D620" s="689"/>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42"/>
      <c r="AF620" s="642"/>
      <c r="AG620" s="642"/>
      <c r="AH620" s="642"/>
      <c r="AI620" s="642"/>
      <c r="AJ620" s="642"/>
      <c r="AK620" s="562"/>
      <c r="AL620" s="562"/>
      <c r="AN620" s="623"/>
    </row>
    <row r="621" spans="1:42" s="576" customFormat="1" ht="12.75" customHeight="1">
      <c r="B621" s="642"/>
      <c r="C621" s="968"/>
      <c r="D621" s="689"/>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42"/>
      <c r="AF621" s="642"/>
      <c r="AG621" s="642"/>
      <c r="AH621" s="642"/>
      <c r="AI621" s="642"/>
      <c r="AJ621" s="642"/>
      <c r="AK621" s="562"/>
      <c r="AL621" s="562"/>
      <c r="AN621" s="623"/>
    </row>
    <row r="622" spans="1:42" s="576" customFormat="1" ht="12" customHeight="1">
      <c r="B622" s="642"/>
      <c r="C622" s="968"/>
      <c r="D622" s="689"/>
      <c r="E622" s="984"/>
      <c r="F622" s="984"/>
      <c r="G622" s="984"/>
      <c r="H622" s="984"/>
      <c r="I622" s="984"/>
      <c r="J622" s="984"/>
      <c r="K622" s="984"/>
      <c r="L622" s="984"/>
      <c r="M622" s="984"/>
      <c r="N622" s="984"/>
      <c r="O622" s="984"/>
      <c r="P622" s="984"/>
      <c r="Q622" s="984"/>
      <c r="R622" s="984"/>
      <c r="S622" s="984"/>
      <c r="T622" s="984"/>
      <c r="U622" s="984"/>
      <c r="V622" s="984"/>
      <c r="W622" s="984"/>
      <c r="X622" s="984"/>
      <c r="Y622" s="984"/>
      <c r="Z622" s="984"/>
      <c r="AA622" s="984"/>
      <c r="AB622" s="984"/>
      <c r="AC622" s="984"/>
      <c r="AD622" s="984"/>
      <c r="AE622" s="642"/>
      <c r="AF622" s="642"/>
      <c r="AG622" s="642"/>
      <c r="AH622" s="642"/>
      <c r="AI622" s="642"/>
      <c r="AJ622" s="642"/>
      <c r="AK622" s="562"/>
      <c r="AL622" s="562"/>
      <c r="AN622" s="623"/>
      <c r="AO622" s="576" t="s">
        <v>601</v>
      </c>
      <c r="AP622" s="699">
        <v>0</v>
      </c>
    </row>
    <row r="623" spans="1:42" s="576" customFormat="1" ht="12.75" customHeight="1">
      <c r="B623" s="642"/>
      <c r="C623" s="959"/>
      <c r="D623" s="689"/>
      <c r="E623" s="642" t="s">
        <v>1579</v>
      </c>
      <c r="F623" s="969"/>
      <c r="G623" s="969"/>
      <c r="H623" s="969"/>
      <c r="I623" s="969"/>
      <c r="J623" s="969"/>
      <c r="K623" s="969"/>
      <c r="L623" s="969"/>
      <c r="M623" s="969"/>
      <c r="N623" s="969"/>
      <c r="O623" s="969"/>
      <c r="P623" s="969"/>
      <c r="Q623" s="969"/>
      <c r="R623" s="969"/>
      <c r="U623" s="969"/>
      <c r="V623" s="969"/>
      <c r="W623" s="969"/>
      <c r="X623" s="1981" t="s">
        <v>601</v>
      </c>
      <c r="Y623" s="1981"/>
      <c r="Z623" s="969"/>
      <c r="AA623" s="969"/>
      <c r="AB623" s="969"/>
      <c r="AC623" s="969"/>
      <c r="AD623" s="969"/>
      <c r="AE623" s="562"/>
      <c r="AF623" s="642"/>
      <c r="AG623" s="642"/>
      <c r="AH623" s="642"/>
      <c r="AI623" s="642"/>
      <c r="AJ623" s="642"/>
      <c r="AK623" s="562"/>
      <c r="AL623" s="562"/>
      <c r="AN623" s="623"/>
      <c r="AO623" s="637" t="s">
        <v>698</v>
      </c>
      <c r="AP623" s="576">
        <v>5</v>
      </c>
    </row>
    <row r="624" spans="1:42" s="576" customFormat="1" ht="12.75" customHeight="1">
      <c r="B624" s="642"/>
      <c r="C624" s="968"/>
      <c r="D624" s="562"/>
      <c r="E624" s="562"/>
      <c r="F624" s="562"/>
      <c r="G624" s="562"/>
      <c r="H624" s="562"/>
      <c r="I624" s="562"/>
      <c r="J624" s="562"/>
      <c r="K624" s="562"/>
      <c r="L624" s="562"/>
      <c r="M624" s="562"/>
      <c r="N624" s="562"/>
      <c r="O624" s="562"/>
      <c r="P624" s="562"/>
      <c r="Q624" s="562"/>
      <c r="R624" s="562"/>
      <c r="S624" s="562"/>
      <c r="T624" s="562"/>
      <c r="U624" s="562"/>
      <c r="V624" s="562"/>
      <c r="W624" s="642"/>
      <c r="X624" s="642"/>
      <c r="Y624" s="642"/>
      <c r="Z624" s="642"/>
      <c r="AA624" s="642"/>
      <c r="AB624" s="642"/>
      <c r="AC624" s="562"/>
      <c r="AD624" s="562"/>
      <c r="AE624" s="562"/>
      <c r="AF624" s="562"/>
      <c r="AG624" s="562"/>
      <c r="AH624" s="562"/>
      <c r="AI624" s="562"/>
      <c r="AJ624" s="562"/>
      <c r="AK624" s="562"/>
      <c r="AL624" s="562"/>
      <c r="AN624" s="623"/>
      <c r="AO624" s="637" t="s">
        <v>519</v>
      </c>
      <c r="AP624" s="706">
        <v>4</v>
      </c>
    </row>
    <row r="625" spans="1:42" s="576" customFormat="1" ht="12.75" customHeight="1">
      <c r="B625" s="562"/>
      <c r="C625" s="959"/>
      <c r="D625" s="689" t="s">
        <v>519</v>
      </c>
      <c r="E625" s="581" t="s">
        <v>1580</v>
      </c>
      <c r="F625" s="970"/>
      <c r="G625" s="970"/>
      <c r="H625" s="970"/>
      <c r="I625" s="970"/>
      <c r="J625" s="970"/>
      <c r="K625" s="970"/>
      <c r="L625" s="970"/>
      <c r="M625" s="970"/>
      <c r="N625" s="970"/>
      <c r="O625" s="970"/>
      <c r="P625" s="970"/>
      <c r="Q625" s="970"/>
      <c r="R625" s="970"/>
      <c r="S625" s="970"/>
      <c r="T625" s="970"/>
      <c r="U625" s="562"/>
      <c r="V625" s="562"/>
      <c r="W625" s="970"/>
      <c r="X625" s="970"/>
      <c r="Y625" s="970"/>
      <c r="Z625" s="970"/>
      <c r="AA625" s="970"/>
      <c r="AB625" s="970"/>
      <c r="AC625" s="562"/>
      <c r="AD625" s="562"/>
      <c r="AE625" s="562"/>
      <c r="AF625" s="1954" t="s">
        <v>1581</v>
      </c>
      <c r="AG625" s="1954"/>
      <c r="AH625" s="1954"/>
      <c r="AI625" s="1954"/>
      <c r="AJ625" s="1954"/>
      <c r="AK625" s="1954"/>
      <c r="AL625" s="1954"/>
      <c r="AN625" s="623"/>
      <c r="AO625" s="637" t="s">
        <v>280</v>
      </c>
      <c r="AP625" s="576">
        <v>3</v>
      </c>
    </row>
    <row r="626" spans="1:42" s="576" customFormat="1" ht="12.75" customHeight="1">
      <c r="B626" s="562"/>
      <c r="C626" s="959"/>
      <c r="D626" s="562"/>
      <c r="E626" s="562"/>
      <c r="F626" s="970"/>
      <c r="G626" s="970"/>
      <c r="H626" s="970"/>
      <c r="I626" s="970"/>
      <c r="J626" s="970"/>
      <c r="K626" s="970"/>
      <c r="L626" s="970"/>
      <c r="M626" s="970"/>
      <c r="N626" s="970"/>
      <c r="O626" s="970"/>
      <c r="P626" s="970"/>
      <c r="Q626" s="970"/>
      <c r="R626" s="970"/>
      <c r="S626" s="970"/>
      <c r="T626" s="970"/>
      <c r="U626" s="562"/>
      <c r="V626" s="562"/>
      <c r="W626" s="562"/>
      <c r="X626" s="970"/>
      <c r="Y626" s="970"/>
      <c r="Z626" s="970"/>
      <c r="AA626" s="970"/>
      <c r="AB626" s="970"/>
      <c r="AC626" s="562"/>
      <c r="AD626" s="562"/>
      <c r="AE626" s="562"/>
      <c r="AF626" s="562"/>
      <c r="AG626" s="562"/>
      <c r="AH626" s="562"/>
      <c r="AI626" s="562"/>
      <c r="AJ626" s="562"/>
      <c r="AK626" s="562"/>
      <c r="AL626" s="562"/>
      <c r="AN626" s="623"/>
      <c r="AO626" s="637" t="s">
        <v>1570</v>
      </c>
      <c r="AP626" s="706">
        <v>4</v>
      </c>
    </row>
    <row r="627" spans="1:42" s="576" customFormat="1" ht="12.75" customHeight="1">
      <c r="B627" s="562"/>
      <c r="C627" s="959"/>
      <c r="D627" s="562" t="s">
        <v>1573</v>
      </c>
      <c r="E627" s="964"/>
      <c r="F627" s="964"/>
      <c r="G627" s="964"/>
      <c r="H627" s="2036" t="s">
        <v>698</v>
      </c>
      <c r="I627" s="2036"/>
      <c r="J627" s="970"/>
      <c r="K627" s="970"/>
      <c r="L627" s="970"/>
      <c r="M627" s="970"/>
      <c r="N627" s="970"/>
      <c r="O627" s="970"/>
      <c r="P627" s="970"/>
      <c r="Q627" s="970"/>
      <c r="R627" s="970"/>
      <c r="S627" s="970"/>
      <c r="T627" s="970"/>
      <c r="U627" s="964"/>
      <c r="V627" s="964"/>
      <c r="W627" s="964"/>
      <c r="X627" s="562"/>
      <c r="Y627" s="562"/>
      <c r="Z627" s="562"/>
      <c r="AA627" s="562"/>
      <c r="AB627" s="562"/>
      <c r="AC627" s="562"/>
      <c r="AD627" s="562"/>
      <c r="AE627" s="562"/>
      <c r="AF627" s="562"/>
      <c r="AG627" s="562"/>
      <c r="AH627" s="562"/>
      <c r="AI627" s="562"/>
      <c r="AJ627" s="562"/>
      <c r="AK627" s="562"/>
      <c r="AL627" s="562"/>
      <c r="AN627" s="623"/>
      <c r="AO627" s="637" t="s">
        <v>1571</v>
      </c>
      <c r="AP627" s="576">
        <v>3</v>
      </c>
    </row>
    <row r="628" spans="1:42" s="576" customFormat="1" ht="12.75" customHeight="1">
      <c r="B628" s="562"/>
      <c r="C628" s="959"/>
      <c r="D628" s="562"/>
      <c r="E628" s="964"/>
      <c r="F628" s="970"/>
      <c r="G628" s="970"/>
      <c r="H628" s="970"/>
      <c r="I628" s="971"/>
      <c r="J628" s="970"/>
      <c r="K628" s="970"/>
      <c r="L628" s="970"/>
      <c r="M628" s="970"/>
      <c r="N628" s="970"/>
      <c r="O628" s="970"/>
      <c r="P628" s="970"/>
      <c r="Q628" s="970"/>
      <c r="R628" s="562"/>
      <c r="S628" s="562"/>
      <c r="T628" s="970"/>
      <c r="U628" s="964"/>
      <c r="V628" s="964"/>
      <c r="W628" s="964"/>
      <c r="X628" s="964"/>
      <c r="Y628" s="964"/>
      <c r="Z628" s="964"/>
      <c r="AA628" s="964"/>
      <c r="AB628" s="964"/>
      <c r="AC628" s="562"/>
      <c r="AD628" s="562"/>
      <c r="AE628" s="562"/>
      <c r="AF628" s="562"/>
      <c r="AG628" s="562"/>
      <c r="AH628" s="562"/>
      <c r="AI628" s="970"/>
      <c r="AJ628" s="970"/>
      <c r="AK628" s="970"/>
      <c r="AL628" s="970"/>
      <c r="AM628" s="707"/>
      <c r="AN628" s="623"/>
      <c r="AO628" s="637" t="s">
        <v>1582</v>
      </c>
      <c r="AP628" s="576">
        <v>2</v>
      </c>
    </row>
    <row r="629" spans="1:42" s="576" customFormat="1" ht="12.75" customHeight="1">
      <c r="A629" s="632"/>
      <c r="B629" s="627"/>
      <c r="C629" s="972"/>
      <c r="D629" s="627"/>
      <c r="E629" s="967"/>
      <c r="F629" s="967"/>
      <c r="G629" s="973"/>
      <c r="H629" s="973"/>
      <c r="I629" s="973"/>
      <c r="J629" s="973"/>
      <c r="K629" s="973"/>
      <c r="L629" s="973"/>
      <c r="M629" s="973"/>
      <c r="N629" s="973"/>
      <c r="O629" s="973"/>
      <c r="P629" s="973"/>
      <c r="Q629" s="973"/>
      <c r="R629" s="973"/>
      <c r="S629" s="973"/>
      <c r="T629" s="967"/>
      <c r="U629" s="967"/>
      <c r="V629" s="967"/>
      <c r="W629" s="967"/>
      <c r="X629" s="967"/>
      <c r="Y629" s="967"/>
      <c r="Z629" s="967"/>
      <c r="AA629" s="967"/>
      <c r="AB629" s="627"/>
      <c r="AC629" s="627"/>
      <c r="AD629" s="627"/>
      <c r="AE629" s="627"/>
      <c r="AF629" s="627"/>
      <c r="AG629" s="627"/>
      <c r="AH629" s="627"/>
      <c r="AI629" s="591" t="s">
        <v>1583</v>
      </c>
      <c r="AJ629" s="1987">
        <f>VLOOKUP($H$627,$AO$594:$AP$596,2,FALSE)</f>
        <v>3</v>
      </c>
      <c r="AK629" s="1989"/>
      <c r="AL629" s="621"/>
      <c r="AN629" s="623"/>
      <c r="AO629" s="637" t="s">
        <v>1584</v>
      </c>
      <c r="AP629" s="576">
        <v>1</v>
      </c>
    </row>
    <row r="630" spans="1:42" s="576" customFormat="1" ht="12.75" customHeight="1">
      <c r="B630" s="562"/>
      <c r="C630" s="959"/>
      <c r="D630" s="562"/>
      <c r="E630" s="964"/>
      <c r="F630" s="964"/>
      <c r="G630" s="964"/>
      <c r="H630" s="562"/>
      <c r="I630" s="562"/>
      <c r="J630" s="970"/>
      <c r="K630" s="970"/>
      <c r="L630" s="970"/>
      <c r="M630" s="970"/>
      <c r="N630" s="970"/>
      <c r="O630" s="970"/>
      <c r="P630" s="970"/>
      <c r="Q630" s="970"/>
      <c r="R630" s="970"/>
      <c r="S630" s="970"/>
      <c r="T630" s="970"/>
      <c r="U630" s="964"/>
      <c r="V630" s="964"/>
      <c r="W630" s="964"/>
      <c r="X630" s="964"/>
      <c r="Y630" s="964"/>
      <c r="Z630" s="964"/>
      <c r="AA630" s="964"/>
      <c r="AB630" s="964"/>
      <c r="AC630" s="562"/>
      <c r="AD630" s="562"/>
      <c r="AE630" s="562"/>
      <c r="AF630" s="562"/>
      <c r="AG630" s="562"/>
      <c r="AH630" s="562"/>
      <c r="AI630" s="562"/>
      <c r="AJ630" s="569"/>
      <c r="AK630" s="562"/>
      <c r="AL630" s="562"/>
      <c r="AN630" s="623"/>
    </row>
    <row r="631" spans="1:42" s="576" customFormat="1" ht="12.75" customHeight="1">
      <c r="B631" s="562"/>
      <c r="C631" s="565" t="s">
        <v>1585</v>
      </c>
      <c r="D631" s="562"/>
      <c r="E631" s="964"/>
      <c r="F631" s="970"/>
      <c r="G631" s="970"/>
      <c r="H631" s="970"/>
      <c r="I631" s="970"/>
      <c r="J631" s="970"/>
      <c r="K631" s="970"/>
      <c r="L631" s="970"/>
      <c r="M631" s="970"/>
      <c r="N631" s="970"/>
      <c r="O631" s="970"/>
      <c r="P631" s="970"/>
      <c r="Q631" s="970"/>
      <c r="R631" s="970"/>
      <c r="S631" s="970"/>
      <c r="T631" s="970"/>
      <c r="U631" s="562"/>
      <c r="V631" s="562"/>
      <c r="W631" s="970"/>
      <c r="X631" s="970"/>
      <c r="Y631" s="970"/>
      <c r="Z631" s="970"/>
      <c r="AA631" s="970"/>
      <c r="AB631" s="970"/>
      <c r="AC631" s="620"/>
      <c r="AD631" s="620"/>
      <c r="AE631" s="620"/>
      <c r="AF631" s="620"/>
      <c r="AG631" s="620"/>
      <c r="AH631" s="620"/>
      <c r="AI631" s="620"/>
      <c r="AJ631" s="562"/>
      <c r="AK631" s="562"/>
      <c r="AL631" s="562"/>
      <c r="AN631" s="623"/>
    </row>
    <row r="632" spans="1:42" s="576" customFormat="1" ht="12.75" customHeight="1">
      <c r="A632" s="663"/>
      <c r="B632" s="562"/>
      <c r="C632" s="961"/>
      <c r="D632" s="562"/>
      <c r="E632" s="970"/>
      <c r="F632" s="970"/>
      <c r="G632" s="970"/>
      <c r="H632" s="970"/>
      <c r="I632" s="970"/>
      <c r="J632" s="970"/>
      <c r="K632" s="970"/>
      <c r="L632" s="970"/>
      <c r="M632" s="970"/>
      <c r="N632" s="970"/>
      <c r="O632" s="970"/>
      <c r="P632" s="970"/>
      <c r="Q632" s="970"/>
      <c r="R632" s="970"/>
      <c r="S632" s="970"/>
      <c r="T632" s="970"/>
      <c r="U632" s="970"/>
      <c r="V632" s="970"/>
      <c r="W632" s="970"/>
      <c r="X632" s="970"/>
      <c r="Y632" s="970"/>
      <c r="Z632" s="970"/>
      <c r="AA632" s="970"/>
      <c r="AB632" s="970"/>
      <c r="AC632" s="562"/>
      <c r="AD632" s="562"/>
      <c r="AE632" s="562"/>
      <c r="AF632" s="562"/>
      <c r="AG632" s="562"/>
      <c r="AH632" s="562"/>
      <c r="AI632" s="562"/>
      <c r="AJ632" s="562"/>
      <c r="AK632" s="562"/>
      <c r="AL632" s="562"/>
      <c r="AN632" s="623"/>
    </row>
    <row r="633" spans="1:42" s="576" customFormat="1" ht="12.75" customHeight="1">
      <c r="B633" s="562"/>
      <c r="C633" s="562"/>
      <c r="D633" s="689" t="s">
        <v>698</v>
      </c>
      <c r="E633" s="2007" t="s">
        <v>2525</v>
      </c>
      <c r="F633" s="2007"/>
      <c r="G633" s="2007"/>
      <c r="H633" s="2007"/>
      <c r="I633" s="2007"/>
      <c r="J633" s="2007"/>
      <c r="K633" s="2007"/>
      <c r="L633" s="2007"/>
      <c r="M633" s="2007"/>
      <c r="N633" s="2007"/>
      <c r="O633" s="2007"/>
      <c r="P633" s="2007"/>
      <c r="Q633" s="2007"/>
      <c r="R633" s="2007"/>
      <c r="S633" s="2007"/>
      <c r="T633" s="2007"/>
      <c r="U633" s="2007"/>
      <c r="V633" s="2007"/>
      <c r="W633" s="2007"/>
      <c r="X633" s="2007"/>
      <c r="Y633" s="2007"/>
      <c r="Z633" s="2007"/>
      <c r="AA633" s="2007"/>
      <c r="AB633" s="2007"/>
      <c r="AC633" s="2007"/>
      <c r="AD633" s="2007"/>
      <c r="AE633" s="562"/>
      <c r="AF633" s="1954" t="s">
        <v>1525</v>
      </c>
      <c r="AG633" s="1954"/>
      <c r="AH633" s="1954"/>
      <c r="AI633" s="1954"/>
      <c r="AJ633" s="1954"/>
      <c r="AK633" s="1954"/>
      <c r="AL633" s="1954"/>
      <c r="AN633" s="623"/>
    </row>
    <row r="634" spans="1:42" s="576" customFormat="1" ht="12.75" customHeight="1">
      <c r="B634" s="562"/>
      <c r="C634" s="562"/>
      <c r="D634" s="689"/>
      <c r="E634" s="2007"/>
      <c r="F634" s="2007"/>
      <c r="G634" s="2007"/>
      <c r="H634" s="2007"/>
      <c r="I634" s="2007"/>
      <c r="J634" s="2007"/>
      <c r="K634" s="2007"/>
      <c r="L634" s="2007"/>
      <c r="M634" s="2007"/>
      <c r="N634" s="2007"/>
      <c r="O634" s="2007"/>
      <c r="P634" s="2007"/>
      <c r="Q634" s="2007"/>
      <c r="R634" s="2007"/>
      <c r="S634" s="2007"/>
      <c r="T634" s="2007"/>
      <c r="U634" s="2007"/>
      <c r="V634" s="2007"/>
      <c r="W634" s="2007"/>
      <c r="X634" s="2007"/>
      <c r="Y634" s="2007"/>
      <c r="Z634" s="2007"/>
      <c r="AA634" s="2007"/>
      <c r="AB634" s="2007"/>
      <c r="AC634" s="2007"/>
      <c r="AD634" s="2007"/>
      <c r="AE634" s="620"/>
      <c r="AF634" s="620"/>
      <c r="AG634" s="620"/>
      <c r="AH634" s="620"/>
      <c r="AI634" s="620"/>
      <c r="AJ634" s="620"/>
      <c r="AK634" s="620"/>
      <c r="AL634" s="620"/>
      <c r="AN634" s="623"/>
    </row>
    <row r="635" spans="1:42" s="576" customFormat="1" ht="12.75" customHeight="1">
      <c r="B635" s="642"/>
      <c r="C635" s="968"/>
      <c r="D635" s="689"/>
      <c r="E635" s="642"/>
      <c r="F635" s="642"/>
      <c r="G635" s="642"/>
      <c r="H635" s="642"/>
      <c r="I635" s="642"/>
      <c r="J635" s="642"/>
      <c r="K635" s="642"/>
      <c r="L635" s="642"/>
      <c r="M635" s="642"/>
      <c r="N635" s="642"/>
      <c r="O635" s="642"/>
      <c r="P635" s="642"/>
      <c r="Q635" s="642"/>
      <c r="R635" s="642"/>
      <c r="S635" s="642"/>
      <c r="T635" s="642"/>
      <c r="U635" s="642"/>
      <c r="V635" s="642"/>
      <c r="W635" s="642"/>
      <c r="X635" s="642"/>
      <c r="Y635" s="642"/>
      <c r="Z635" s="642"/>
      <c r="AA635" s="642"/>
      <c r="AB635" s="642"/>
      <c r="AC635" s="562"/>
      <c r="AD635" s="562"/>
      <c r="AE635" s="642"/>
      <c r="AF635" s="562"/>
      <c r="AG635" s="562"/>
      <c r="AH635" s="562"/>
      <c r="AI635" s="562"/>
      <c r="AJ635" s="562"/>
      <c r="AK635" s="562"/>
      <c r="AL635" s="562"/>
      <c r="AN635" s="623"/>
    </row>
    <row r="636" spans="1:42" s="576" customFormat="1" ht="12.75" customHeight="1">
      <c r="B636" s="562"/>
      <c r="C636" s="959"/>
      <c r="D636" s="689" t="s">
        <v>519</v>
      </c>
      <c r="E636" s="642" t="s">
        <v>1586</v>
      </c>
      <c r="F636" s="642"/>
      <c r="G636" s="642"/>
      <c r="H636" s="642"/>
      <c r="I636" s="642"/>
      <c r="J636" s="642"/>
      <c r="K636" s="642"/>
      <c r="L636" s="642"/>
      <c r="M636" s="642"/>
      <c r="N636" s="642"/>
      <c r="O636" s="642"/>
      <c r="P636" s="642"/>
      <c r="Q636" s="642"/>
      <c r="R636" s="642"/>
      <c r="S636" s="642"/>
      <c r="T636" s="642"/>
      <c r="U636" s="642"/>
      <c r="V636" s="642"/>
      <c r="W636" s="642"/>
      <c r="X636" s="642"/>
      <c r="Y636" s="642"/>
      <c r="Z636" s="642"/>
      <c r="AA636" s="642"/>
      <c r="AB636" s="642"/>
      <c r="AC636" s="562"/>
      <c r="AD636" s="562"/>
      <c r="AE636" s="562"/>
      <c r="AF636" s="1954" t="s">
        <v>1581</v>
      </c>
      <c r="AG636" s="1954"/>
      <c r="AH636" s="1954"/>
      <c r="AI636" s="1954"/>
      <c r="AJ636" s="1954"/>
      <c r="AK636" s="1954"/>
      <c r="AL636" s="1954"/>
      <c r="AN636" s="623"/>
    </row>
    <row r="637" spans="1:42" s="576" customFormat="1" ht="12.75" customHeight="1">
      <c r="B637" s="562"/>
      <c r="C637" s="959"/>
      <c r="D637" s="689"/>
      <c r="E637" s="642" t="s">
        <v>1587</v>
      </c>
      <c r="F637" s="642"/>
      <c r="G637" s="642"/>
      <c r="H637" s="642"/>
      <c r="I637" s="642"/>
      <c r="J637" s="642"/>
      <c r="K637" s="642"/>
      <c r="L637" s="642"/>
      <c r="M637" s="642"/>
      <c r="N637" s="642"/>
      <c r="O637" s="642"/>
      <c r="P637" s="642"/>
      <c r="Q637" s="642"/>
      <c r="R637" s="642"/>
      <c r="S637" s="642"/>
      <c r="T637" s="642"/>
      <c r="U637" s="642"/>
      <c r="V637" s="642"/>
      <c r="W637" s="642"/>
      <c r="X637" s="642"/>
      <c r="Y637" s="642"/>
      <c r="Z637" s="642"/>
      <c r="AA637" s="642"/>
      <c r="AB637" s="642"/>
      <c r="AC637" s="562"/>
      <c r="AD637" s="562"/>
      <c r="AE637" s="620"/>
      <c r="AF637" s="620"/>
      <c r="AG637" s="620"/>
      <c r="AH637" s="620"/>
      <c r="AI637" s="620"/>
      <c r="AJ637" s="620"/>
      <c r="AK637" s="620"/>
      <c r="AL637" s="620"/>
      <c r="AN637" s="623"/>
    </row>
    <row r="638" spans="1:42" s="576" customFormat="1" ht="12.75" customHeight="1">
      <c r="B638" s="562"/>
      <c r="C638" s="959"/>
      <c r="D638" s="562"/>
      <c r="E638" s="642"/>
      <c r="F638" s="642"/>
      <c r="G638" s="642"/>
      <c r="H638" s="642"/>
      <c r="I638" s="642"/>
      <c r="J638" s="642"/>
      <c r="K638" s="642"/>
      <c r="L638" s="642"/>
      <c r="M638" s="642"/>
      <c r="N638" s="642"/>
      <c r="O638" s="642"/>
      <c r="P638" s="642"/>
      <c r="Q638" s="642"/>
      <c r="R638" s="642"/>
      <c r="S638" s="642"/>
      <c r="T638" s="642"/>
      <c r="U638" s="642"/>
      <c r="V638" s="642"/>
      <c r="W638" s="642"/>
      <c r="X638" s="642"/>
      <c r="Y638" s="642"/>
      <c r="Z638" s="642"/>
      <c r="AA638" s="642"/>
      <c r="AB638" s="642"/>
      <c r="AC638" s="562"/>
      <c r="AD638" s="562"/>
      <c r="AE638" s="562"/>
      <c r="AF638" s="562"/>
      <c r="AG638" s="562"/>
      <c r="AH638" s="562"/>
      <c r="AI638" s="562"/>
      <c r="AJ638" s="562"/>
      <c r="AK638" s="562"/>
      <c r="AL638" s="562"/>
      <c r="AN638" s="623"/>
      <c r="AP638" s="706"/>
    </row>
    <row r="639" spans="1:42" s="576" customFormat="1" ht="12.75" customHeight="1">
      <c r="B639" s="562"/>
      <c r="C639" s="959"/>
      <c r="D639" s="562" t="s">
        <v>1573</v>
      </c>
      <c r="E639" s="964"/>
      <c r="F639" s="964"/>
      <c r="G639" s="964"/>
      <c r="H639" s="2036" t="s">
        <v>698</v>
      </c>
      <c r="I639" s="2036"/>
      <c r="J639" s="642"/>
      <c r="K639" s="642"/>
      <c r="L639" s="642"/>
      <c r="M639" s="642"/>
      <c r="N639" s="642"/>
      <c r="O639" s="642"/>
      <c r="P639" s="642"/>
      <c r="Q639" s="642"/>
      <c r="R639" s="642"/>
      <c r="S639" s="642"/>
      <c r="T639" s="642"/>
      <c r="U639" s="642"/>
      <c r="V639" s="642"/>
      <c r="W639" s="562"/>
      <c r="X639" s="562"/>
      <c r="Y639" s="562"/>
      <c r="Z639" s="562"/>
      <c r="AA639" s="562"/>
      <c r="AB639" s="562"/>
      <c r="AC639" s="562"/>
      <c r="AD639" s="562"/>
      <c r="AE639" s="562"/>
      <c r="AF639" s="562"/>
      <c r="AG639" s="562"/>
      <c r="AH639" s="562"/>
      <c r="AI639" s="562"/>
      <c r="AJ639" s="562"/>
      <c r="AK639" s="562"/>
      <c r="AL639" s="562"/>
      <c r="AN639" s="623"/>
    </row>
    <row r="640" spans="1:42" s="576" customFormat="1" ht="12.75" customHeight="1">
      <c r="B640" s="562"/>
      <c r="C640" s="959"/>
      <c r="D640" s="562"/>
      <c r="E640" s="964"/>
      <c r="F640" s="964"/>
      <c r="G640" s="642"/>
      <c r="H640" s="642"/>
      <c r="I640" s="642"/>
      <c r="J640" s="642"/>
      <c r="K640" s="642"/>
      <c r="L640" s="642"/>
      <c r="M640" s="642"/>
      <c r="N640" s="642"/>
      <c r="O640" s="642"/>
      <c r="P640" s="642"/>
      <c r="Q640" s="642"/>
      <c r="R640" s="642"/>
      <c r="S640" s="642"/>
      <c r="T640" s="642"/>
      <c r="U640" s="642"/>
      <c r="V640" s="642"/>
      <c r="W640" s="642"/>
      <c r="X640" s="642"/>
      <c r="Y640" s="642"/>
      <c r="Z640" s="964"/>
      <c r="AA640" s="964"/>
      <c r="AB640" s="964"/>
      <c r="AC640" s="562"/>
      <c r="AD640" s="562"/>
      <c r="AE640" s="562"/>
      <c r="AF640" s="562"/>
      <c r="AG640" s="562"/>
      <c r="AH640" s="562"/>
      <c r="AI640" s="562"/>
      <c r="AJ640" s="642"/>
      <c r="AK640" s="642"/>
      <c r="AL640" s="642"/>
      <c r="AM640" s="577"/>
      <c r="AN640" s="623"/>
    </row>
    <row r="641" spans="1:42" s="576" customFormat="1" ht="12.75" customHeight="1">
      <c r="A641" s="632"/>
      <c r="B641" s="627"/>
      <c r="C641" s="972"/>
      <c r="D641" s="627"/>
      <c r="E641" s="967"/>
      <c r="F641" s="967"/>
      <c r="G641" s="691"/>
      <c r="H641" s="691"/>
      <c r="I641" s="691"/>
      <c r="J641" s="691"/>
      <c r="K641" s="691"/>
      <c r="L641" s="691"/>
      <c r="M641" s="691"/>
      <c r="N641" s="691"/>
      <c r="O641" s="691"/>
      <c r="P641" s="691"/>
      <c r="Q641" s="691"/>
      <c r="R641" s="691"/>
      <c r="S641" s="691"/>
      <c r="T641" s="691"/>
      <c r="U641" s="691"/>
      <c r="V641" s="691"/>
      <c r="W641" s="691"/>
      <c r="X641" s="691"/>
      <c r="Y641" s="967"/>
      <c r="Z641" s="967"/>
      <c r="AA641" s="967"/>
      <c r="AB641" s="627"/>
      <c r="AC641" s="627"/>
      <c r="AD641" s="627"/>
      <c r="AE641" s="627"/>
      <c r="AF641" s="627"/>
      <c r="AG641" s="627"/>
      <c r="AH641" s="627"/>
      <c r="AI641" s="591" t="s">
        <v>1588</v>
      </c>
      <c r="AJ641" s="1987">
        <f>VLOOKUP(H639,AT594:AU596,2,FALSE)</f>
        <v>3</v>
      </c>
      <c r="AK641" s="1989"/>
      <c r="AL641" s="621"/>
      <c r="AN641" s="623"/>
      <c r="AO641" s="576" t="s">
        <v>601</v>
      </c>
      <c r="AP641" s="699">
        <v>0</v>
      </c>
    </row>
    <row r="642" spans="1:42" s="576" customFormat="1" ht="12.75" customHeight="1">
      <c r="B642" s="562"/>
      <c r="C642" s="959"/>
      <c r="D642" s="562"/>
      <c r="E642" s="562"/>
      <c r="F642" s="562"/>
      <c r="G642" s="562"/>
      <c r="H642" s="562"/>
      <c r="I642" s="562"/>
      <c r="J642" s="562"/>
      <c r="K642" s="562"/>
      <c r="L642" s="562"/>
      <c r="M642" s="562"/>
      <c r="N642" s="562"/>
      <c r="O642" s="562"/>
      <c r="P642" s="562"/>
      <c r="Q642" s="562"/>
      <c r="R642" s="562"/>
      <c r="S642" s="562"/>
      <c r="T642" s="562"/>
      <c r="U642" s="562"/>
      <c r="V642" s="562"/>
      <c r="W642" s="562"/>
      <c r="X642" s="562"/>
      <c r="Y642" s="562"/>
      <c r="Z642" s="562"/>
      <c r="AA642" s="562"/>
      <c r="AB642" s="562"/>
      <c r="AC642" s="562"/>
      <c r="AD642" s="562"/>
      <c r="AE642" s="562"/>
      <c r="AF642" s="562"/>
      <c r="AG642" s="562"/>
      <c r="AH642" s="562"/>
      <c r="AI642" s="562"/>
      <c r="AJ642" s="562"/>
      <c r="AK642" s="562"/>
      <c r="AL642" s="562"/>
      <c r="AN642" s="623"/>
      <c r="AO642" s="637" t="s">
        <v>698</v>
      </c>
      <c r="AP642" s="576">
        <v>3</v>
      </c>
    </row>
    <row r="643" spans="1:42" s="576" customFormat="1" ht="12.75" customHeight="1">
      <c r="B643" s="562"/>
      <c r="C643" s="565" t="s">
        <v>1589</v>
      </c>
      <c r="D643" s="562"/>
      <c r="E643" s="562"/>
      <c r="F643" s="562"/>
      <c r="G643" s="562"/>
      <c r="H643" s="562"/>
      <c r="I643" s="562"/>
      <c r="J643" s="562"/>
      <c r="K643" s="562"/>
      <c r="L643" s="562"/>
      <c r="M643" s="562"/>
      <c r="N643" s="562"/>
      <c r="O643" s="562"/>
      <c r="P643" s="562"/>
      <c r="Q643" s="562"/>
      <c r="R643" s="562"/>
      <c r="S643" s="562"/>
      <c r="T643" s="562"/>
      <c r="U643" s="562"/>
      <c r="V643" s="562"/>
      <c r="W643" s="562"/>
      <c r="X643" s="562"/>
      <c r="Y643" s="562"/>
      <c r="Z643" s="562"/>
      <c r="AA643" s="562"/>
      <c r="AB643" s="562"/>
      <c r="AC643" s="562"/>
      <c r="AD643" s="562"/>
      <c r="AE643" s="562"/>
      <c r="AF643" s="562"/>
      <c r="AG643" s="562"/>
      <c r="AH643" s="562"/>
      <c r="AI643" s="562"/>
      <c r="AJ643" s="562"/>
      <c r="AK643" s="562"/>
      <c r="AL643" s="562"/>
      <c r="AN643" s="623"/>
      <c r="AO643" s="637" t="s">
        <v>519</v>
      </c>
      <c r="AP643" s="576">
        <v>2</v>
      </c>
    </row>
    <row r="644" spans="1:42" s="576" customFormat="1" ht="12.75" customHeight="1">
      <c r="B644" s="562"/>
      <c r="C644" s="565"/>
      <c r="D644" s="708" t="s">
        <v>1590</v>
      </c>
      <c r="E644" s="562"/>
      <c r="F644" s="562"/>
      <c r="G644" s="562"/>
      <c r="H644" s="562"/>
      <c r="I644" s="562"/>
      <c r="J644" s="562"/>
      <c r="K644" s="562"/>
      <c r="L644" s="562"/>
      <c r="M644" s="562"/>
      <c r="N644" s="562"/>
      <c r="O644" s="562"/>
      <c r="P644" s="562"/>
      <c r="Q644" s="562"/>
      <c r="R644" s="562"/>
      <c r="S644" s="562"/>
      <c r="T644" s="562"/>
      <c r="U644" s="562"/>
      <c r="V644" s="562"/>
      <c r="W644" s="562"/>
      <c r="X644" s="562"/>
      <c r="Y644" s="562"/>
      <c r="Z644" s="562"/>
      <c r="AA644" s="562"/>
      <c r="AB644" s="562"/>
      <c r="AC644" s="562"/>
      <c r="AD644" s="562"/>
      <c r="AE644" s="562"/>
      <c r="AF644" s="562"/>
      <c r="AG644" s="562"/>
      <c r="AH644" s="562"/>
      <c r="AI644" s="562"/>
      <c r="AJ644" s="562"/>
      <c r="AK644" s="562"/>
      <c r="AL644" s="562"/>
      <c r="AN644" s="623"/>
    </row>
    <row r="645" spans="1:42" s="576" customFormat="1" ht="12.75" customHeight="1">
      <c r="B645" s="562"/>
      <c r="C645" s="565"/>
      <c r="D645" s="562"/>
      <c r="E645" s="562"/>
      <c r="F645" s="562"/>
      <c r="G645" s="562"/>
      <c r="H645" s="562"/>
      <c r="I645" s="562"/>
      <c r="J645" s="562"/>
      <c r="K645" s="562"/>
      <c r="L645" s="562"/>
      <c r="M645" s="562"/>
      <c r="N645" s="562"/>
      <c r="O645" s="562"/>
      <c r="P645" s="562"/>
      <c r="Q645" s="562"/>
      <c r="R645" s="562"/>
      <c r="S645" s="562"/>
      <c r="T645" s="562"/>
      <c r="U645" s="562"/>
      <c r="V645" s="562"/>
      <c r="W645" s="562"/>
      <c r="X645" s="562"/>
      <c r="Y645" s="562"/>
      <c r="Z645" s="562"/>
      <c r="AA645" s="562"/>
      <c r="AB645" s="562"/>
      <c r="AC645" s="562"/>
      <c r="AD645" s="562"/>
      <c r="AE645" s="562"/>
      <c r="AF645" s="562"/>
      <c r="AG645" s="562"/>
      <c r="AH645" s="562"/>
      <c r="AI645" s="562"/>
      <c r="AJ645" s="562"/>
      <c r="AK645" s="562"/>
      <c r="AL645" s="562"/>
      <c r="AN645" s="623"/>
    </row>
    <row r="646" spans="1:42" s="576" customFormat="1" ht="12.75" customHeight="1">
      <c r="B646" s="562"/>
      <c r="C646" s="565"/>
      <c r="D646" s="689" t="s">
        <v>698</v>
      </c>
      <c r="E646" s="2007" t="s">
        <v>1591</v>
      </c>
      <c r="F646" s="2007"/>
      <c r="G646" s="2007"/>
      <c r="H646" s="2007"/>
      <c r="I646" s="2007"/>
      <c r="J646" s="2007"/>
      <c r="K646" s="2007"/>
      <c r="L646" s="2007"/>
      <c r="M646" s="2007"/>
      <c r="N646" s="2007"/>
      <c r="O646" s="2007"/>
      <c r="P646" s="2007"/>
      <c r="Q646" s="2007"/>
      <c r="R646" s="2007"/>
      <c r="S646" s="2007"/>
      <c r="T646" s="2007"/>
      <c r="U646" s="2007"/>
      <c r="V646" s="2007"/>
      <c r="W646" s="2007"/>
      <c r="X646" s="2007"/>
      <c r="Y646" s="2007"/>
      <c r="Z646" s="2007"/>
      <c r="AA646" s="2007"/>
      <c r="AB646" s="2007"/>
      <c r="AC646" s="2007"/>
      <c r="AD646" s="562"/>
      <c r="AE646" s="562"/>
      <c r="AF646" s="1954" t="s">
        <v>1551</v>
      </c>
      <c r="AG646" s="1954"/>
      <c r="AH646" s="1954"/>
      <c r="AI646" s="1954"/>
      <c r="AJ646" s="1954"/>
      <c r="AK646" s="1954"/>
      <c r="AL646" s="1954"/>
      <c r="AN646" s="623"/>
    </row>
    <row r="647" spans="1:42" s="576" customFormat="1" ht="12.75" customHeight="1">
      <c r="B647" s="562"/>
      <c r="C647" s="565"/>
      <c r="D647" s="562"/>
      <c r="E647" s="2007"/>
      <c r="F647" s="2007"/>
      <c r="G647" s="2007"/>
      <c r="H647" s="2007"/>
      <c r="I647" s="2007"/>
      <c r="J647" s="2007"/>
      <c r="K647" s="2007"/>
      <c r="L647" s="2007"/>
      <c r="M647" s="2007"/>
      <c r="N647" s="2007"/>
      <c r="O647" s="2007"/>
      <c r="P647" s="2007"/>
      <c r="Q647" s="2007"/>
      <c r="R647" s="2007"/>
      <c r="S647" s="2007"/>
      <c r="T647" s="2007"/>
      <c r="U647" s="2007"/>
      <c r="V647" s="2007"/>
      <c r="W647" s="2007"/>
      <c r="X647" s="2007"/>
      <c r="Y647" s="2007"/>
      <c r="Z647" s="2007"/>
      <c r="AA647" s="2007"/>
      <c r="AB647" s="2007"/>
      <c r="AC647" s="2007"/>
      <c r="AD647" s="562"/>
      <c r="AE647" s="562"/>
      <c r="AF647" s="562"/>
      <c r="AG647" s="562"/>
      <c r="AH647" s="562"/>
      <c r="AI647" s="562"/>
      <c r="AJ647" s="562"/>
      <c r="AK647" s="562"/>
      <c r="AL647" s="562"/>
      <c r="AN647" s="623"/>
    </row>
    <row r="648" spans="1:42" s="576" customFormat="1" ht="12.75" customHeight="1">
      <c r="B648" s="562"/>
      <c r="C648" s="565"/>
      <c r="D648" s="689"/>
      <c r="E648" s="2007"/>
      <c r="F648" s="2007"/>
      <c r="G648" s="2007"/>
      <c r="H648" s="2007"/>
      <c r="I648" s="2007"/>
      <c r="J648" s="2007"/>
      <c r="K648" s="2007"/>
      <c r="L648" s="2007"/>
      <c r="M648" s="2007"/>
      <c r="N648" s="2007"/>
      <c r="O648" s="2007"/>
      <c r="P648" s="2007"/>
      <c r="Q648" s="2007"/>
      <c r="R648" s="2007"/>
      <c r="S648" s="2007"/>
      <c r="T648" s="2007"/>
      <c r="U648" s="2007"/>
      <c r="V648" s="2007"/>
      <c r="W648" s="2007"/>
      <c r="X648" s="2007"/>
      <c r="Y648" s="2007"/>
      <c r="Z648" s="2007"/>
      <c r="AA648" s="2007"/>
      <c r="AB648" s="2007"/>
      <c r="AC648" s="2007"/>
      <c r="AD648" s="562"/>
      <c r="AE648" s="562"/>
      <c r="AF648" s="562"/>
      <c r="AG648" s="562"/>
      <c r="AH648" s="562"/>
      <c r="AI648" s="562"/>
      <c r="AJ648" s="562"/>
      <c r="AK648" s="562"/>
      <c r="AL648" s="562"/>
      <c r="AN648" s="623"/>
    </row>
    <row r="649" spans="1:42" s="576" customFormat="1" ht="15" customHeight="1">
      <c r="B649" s="562"/>
      <c r="C649" s="565"/>
      <c r="D649" s="562"/>
      <c r="E649" s="974"/>
      <c r="F649" s="974"/>
      <c r="G649" s="974"/>
      <c r="H649" s="974"/>
      <c r="I649" s="974"/>
      <c r="J649" s="974"/>
      <c r="K649" s="974"/>
      <c r="L649" s="974"/>
      <c r="M649" s="974"/>
      <c r="N649" s="974"/>
      <c r="O649" s="974"/>
      <c r="P649" s="974"/>
      <c r="Q649" s="974"/>
      <c r="R649" s="974"/>
      <c r="S649" s="974"/>
      <c r="T649" s="974"/>
      <c r="U649" s="974"/>
      <c r="V649" s="974"/>
      <c r="W649" s="974"/>
      <c r="X649" s="974"/>
      <c r="Y649" s="974"/>
      <c r="Z649" s="974"/>
      <c r="AA649" s="974"/>
      <c r="AB649" s="974"/>
      <c r="AC649" s="562"/>
      <c r="AD649" s="562"/>
      <c r="AE649" s="562"/>
      <c r="AF649" s="562"/>
      <c r="AG649" s="562"/>
      <c r="AH649" s="562"/>
      <c r="AI649" s="562"/>
      <c r="AJ649" s="562"/>
      <c r="AK649" s="562"/>
      <c r="AL649" s="562"/>
      <c r="AN649" s="623"/>
    </row>
    <row r="650" spans="1:42" s="576" customFormat="1" ht="12.75" customHeight="1">
      <c r="B650" s="562"/>
      <c r="C650" s="565"/>
      <c r="D650" s="689" t="s">
        <v>519</v>
      </c>
      <c r="E650" s="2007" t="s">
        <v>1592</v>
      </c>
      <c r="F650" s="2007"/>
      <c r="G650" s="2007"/>
      <c r="H650" s="2007"/>
      <c r="I650" s="2007"/>
      <c r="J650" s="2007"/>
      <c r="K650" s="2007"/>
      <c r="L650" s="2007"/>
      <c r="M650" s="2007"/>
      <c r="N650" s="2007"/>
      <c r="O650" s="2007"/>
      <c r="P650" s="2007"/>
      <c r="Q650" s="2007"/>
      <c r="R650" s="2007"/>
      <c r="S650" s="2007"/>
      <c r="T650" s="2007"/>
      <c r="U650" s="2007"/>
      <c r="V650" s="2007"/>
      <c r="W650" s="2007"/>
      <c r="X650" s="2007"/>
      <c r="Y650" s="2007"/>
      <c r="Z650" s="2007"/>
      <c r="AA650" s="2007"/>
      <c r="AB650" s="2007"/>
      <c r="AC650" s="2007"/>
      <c r="AD650" s="562"/>
      <c r="AE650" s="562"/>
      <c r="AF650" s="1954" t="s">
        <v>1572</v>
      </c>
      <c r="AG650" s="1954"/>
      <c r="AH650" s="1954"/>
      <c r="AI650" s="1954"/>
      <c r="AJ650" s="1954"/>
      <c r="AK650" s="1954"/>
      <c r="AL650" s="1954"/>
      <c r="AN650" s="623"/>
    </row>
    <row r="651" spans="1:42" s="576" customFormat="1" ht="12.75" customHeight="1">
      <c r="B651" s="562"/>
      <c r="C651" s="565"/>
      <c r="D651" s="562"/>
      <c r="E651" s="2007"/>
      <c r="F651" s="2007"/>
      <c r="G651" s="2007"/>
      <c r="H651" s="2007"/>
      <c r="I651" s="2007"/>
      <c r="J651" s="2007"/>
      <c r="K651" s="2007"/>
      <c r="L651" s="2007"/>
      <c r="M651" s="2007"/>
      <c r="N651" s="2007"/>
      <c r="O651" s="2007"/>
      <c r="P651" s="2007"/>
      <c r="Q651" s="2007"/>
      <c r="R651" s="2007"/>
      <c r="S651" s="2007"/>
      <c r="T651" s="2007"/>
      <c r="U651" s="2007"/>
      <c r="V651" s="2007"/>
      <c r="W651" s="2007"/>
      <c r="X651" s="2007"/>
      <c r="Y651" s="2007"/>
      <c r="Z651" s="2007"/>
      <c r="AA651" s="2007"/>
      <c r="AB651" s="2007"/>
      <c r="AC651" s="2007"/>
      <c r="AD651" s="562"/>
      <c r="AE651" s="562"/>
      <c r="AF651" s="562"/>
      <c r="AG651" s="562"/>
      <c r="AH651" s="562"/>
      <c r="AI651" s="562"/>
      <c r="AJ651" s="562"/>
      <c r="AK651" s="562"/>
      <c r="AL651" s="562"/>
      <c r="AN651" s="623"/>
    </row>
    <row r="652" spans="1:42" s="576" customFormat="1" ht="15" customHeight="1">
      <c r="B652" s="562"/>
      <c r="C652" s="565"/>
      <c r="D652" s="689"/>
      <c r="E652" s="2007"/>
      <c r="F652" s="2007"/>
      <c r="G652" s="2007"/>
      <c r="H652" s="2007"/>
      <c r="I652" s="2007"/>
      <c r="J652" s="2007"/>
      <c r="K652" s="2007"/>
      <c r="L652" s="2007"/>
      <c r="M652" s="2007"/>
      <c r="N652" s="2007"/>
      <c r="O652" s="2007"/>
      <c r="P652" s="2007"/>
      <c r="Q652" s="2007"/>
      <c r="R652" s="2007"/>
      <c r="S652" s="2007"/>
      <c r="T652" s="2007"/>
      <c r="U652" s="2007"/>
      <c r="V652" s="2007"/>
      <c r="W652" s="2007"/>
      <c r="X652" s="2007"/>
      <c r="Y652" s="2007"/>
      <c r="Z652" s="2007"/>
      <c r="AA652" s="2007"/>
      <c r="AB652" s="2007"/>
      <c r="AC652" s="2007"/>
      <c r="AD652" s="562"/>
      <c r="AE652" s="562"/>
      <c r="AF652" s="562"/>
      <c r="AG652" s="562"/>
      <c r="AH652" s="562"/>
      <c r="AI652" s="562"/>
      <c r="AJ652" s="562"/>
      <c r="AK652" s="562"/>
      <c r="AL652" s="562"/>
      <c r="AN652" s="623"/>
    </row>
    <row r="653" spans="1:42" s="576" customFormat="1" ht="12.75" customHeight="1">
      <c r="B653" s="562"/>
      <c r="C653" s="565"/>
      <c r="D653" s="562"/>
      <c r="E653" s="974"/>
      <c r="F653" s="974"/>
      <c r="G653" s="974"/>
      <c r="H653" s="974"/>
      <c r="I653" s="974"/>
      <c r="J653" s="974"/>
      <c r="K653" s="974"/>
      <c r="L653" s="974"/>
      <c r="M653" s="974"/>
      <c r="N653" s="974"/>
      <c r="O653" s="974"/>
      <c r="P653" s="974"/>
      <c r="Q653" s="974"/>
      <c r="R653" s="974"/>
      <c r="S653" s="974"/>
      <c r="T653" s="974"/>
      <c r="U653" s="974"/>
      <c r="V653" s="974"/>
      <c r="W653" s="974"/>
      <c r="X653" s="974"/>
      <c r="Y653" s="974"/>
      <c r="Z653" s="974"/>
      <c r="AA653" s="974"/>
      <c r="AB653" s="974"/>
      <c r="AC653" s="562"/>
      <c r="AD653" s="562"/>
      <c r="AE653" s="562"/>
      <c r="AF653" s="562"/>
      <c r="AG653" s="562"/>
      <c r="AH653" s="562"/>
      <c r="AI653" s="562"/>
      <c r="AJ653" s="562"/>
      <c r="AK653" s="562"/>
      <c r="AL653" s="562"/>
      <c r="AN653" s="623"/>
    </row>
    <row r="654" spans="1:42" s="576" customFormat="1" ht="12.75" customHeight="1">
      <c r="B654" s="562"/>
      <c r="C654" s="565"/>
      <c r="D654" s="689" t="s">
        <v>280</v>
      </c>
      <c r="E654" s="2007" t="s">
        <v>1593</v>
      </c>
      <c r="F654" s="2007"/>
      <c r="G654" s="2007"/>
      <c r="H654" s="2007"/>
      <c r="I654" s="2007"/>
      <c r="J654" s="2007"/>
      <c r="K654" s="2007"/>
      <c r="L654" s="2007"/>
      <c r="M654" s="2007"/>
      <c r="N654" s="2007"/>
      <c r="O654" s="2007"/>
      <c r="P654" s="2007"/>
      <c r="Q654" s="2007"/>
      <c r="R654" s="2007"/>
      <c r="S654" s="2007"/>
      <c r="T654" s="2007"/>
      <c r="U654" s="2007"/>
      <c r="V654" s="2007"/>
      <c r="W654" s="2007"/>
      <c r="X654" s="2007"/>
      <c r="Y654" s="2007"/>
      <c r="Z654" s="2007"/>
      <c r="AA654" s="2007"/>
      <c r="AB654" s="2007"/>
      <c r="AC654" s="2007"/>
      <c r="AD654" s="562"/>
      <c r="AE654" s="562"/>
      <c r="AF654" s="1954" t="s">
        <v>1525</v>
      </c>
      <c r="AG654" s="1954"/>
      <c r="AH654" s="1954"/>
      <c r="AI654" s="1954"/>
      <c r="AJ654" s="1954"/>
      <c r="AK654" s="1954"/>
      <c r="AL654" s="1954"/>
      <c r="AN654" s="623"/>
    </row>
    <row r="655" spans="1:42" s="576" customFormat="1" ht="12.75" customHeight="1">
      <c r="B655" s="562"/>
      <c r="C655" s="959"/>
      <c r="D655" s="562"/>
      <c r="E655" s="2007"/>
      <c r="F655" s="2007"/>
      <c r="G655" s="2007"/>
      <c r="H655" s="2007"/>
      <c r="I655" s="2007"/>
      <c r="J655" s="2007"/>
      <c r="K655" s="2007"/>
      <c r="L655" s="2007"/>
      <c r="M655" s="2007"/>
      <c r="N655" s="2007"/>
      <c r="O655" s="2007"/>
      <c r="P655" s="2007"/>
      <c r="Q655" s="2007"/>
      <c r="R655" s="2007"/>
      <c r="S655" s="2007"/>
      <c r="T655" s="2007"/>
      <c r="U655" s="2007"/>
      <c r="V655" s="2007"/>
      <c r="W655" s="2007"/>
      <c r="X655" s="2007"/>
      <c r="Y655" s="2007"/>
      <c r="Z655" s="2007"/>
      <c r="AA655" s="2007"/>
      <c r="AB655" s="2007"/>
      <c r="AC655" s="2007"/>
      <c r="AD655" s="562"/>
      <c r="AE655" s="1954"/>
      <c r="AF655" s="1954"/>
      <c r="AG655" s="1954"/>
      <c r="AH655" s="1954"/>
      <c r="AI655" s="1954"/>
      <c r="AJ655" s="1954"/>
      <c r="AK655" s="1954"/>
      <c r="AL655" s="620"/>
      <c r="AN655" s="623"/>
      <c r="AO655" s="576" t="s">
        <v>601</v>
      </c>
      <c r="AP655" s="699">
        <v>0</v>
      </c>
    </row>
    <row r="656" spans="1:42" s="576" customFormat="1" ht="12.75" customHeight="1">
      <c r="A656" s="705"/>
      <c r="B656" s="562"/>
      <c r="C656" s="562"/>
      <c r="D656" s="689"/>
      <c r="E656" s="2007"/>
      <c r="F656" s="2007"/>
      <c r="G656" s="2007"/>
      <c r="H656" s="2007"/>
      <c r="I656" s="2007"/>
      <c r="J656" s="2007"/>
      <c r="K656" s="2007"/>
      <c r="L656" s="2007"/>
      <c r="M656" s="2007"/>
      <c r="N656" s="2007"/>
      <c r="O656" s="2007"/>
      <c r="P656" s="2007"/>
      <c r="Q656" s="2007"/>
      <c r="R656" s="2007"/>
      <c r="S656" s="2007"/>
      <c r="T656" s="2007"/>
      <c r="U656" s="2007"/>
      <c r="V656" s="2007"/>
      <c r="W656" s="2007"/>
      <c r="X656" s="2007"/>
      <c r="Y656" s="2007"/>
      <c r="Z656" s="2007"/>
      <c r="AA656" s="2007"/>
      <c r="AB656" s="2007"/>
      <c r="AC656" s="2007"/>
      <c r="AD656" s="562"/>
      <c r="AE656" s="562"/>
      <c r="AF656" s="562"/>
      <c r="AG656" s="562"/>
      <c r="AH656" s="562"/>
      <c r="AI656" s="562"/>
      <c r="AJ656" s="562"/>
      <c r="AK656" s="562"/>
      <c r="AL656" s="562"/>
      <c r="AN656" s="623"/>
      <c r="AO656" s="637" t="s">
        <v>698</v>
      </c>
      <c r="AP656" s="576">
        <v>3</v>
      </c>
    </row>
    <row r="657" spans="1:42" s="576" customFormat="1" ht="12.75" customHeight="1">
      <c r="B657" s="562"/>
      <c r="C657" s="959"/>
      <c r="D657" s="689"/>
      <c r="E657" s="601"/>
      <c r="F657" s="601"/>
      <c r="G657" s="601"/>
      <c r="H657" s="601"/>
      <c r="I657" s="601"/>
      <c r="J657" s="601"/>
      <c r="K657" s="601"/>
      <c r="L657" s="601"/>
      <c r="M657" s="601"/>
      <c r="N657" s="601"/>
      <c r="O657" s="601"/>
      <c r="P657" s="601"/>
      <c r="Q657" s="601"/>
      <c r="R657" s="601"/>
      <c r="S657" s="601"/>
      <c r="T657" s="601"/>
      <c r="U657" s="601"/>
      <c r="V657" s="601"/>
      <c r="W657" s="601"/>
      <c r="X657" s="601"/>
      <c r="Y657" s="601"/>
      <c r="Z657" s="601"/>
      <c r="AA657" s="601"/>
      <c r="AB657" s="601"/>
      <c r="AC657" s="562"/>
      <c r="AD657" s="562"/>
      <c r="AE657" s="562"/>
      <c r="AF657" s="562"/>
      <c r="AG657" s="562"/>
      <c r="AH657" s="562"/>
      <c r="AI657" s="562"/>
      <c r="AJ657" s="562"/>
      <c r="AK657" s="562"/>
      <c r="AL657" s="562"/>
      <c r="AN657" s="623"/>
      <c r="AO657" s="637" t="s">
        <v>519</v>
      </c>
      <c r="AP657" s="576">
        <v>2</v>
      </c>
    </row>
    <row r="658" spans="1:42" s="576" customFormat="1" ht="12.75" customHeight="1">
      <c r="A658" s="696"/>
      <c r="B658" s="562"/>
      <c r="C658" s="975"/>
      <c r="D658" s="689" t="s">
        <v>1570</v>
      </c>
      <c r="E658" s="2007" t="s">
        <v>1594</v>
      </c>
      <c r="F658" s="2007"/>
      <c r="G658" s="2007"/>
      <c r="H658" s="2007"/>
      <c r="I658" s="2007"/>
      <c r="J658" s="2007"/>
      <c r="K658" s="2007"/>
      <c r="L658" s="2007"/>
      <c r="M658" s="2007"/>
      <c r="N658" s="2007"/>
      <c r="O658" s="2007"/>
      <c r="P658" s="2007"/>
      <c r="Q658" s="2007"/>
      <c r="R658" s="2007"/>
      <c r="S658" s="2007"/>
      <c r="T658" s="2007"/>
      <c r="U658" s="2007"/>
      <c r="V658" s="2007"/>
      <c r="W658" s="2007"/>
      <c r="X658" s="2007"/>
      <c r="Y658" s="2007"/>
      <c r="Z658" s="2007"/>
      <c r="AA658" s="2007"/>
      <c r="AB658" s="2007"/>
      <c r="AC658" s="2007"/>
      <c r="AD658" s="562"/>
      <c r="AE658" s="562"/>
      <c r="AF658" s="1954" t="s">
        <v>1572</v>
      </c>
      <c r="AG658" s="1954"/>
      <c r="AH658" s="1954"/>
      <c r="AI658" s="1954"/>
      <c r="AJ658" s="1954"/>
      <c r="AK658" s="1954"/>
      <c r="AL658" s="1954"/>
      <c r="AN658" s="623"/>
    </row>
    <row r="659" spans="1:42" s="576" customFormat="1" ht="12.75" customHeight="1">
      <c r="A659" s="696"/>
      <c r="B659" s="562"/>
      <c r="C659" s="975"/>
      <c r="D659" s="689"/>
      <c r="E659" s="2007"/>
      <c r="F659" s="2007"/>
      <c r="G659" s="2007"/>
      <c r="H659" s="2007"/>
      <c r="I659" s="2007"/>
      <c r="J659" s="2007"/>
      <c r="K659" s="2007"/>
      <c r="L659" s="2007"/>
      <c r="M659" s="2007"/>
      <c r="N659" s="2007"/>
      <c r="O659" s="2007"/>
      <c r="P659" s="2007"/>
      <c r="Q659" s="2007"/>
      <c r="R659" s="2007"/>
      <c r="S659" s="2007"/>
      <c r="T659" s="2007"/>
      <c r="U659" s="2007"/>
      <c r="V659" s="2007"/>
      <c r="W659" s="2007"/>
      <c r="X659" s="2007"/>
      <c r="Y659" s="2007"/>
      <c r="Z659" s="2007"/>
      <c r="AA659" s="2007"/>
      <c r="AB659" s="2007"/>
      <c r="AC659" s="2007"/>
      <c r="AD659" s="562"/>
      <c r="AE659" s="620"/>
      <c r="AF659" s="620"/>
      <c r="AG659" s="620"/>
      <c r="AH659" s="620"/>
      <c r="AI659" s="620"/>
      <c r="AJ659" s="620"/>
      <c r="AK659" s="620"/>
      <c r="AL659" s="620"/>
      <c r="AM659" s="622"/>
      <c r="AN659" s="623"/>
    </row>
    <row r="660" spans="1:42" s="576" customFormat="1" ht="12.75" customHeight="1">
      <c r="A660" s="696"/>
      <c r="B660" s="562"/>
      <c r="C660" s="975"/>
      <c r="D660" s="689"/>
      <c r="E660" s="2007"/>
      <c r="F660" s="2007"/>
      <c r="G660" s="2007"/>
      <c r="H660" s="2007"/>
      <c r="I660" s="2007"/>
      <c r="J660" s="2007"/>
      <c r="K660" s="2007"/>
      <c r="L660" s="2007"/>
      <c r="M660" s="2007"/>
      <c r="N660" s="2007"/>
      <c r="O660" s="2007"/>
      <c r="P660" s="2007"/>
      <c r="Q660" s="2007"/>
      <c r="R660" s="2007"/>
      <c r="S660" s="2007"/>
      <c r="T660" s="2007"/>
      <c r="U660" s="2007"/>
      <c r="V660" s="2007"/>
      <c r="W660" s="2007"/>
      <c r="X660" s="2007"/>
      <c r="Y660" s="2007"/>
      <c r="Z660" s="2007"/>
      <c r="AA660" s="2007"/>
      <c r="AB660" s="2007"/>
      <c r="AC660" s="2007"/>
      <c r="AD660" s="562"/>
      <c r="AE660" s="620"/>
      <c r="AF660" s="620"/>
      <c r="AG660" s="620"/>
      <c r="AH660" s="620"/>
      <c r="AI660" s="620"/>
      <c r="AJ660" s="620"/>
      <c r="AK660" s="620"/>
      <c r="AL660" s="620"/>
      <c r="AM660" s="622"/>
      <c r="AN660" s="623"/>
    </row>
    <row r="661" spans="1:42" s="576" customFormat="1" ht="12.75" customHeight="1">
      <c r="B661" s="562"/>
      <c r="C661" s="959"/>
      <c r="D661" s="689"/>
      <c r="E661" s="668"/>
      <c r="F661" s="668"/>
      <c r="G661" s="668"/>
      <c r="H661" s="668"/>
      <c r="I661" s="668"/>
      <c r="J661" s="668"/>
      <c r="K661" s="668"/>
      <c r="L661" s="668"/>
      <c r="M661" s="668"/>
      <c r="N661" s="668"/>
      <c r="O661" s="668"/>
      <c r="P661" s="668"/>
      <c r="Q661" s="668"/>
      <c r="R661" s="668"/>
      <c r="S661" s="668"/>
      <c r="T661" s="668"/>
      <c r="U661" s="668"/>
      <c r="V661" s="668"/>
      <c r="W661" s="668"/>
      <c r="X661" s="668"/>
      <c r="Y661" s="668"/>
      <c r="Z661" s="668"/>
      <c r="AA661" s="668"/>
      <c r="AB661" s="668"/>
      <c r="AC661" s="565"/>
      <c r="AD661" s="565"/>
      <c r="AE661" s="562"/>
      <c r="AF661" s="562"/>
      <c r="AG661" s="562"/>
      <c r="AH661" s="562"/>
      <c r="AI661" s="562"/>
      <c r="AJ661" s="562"/>
      <c r="AK661" s="562"/>
      <c r="AL661" s="620"/>
      <c r="AM661" s="622"/>
      <c r="AN661" s="623"/>
    </row>
    <row r="662" spans="1:42" s="576" customFormat="1" ht="12.75" customHeight="1">
      <c r="B662" s="562"/>
      <c r="C662" s="959"/>
      <c r="D662" s="689" t="s">
        <v>1571</v>
      </c>
      <c r="E662" s="2007" t="s">
        <v>1595</v>
      </c>
      <c r="F662" s="2007"/>
      <c r="G662" s="2007"/>
      <c r="H662" s="2007"/>
      <c r="I662" s="2007"/>
      <c r="J662" s="2007"/>
      <c r="K662" s="2007"/>
      <c r="L662" s="2007"/>
      <c r="M662" s="2007"/>
      <c r="N662" s="2007"/>
      <c r="O662" s="2007"/>
      <c r="P662" s="2007"/>
      <c r="Q662" s="2007"/>
      <c r="R662" s="2007"/>
      <c r="S662" s="2007"/>
      <c r="T662" s="2007"/>
      <c r="U662" s="2007"/>
      <c r="V662" s="2007"/>
      <c r="W662" s="2007"/>
      <c r="X662" s="2007"/>
      <c r="Y662" s="2007"/>
      <c r="Z662" s="2007"/>
      <c r="AA662" s="2007"/>
      <c r="AB662" s="2007"/>
      <c r="AC662" s="2007"/>
      <c r="AD662" s="562"/>
      <c r="AE662" s="562"/>
      <c r="AF662" s="1954" t="s">
        <v>1525</v>
      </c>
      <c r="AG662" s="1954"/>
      <c r="AH662" s="1954"/>
      <c r="AI662" s="1954"/>
      <c r="AJ662" s="1954"/>
      <c r="AK662" s="1954"/>
      <c r="AL662" s="1954"/>
      <c r="AM662" s="622"/>
      <c r="AN662" s="623"/>
    </row>
    <row r="663" spans="1:42" s="576" customFormat="1" ht="12.75" customHeight="1">
      <c r="B663" s="562"/>
      <c r="C663" s="959"/>
      <c r="D663" s="689"/>
      <c r="E663" s="2007"/>
      <c r="F663" s="2007"/>
      <c r="G663" s="2007"/>
      <c r="H663" s="2007"/>
      <c r="I663" s="2007"/>
      <c r="J663" s="2007"/>
      <c r="K663" s="2007"/>
      <c r="L663" s="2007"/>
      <c r="M663" s="2007"/>
      <c r="N663" s="2007"/>
      <c r="O663" s="2007"/>
      <c r="P663" s="2007"/>
      <c r="Q663" s="2007"/>
      <c r="R663" s="2007"/>
      <c r="S663" s="2007"/>
      <c r="T663" s="2007"/>
      <c r="U663" s="2007"/>
      <c r="V663" s="2007"/>
      <c r="W663" s="2007"/>
      <c r="X663" s="2007"/>
      <c r="Y663" s="2007"/>
      <c r="Z663" s="2007"/>
      <c r="AA663" s="2007"/>
      <c r="AB663" s="2007"/>
      <c r="AC663" s="2007"/>
      <c r="AD663" s="562"/>
      <c r="AE663" s="562"/>
      <c r="AF663" s="562"/>
      <c r="AG663" s="562"/>
      <c r="AH663" s="562"/>
      <c r="AI663" s="562"/>
      <c r="AJ663" s="562"/>
      <c r="AK663" s="562"/>
      <c r="AL663" s="562"/>
      <c r="AM663" s="622"/>
      <c r="AN663" s="623"/>
    </row>
    <row r="664" spans="1:42" s="576" customFormat="1" ht="12.75" customHeight="1">
      <c r="B664" s="562"/>
      <c r="C664" s="959"/>
      <c r="D664" s="689"/>
      <c r="E664" s="2007"/>
      <c r="F664" s="2007"/>
      <c r="G664" s="2007"/>
      <c r="H664" s="2007"/>
      <c r="I664" s="2007"/>
      <c r="J664" s="2007"/>
      <c r="K664" s="2007"/>
      <c r="L664" s="2007"/>
      <c r="M664" s="2007"/>
      <c r="N664" s="2007"/>
      <c r="O664" s="2007"/>
      <c r="P664" s="2007"/>
      <c r="Q664" s="2007"/>
      <c r="R664" s="2007"/>
      <c r="S664" s="2007"/>
      <c r="T664" s="2007"/>
      <c r="U664" s="2007"/>
      <c r="V664" s="2007"/>
      <c r="W664" s="2007"/>
      <c r="X664" s="2007"/>
      <c r="Y664" s="2007"/>
      <c r="Z664" s="2007"/>
      <c r="AA664" s="2007"/>
      <c r="AB664" s="2007"/>
      <c r="AC664" s="2007"/>
      <c r="AD664" s="562"/>
      <c r="AE664" s="562"/>
      <c r="AF664" s="562"/>
      <c r="AG664" s="562"/>
      <c r="AH664" s="562"/>
      <c r="AI664" s="562"/>
      <c r="AJ664" s="562"/>
      <c r="AK664" s="562"/>
      <c r="AL664" s="562"/>
      <c r="AM664" s="622"/>
      <c r="AN664" s="623"/>
    </row>
    <row r="665" spans="1:42" s="576" customFormat="1" ht="12.75" customHeight="1">
      <c r="B665" s="562"/>
      <c r="C665" s="959"/>
      <c r="D665" s="689"/>
      <c r="E665" s="562"/>
      <c r="F665" s="562"/>
      <c r="G665" s="562"/>
      <c r="H665" s="562"/>
      <c r="I665" s="562"/>
      <c r="J665" s="562"/>
      <c r="K665" s="562"/>
      <c r="L665" s="562"/>
      <c r="M665" s="562"/>
      <c r="N665" s="562"/>
      <c r="O665" s="562"/>
      <c r="P665" s="562"/>
      <c r="Q665" s="562"/>
      <c r="R665" s="562"/>
      <c r="S665" s="562"/>
      <c r="T665" s="562"/>
      <c r="U665" s="562"/>
      <c r="V665" s="562"/>
      <c r="W665" s="562"/>
      <c r="X665" s="562"/>
      <c r="Y665" s="562"/>
      <c r="Z665" s="562"/>
      <c r="AA665" s="562"/>
      <c r="AB665" s="562"/>
      <c r="AC665" s="562"/>
      <c r="AD665" s="562"/>
      <c r="AE665" s="562"/>
      <c r="AF665" s="562"/>
      <c r="AG665" s="562"/>
      <c r="AH665" s="562"/>
      <c r="AI665" s="562"/>
      <c r="AJ665" s="562"/>
      <c r="AK665" s="562"/>
      <c r="AL665" s="562"/>
      <c r="AM665" s="622"/>
      <c r="AN665" s="623"/>
    </row>
    <row r="666" spans="1:42" s="576" customFormat="1" ht="12.75" customHeight="1">
      <c r="A666" s="705"/>
      <c r="B666" s="562"/>
      <c r="C666" s="959"/>
      <c r="D666" s="689" t="s">
        <v>1582</v>
      </c>
      <c r="E666" s="2007" t="s">
        <v>1596</v>
      </c>
      <c r="F666" s="2007"/>
      <c r="G666" s="2007"/>
      <c r="H666" s="2007"/>
      <c r="I666" s="2007"/>
      <c r="J666" s="2007"/>
      <c r="K666" s="2007"/>
      <c r="L666" s="2007"/>
      <c r="M666" s="2007"/>
      <c r="N666" s="2007"/>
      <c r="O666" s="2007"/>
      <c r="P666" s="2007"/>
      <c r="Q666" s="2007"/>
      <c r="R666" s="2007"/>
      <c r="S666" s="2007"/>
      <c r="T666" s="2007"/>
      <c r="U666" s="2007"/>
      <c r="V666" s="2007"/>
      <c r="W666" s="2007"/>
      <c r="X666" s="2007"/>
      <c r="Y666" s="2007"/>
      <c r="Z666" s="2007"/>
      <c r="AA666" s="2007"/>
      <c r="AB666" s="2007"/>
      <c r="AC666" s="2007"/>
      <c r="AD666" s="562"/>
      <c r="AE666" s="562"/>
      <c r="AF666" s="1954" t="s">
        <v>1581</v>
      </c>
      <c r="AG666" s="1954"/>
      <c r="AH666" s="1954"/>
      <c r="AI666" s="1954"/>
      <c r="AJ666" s="1954"/>
      <c r="AK666" s="1954"/>
      <c r="AL666" s="1954"/>
      <c r="AM666" s="622"/>
      <c r="AN666" s="623"/>
    </row>
    <row r="667" spans="1:42" s="576" customFormat="1" ht="12.75" customHeight="1">
      <c r="A667" s="705"/>
      <c r="B667" s="562"/>
      <c r="C667" s="959"/>
      <c r="D667" s="689"/>
      <c r="E667" s="2007"/>
      <c r="F667" s="2007"/>
      <c r="G667" s="2007"/>
      <c r="H667" s="2007"/>
      <c r="I667" s="2007"/>
      <c r="J667" s="2007"/>
      <c r="K667" s="2007"/>
      <c r="L667" s="2007"/>
      <c r="M667" s="2007"/>
      <c r="N667" s="2007"/>
      <c r="O667" s="2007"/>
      <c r="P667" s="2007"/>
      <c r="Q667" s="2007"/>
      <c r="R667" s="2007"/>
      <c r="S667" s="2007"/>
      <c r="T667" s="2007"/>
      <c r="U667" s="2007"/>
      <c r="V667" s="2007"/>
      <c r="W667" s="2007"/>
      <c r="X667" s="2007"/>
      <c r="Y667" s="2007"/>
      <c r="Z667" s="2007"/>
      <c r="AA667" s="2007"/>
      <c r="AB667" s="2007"/>
      <c r="AC667" s="2007"/>
      <c r="AD667" s="562"/>
      <c r="AE667" s="562"/>
      <c r="AF667" s="620"/>
      <c r="AG667" s="620"/>
      <c r="AH667" s="620"/>
      <c r="AI667" s="620"/>
      <c r="AJ667" s="620"/>
      <c r="AK667" s="620"/>
      <c r="AL667" s="620"/>
      <c r="AM667" s="622"/>
      <c r="AN667" s="623"/>
    </row>
    <row r="668" spans="1:42" s="576" customFormat="1" ht="12.75" customHeight="1">
      <c r="A668" s="705"/>
      <c r="B668" s="562"/>
      <c r="C668" s="959"/>
      <c r="D668" s="689"/>
      <c r="E668" s="2007"/>
      <c r="F668" s="2007"/>
      <c r="G668" s="2007"/>
      <c r="H668" s="2007"/>
      <c r="I668" s="2007"/>
      <c r="J668" s="2007"/>
      <c r="K668" s="2007"/>
      <c r="L668" s="2007"/>
      <c r="M668" s="2007"/>
      <c r="N668" s="2007"/>
      <c r="O668" s="2007"/>
      <c r="P668" s="2007"/>
      <c r="Q668" s="2007"/>
      <c r="R668" s="2007"/>
      <c r="S668" s="2007"/>
      <c r="T668" s="2007"/>
      <c r="U668" s="2007"/>
      <c r="V668" s="2007"/>
      <c r="W668" s="2007"/>
      <c r="X668" s="2007"/>
      <c r="Y668" s="2007"/>
      <c r="Z668" s="2007"/>
      <c r="AA668" s="2007"/>
      <c r="AB668" s="2007"/>
      <c r="AC668" s="2007"/>
      <c r="AD668" s="562"/>
      <c r="AE668" s="620"/>
      <c r="AF668" s="620"/>
      <c r="AG668" s="620"/>
      <c r="AH668" s="620"/>
      <c r="AI668" s="620"/>
      <c r="AJ668" s="620"/>
      <c r="AK668" s="620"/>
      <c r="AL668" s="620"/>
      <c r="AM668" s="622"/>
      <c r="AN668" s="623"/>
    </row>
    <row r="669" spans="1:42" s="576" customFormat="1" ht="12.75" customHeight="1">
      <c r="A669" s="705"/>
      <c r="B669" s="562"/>
      <c r="C669" s="959"/>
      <c r="D669" s="689"/>
      <c r="E669" s="668"/>
      <c r="F669" s="668"/>
      <c r="G669" s="668"/>
      <c r="H669" s="668"/>
      <c r="I669" s="668"/>
      <c r="J669" s="668"/>
      <c r="K669" s="668"/>
      <c r="L669" s="668"/>
      <c r="M669" s="668"/>
      <c r="N669" s="668"/>
      <c r="O669" s="668"/>
      <c r="P669" s="668"/>
      <c r="Q669" s="668"/>
      <c r="R669" s="668"/>
      <c r="S669" s="668"/>
      <c r="T669" s="668"/>
      <c r="U669" s="668"/>
      <c r="V669" s="668"/>
      <c r="W669" s="668"/>
      <c r="X669" s="668"/>
      <c r="Y669" s="668"/>
      <c r="Z669" s="668"/>
      <c r="AA669" s="668"/>
      <c r="AB669" s="668"/>
      <c r="AC669" s="668"/>
      <c r="AD669" s="562"/>
      <c r="AE669" s="620"/>
      <c r="AF669" s="562"/>
      <c r="AG669" s="562"/>
      <c r="AH669" s="562"/>
      <c r="AI669" s="562"/>
      <c r="AJ669" s="562"/>
      <c r="AK669" s="562"/>
      <c r="AL669" s="562"/>
      <c r="AM669" s="622"/>
      <c r="AN669" s="623"/>
      <c r="AO669" s="576" t="s">
        <v>601</v>
      </c>
      <c r="AP669" s="663">
        <v>0</v>
      </c>
    </row>
    <row r="670" spans="1:42" s="576" customFormat="1" ht="12.75" customHeight="1">
      <c r="A670" s="705"/>
      <c r="B670" s="562"/>
      <c r="C670" s="959"/>
      <c r="D670" s="689" t="s">
        <v>1584</v>
      </c>
      <c r="E670" s="2007" t="s">
        <v>1597</v>
      </c>
      <c r="F670" s="2007"/>
      <c r="G670" s="2007"/>
      <c r="H670" s="2007"/>
      <c r="I670" s="2007"/>
      <c r="J670" s="2007"/>
      <c r="K670" s="2007"/>
      <c r="L670" s="2007"/>
      <c r="M670" s="2007"/>
      <c r="N670" s="2007"/>
      <c r="O670" s="2007"/>
      <c r="P670" s="2007"/>
      <c r="Q670" s="2007"/>
      <c r="R670" s="2007"/>
      <c r="S670" s="2007"/>
      <c r="T670" s="2007"/>
      <c r="U670" s="2007"/>
      <c r="V670" s="2007"/>
      <c r="W670" s="2007"/>
      <c r="X670" s="2007"/>
      <c r="Y670" s="2007"/>
      <c r="Z670" s="2007"/>
      <c r="AA670" s="2007"/>
      <c r="AB670" s="2007"/>
      <c r="AC670" s="2007"/>
      <c r="AD670" s="562"/>
      <c r="AE670" s="562"/>
      <c r="AF670" s="1954" t="s">
        <v>1598</v>
      </c>
      <c r="AG670" s="1954"/>
      <c r="AH670" s="1954"/>
      <c r="AI670" s="1954"/>
      <c r="AJ670" s="1954"/>
      <c r="AK670" s="1954"/>
      <c r="AL670" s="1954"/>
      <c r="AM670" s="622"/>
      <c r="AN670" s="623"/>
      <c r="AO670" s="637" t="s">
        <v>698</v>
      </c>
      <c r="AP670" s="576">
        <v>3</v>
      </c>
    </row>
    <row r="671" spans="1:42" s="576" customFormat="1" ht="12.75" customHeight="1">
      <c r="A671" s="705"/>
      <c r="B671" s="562"/>
      <c r="C671" s="959"/>
      <c r="D671" s="689"/>
      <c r="E671" s="2007"/>
      <c r="F671" s="2007"/>
      <c r="G671" s="2007"/>
      <c r="H671" s="2007"/>
      <c r="I671" s="2007"/>
      <c r="J671" s="2007"/>
      <c r="K671" s="2007"/>
      <c r="L671" s="2007"/>
      <c r="M671" s="2007"/>
      <c r="N671" s="2007"/>
      <c r="O671" s="2007"/>
      <c r="P671" s="2007"/>
      <c r="Q671" s="2007"/>
      <c r="R671" s="2007"/>
      <c r="S671" s="2007"/>
      <c r="T671" s="2007"/>
      <c r="U671" s="2007"/>
      <c r="V671" s="2007"/>
      <c r="W671" s="2007"/>
      <c r="X671" s="2007"/>
      <c r="Y671" s="2007"/>
      <c r="Z671" s="2007"/>
      <c r="AA671" s="2007"/>
      <c r="AB671" s="2007"/>
      <c r="AC671" s="2007"/>
      <c r="AD671" s="562"/>
      <c r="AE671" s="562"/>
      <c r="AF671" s="620"/>
      <c r="AG671" s="620"/>
      <c r="AH671" s="620"/>
      <c r="AI671" s="620"/>
      <c r="AJ671" s="620"/>
      <c r="AK671" s="620"/>
      <c r="AL671" s="620"/>
      <c r="AM671" s="622"/>
      <c r="AN671" s="623"/>
      <c r="AO671" s="637" t="s">
        <v>519</v>
      </c>
      <c r="AP671" s="576">
        <v>2</v>
      </c>
    </row>
    <row r="672" spans="1:42" s="576" customFormat="1" ht="12.75" customHeight="1">
      <c r="A672" s="705"/>
      <c r="B672" s="562"/>
      <c r="C672" s="959"/>
      <c r="D672" s="689"/>
      <c r="E672" s="2007"/>
      <c r="F672" s="2007"/>
      <c r="G672" s="2007"/>
      <c r="H672" s="2007"/>
      <c r="I672" s="2007"/>
      <c r="J672" s="2007"/>
      <c r="K672" s="2007"/>
      <c r="L672" s="2007"/>
      <c r="M672" s="2007"/>
      <c r="N672" s="2007"/>
      <c r="O672" s="2007"/>
      <c r="P672" s="2007"/>
      <c r="Q672" s="2007"/>
      <c r="R672" s="2007"/>
      <c r="S672" s="2007"/>
      <c r="T672" s="2007"/>
      <c r="U672" s="2007"/>
      <c r="V672" s="2007"/>
      <c r="W672" s="2007"/>
      <c r="X672" s="2007"/>
      <c r="Y672" s="2007"/>
      <c r="Z672" s="2007"/>
      <c r="AA672" s="2007"/>
      <c r="AB672" s="2007"/>
      <c r="AC672" s="2007"/>
      <c r="AD672" s="562"/>
      <c r="AE672" s="620"/>
      <c r="AF672" s="620"/>
      <c r="AG672" s="620"/>
      <c r="AH672" s="620"/>
      <c r="AI672" s="620"/>
      <c r="AJ672" s="620"/>
      <c r="AK672" s="620"/>
      <c r="AL672" s="620"/>
      <c r="AM672" s="622"/>
      <c r="AN672" s="623"/>
    </row>
    <row r="673" spans="1:42" s="576" customFormat="1" ht="12.75" customHeight="1">
      <c r="A673" s="696"/>
      <c r="B673" s="562"/>
      <c r="C673" s="975"/>
      <c r="D673" s="689"/>
      <c r="E673" s="669"/>
      <c r="F673" s="669"/>
      <c r="G673" s="669"/>
      <c r="H673" s="669"/>
      <c r="I673" s="669"/>
      <c r="J673" s="669"/>
      <c r="K673" s="669"/>
      <c r="L673" s="669"/>
      <c r="M673" s="669"/>
      <c r="N673" s="669"/>
      <c r="O673" s="669"/>
      <c r="P673" s="669"/>
      <c r="Q673" s="669"/>
      <c r="R673" s="669"/>
      <c r="S673" s="669"/>
      <c r="T673" s="669"/>
      <c r="U673" s="669"/>
      <c r="V673" s="669"/>
      <c r="W673" s="669"/>
      <c r="X673" s="669"/>
      <c r="Y673" s="669"/>
      <c r="Z673" s="669"/>
      <c r="AA673" s="669"/>
      <c r="AB673" s="669"/>
      <c r="AC673" s="669"/>
      <c r="AD673" s="562"/>
      <c r="AE673" s="620"/>
      <c r="AF673" s="620"/>
      <c r="AG673" s="620"/>
      <c r="AH673" s="620"/>
      <c r="AI673" s="620"/>
      <c r="AJ673" s="620"/>
      <c r="AK673" s="620"/>
      <c r="AL673" s="620"/>
      <c r="AM673" s="622"/>
      <c r="AN673" s="623"/>
    </row>
    <row r="674" spans="1:42" s="576" customFormat="1" ht="12.75" customHeight="1">
      <c r="A674" s="705"/>
      <c r="B674" s="562"/>
      <c r="C674" s="959"/>
      <c r="D674" s="562" t="s">
        <v>1573</v>
      </c>
      <c r="E674" s="964"/>
      <c r="F674" s="964"/>
      <c r="G674" s="964"/>
      <c r="H674" s="2036" t="s">
        <v>1571</v>
      </c>
      <c r="I674" s="2036"/>
      <c r="J674" s="642"/>
      <c r="K674" s="642"/>
      <c r="L674" s="562"/>
      <c r="M674" s="562"/>
      <c r="N674" s="562"/>
      <c r="O674" s="562"/>
      <c r="P674" s="562"/>
      <c r="Q674" s="562"/>
      <c r="R674" s="562"/>
      <c r="S674" s="562"/>
      <c r="T674" s="562"/>
      <c r="U674" s="562"/>
      <c r="V674" s="562"/>
      <c r="W674" s="562"/>
      <c r="X674" s="562"/>
      <c r="Y674" s="562"/>
      <c r="Z674" s="562"/>
      <c r="AA674" s="562"/>
      <c r="AB674" s="562"/>
      <c r="AC674" s="562"/>
      <c r="AD674" s="562"/>
      <c r="AE674" s="562"/>
      <c r="AF674" s="562"/>
      <c r="AG674" s="562"/>
      <c r="AH674" s="562"/>
      <c r="AI674" s="562"/>
      <c r="AJ674" s="562"/>
      <c r="AK674" s="562"/>
      <c r="AL674" s="562"/>
      <c r="AN674" s="623"/>
    </row>
    <row r="675" spans="1:42" s="576" customFormat="1" ht="12.75" customHeight="1">
      <c r="A675" s="705"/>
      <c r="B675" s="562"/>
      <c r="C675" s="959"/>
      <c r="D675" s="562"/>
      <c r="E675" s="964"/>
      <c r="F675" s="964"/>
      <c r="G675" s="642"/>
      <c r="H675" s="642"/>
      <c r="I675" s="642"/>
      <c r="J675" s="642"/>
      <c r="K675" s="642"/>
      <c r="L675" s="642"/>
      <c r="M675" s="642"/>
      <c r="N675" s="642"/>
      <c r="O675" s="642"/>
      <c r="P675" s="642"/>
      <c r="Q675" s="642"/>
      <c r="R675" s="642"/>
      <c r="S675" s="642"/>
      <c r="T675" s="642"/>
      <c r="U675" s="642"/>
      <c r="V675" s="642"/>
      <c r="W675" s="642"/>
      <c r="X675" s="642"/>
      <c r="Y675" s="642"/>
      <c r="Z675" s="964"/>
      <c r="AA675" s="964"/>
      <c r="AB675" s="964"/>
      <c r="AC675" s="562"/>
      <c r="AD675" s="562"/>
      <c r="AE675" s="562"/>
      <c r="AF675" s="562"/>
      <c r="AG675" s="642"/>
      <c r="AH675" s="642"/>
      <c r="AI675" s="642"/>
      <c r="AJ675" s="642"/>
      <c r="AK675" s="642"/>
      <c r="AL675" s="642"/>
      <c r="AM675" s="577"/>
      <c r="AN675" s="623"/>
    </row>
    <row r="676" spans="1:42" s="576" customFormat="1" ht="12.75" customHeight="1">
      <c r="A676" s="709"/>
      <c r="B676" s="627"/>
      <c r="C676" s="972"/>
      <c r="D676" s="627"/>
      <c r="E676" s="967"/>
      <c r="F676" s="691"/>
      <c r="G676" s="691"/>
      <c r="H676" s="691"/>
      <c r="I676" s="691"/>
      <c r="J676" s="691"/>
      <c r="K676" s="691"/>
      <c r="L676" s="691"/>
      <c r="M676" s="691"/>
      <c r="N676" s="691"/>
      <c r="O676" s="691"/>
      <c r="P676" s="691"/>
      <c r="Q676" s="691"/>
      <c r="R676" s="691"/>
      <c r="S676" s="691"/>
      <c r="T676" s="691"/>
      <c r="U676" s="691"/>
      <c r="V676" s="691"/>
      <c r="W676" s="691"/>
      <c r="X676" s="691"/>
      <c r="Y676" s="967"/>
      <c r="Z676" s="967"/>
      <c r="AA676" s="967"/>
      <c r="AB676" s="627"/>
      <c r="AC676" s="627"/>
      <c r="AD676" s="627"/>
      <c r="AE676" s="627"/>
      <c r="AF676" s="627"/>
      <c r="AG676" s="627"/>
      <c r="AH676" s="627"/>
      <c r="AI676" s="591" t="s">
        <v>1599</v>
      </c>
      <c r="AJ676" s="1987">
        <f>VLOOKUP($H$674,$AO$622:$AP$629,2,FALSE)</f>
        <v>3</v>
      </c>
      <c r="AK676" s="1989"/>
      <c r="AL676" s="621"/>
      <c r="AN676" s="623"/>
    </row>
    <row r="677" spans="1:42" s="576" customFormat="1" ht="12.75" customHeight="1">
      <c r="A677" s="705"/>
      <c r="B677" s="562"/>
      <c r="C677" s="959"/>
      <c r="D677" s="562"/>
      <c r="E677" s="642"/>
      <c r="F677" s="642"/>
      <c r="G677" s="642"/>
      <c r="H677" s="642"/>
      <c r="I677" s="642"/>
      <c r="J677" s="642"/>
      <c r="K677" s="642"/>
      <c r="L677" s="642"/>
      <c r="M677" s="642"/>
      <c r="N677" s="642"/>
      <c r="O677" s="642"/>
      <c r="P677" s="642"/>
      <c r="Q677" s="642"/>
      <c r="R677" s="642"/>
      <c r="S677" s="642"/>
      <c r="T677" s="642"/>
      <c r="U677" s="642"/>
      <c r="V677" s="642"/>
      <c r="W677" s="642"/>
      <c r="X677" s="642"/>
      <c r="Y677" s="642"/>
      <c r="Z677" s="642"/>
      <c r="AA677" s="642"/>
      <c r="AB677" s="642"/>
      <c r="AC677" s="642"/>
      <c r="AD677" s="666"/>
      <c r="AE677" s="562"/>
      <c r="AF677" s="562"/>
      <c r="AG677" s="562"/>
      <c r="AH677" s="562"/>
      <c r="AI677" s="562"/>
      <c r="AJ677" s="562"/>
      <c r="AK677" s="562"/>
      <c r="AL677" s="562"/>
      <c r="AN677" s="623"/>
    </row>
    <row r="678" spans="1:42" s="576" customFormat="1" ht="12.75" customHeight="1">
      <c r="A678" s="705"/>
      <c r="B678" s="562"/>
      <c r="C678" s="565" t="s">
        <v>2564</v>
      </c>
      <c r="D678" s="738"/>
      <c r="E678" s="642"/>
      <c r="F678" s="642"/>
      <c r="G678" s="642"/>
      <c r="H678" s="642"/>
      <c r="I678" s="642"/>
      <c r="J678" s="642"/>
      <c r="K678" s="642"/>
      <c r="L678" s="642"/>
      <c r="M678" s="642"/>
      <c r="N678" s="642"/>
      <c r="O678" s="642"/>
      <c r="P678" s="642"/>
      <c r="Q678" s="642"/>
      <c r="R678" s="642"/>
      <c r="S678" s="642"/>
      <c r="T678" s="642"/>
      <c r="U678" s="642"/>
      <c r="V678" s="642"/>
      <c r="W678" s="642"/>
      <c r="X678" s="642"/>
      <c r="Y678" s="642"/>
      <c r="Z678" s="642"/>
      <c r="AA678" s="642"/>
      <c r="AB678" s="642"/>
      <c r="AC678" s="642"/>
      <c r="AD678" s="666"/>
      <c r="AE678" s="562"/>
      <c r="AF678" s="562"/>
      <c r="AG678" s="562"/>
      <c r="AH678" s="562"/>
      <c r="AI678" s="562"/>
      <c r="AJ678" s="562"/>
      <c r="AK678" s="562"/>
      <c r="AL678" s="562"/>
      <c r="AN678" s="623"/>
    </row>
    <row r="679" spans="1:42" s="576" customFormat="1" ht="12.75" customHeight="1">
      <c r="A679" s="705"/>
      <c r="B679" s="562"/>
      <c r="C679" s="976"/>
      <c r="D679" s="562"/>
      <c r="E679" s="562"/>
      <c r="F679" s="562"/>
      <c r="G679" s="562"/>
      <c r="H679" s="562"/>
      <c r="I679" s="562"/>
      <c r="J679" s="562"/>
      <c r="K679" s="562"/>
      <c r="L679" s="562"/>
      <c r="M679" s="562"/>
      <c r="N679" s="562"/>
      <c r="O679" s="562"/>
      <c r="P679" s="562"/>
      <c r="Q679" s="562"/>
      <c r="R679" s="562"/>
      <c r="S679" s="562"/>
      <c r="T679" s="562"/>
      <c r="U679" s="562"/>
      <c r="V679" s="562"/>
      <c r="W679" s="562"/>
      <c r="X679" s="562"/>
      <c r="Y679" s="562"/>
      <c r="Z679" s="562"/>
      <c r="AA679" s="562"/>
      <c r="AB679" s="562"/>
      <c r="AC679" s="562"/>
      <c r="AD679" s="562"/>
      <c r="AE679" s="562"/>
      <c r="AF679" s="562"/>
      <c r="AG679" s="562"/>
      <c r="AH679" s="562"/>
      <c r="AI679" s="562"/>
      <c r="AJ679" s="562"/>
      <c r="AK679" s="562"/>
      <c r="AL679" s="562"/>
      <c r="AN679" s="623"/>
    </row>
    <row r="680" spans="1:42" s="576" customFormat="1" ht="12.75" customHeight="1">
      <c r="B680" s="562"/>
      <c r="C680" s="959"/>
      <c r="D680" s="689" t="s">
        <v>698</v>
      </c>
      <c r="E680" s="2007" t="s">
        <v>2562</v>
      </c>
      <c r="F680" s="2007"/>
      <c r="G680" s="2007"/>
      <c r="H680" s="2007"/>
      <c r="I680" s="2007"/>
      <c r="J680" s="2007"/>
      <c r="K680" s="2007"/>
      <c r="L680" s="2007"/>
      <c r="M680" s="2007"/>
      <c r="N680" s="2007"/>
      <c r="O680" s="2007"/>
      <c r="P680" s="2007"/>
      <c r="Q680" s="2007"/>
      <c r="R680" s="2007"/>
      <c r="S680" s="2007"/>
      <c r="T680" s="2007"/>
      <c r="U680" s="2007"/>
      <c r="V680" s="2007"/>
      <c r="W680" s="2007"/>
      <c r="X680" s="2007"/>
      <c r="Y680" s="2007"/>
      <c r="Z680" s="2007"/>
      <c r="AA680" s="2007"/>
      <c r="AB680" s="2007"/>
      <c r="AC680" s="562"/>
      <c r="AD680" s="562"/>
      <c r="AE680" s="562"/>
      <c r="AF680" s="1954" t="s">
        <v>1525</v>
      </c>
      <c r="AG680" s="1954"/>
      <c r="AH680" s="1954"/>
      <c r="AI680" s="1954"/>
      <c r="AJ680" s="1954"/>
      <c r="AK680" s="1954"/>
      <c r="AL680" s="1954"/>
      <c r="AN680" s="623"/>
    </row>
    <row r="681" spans="1:42" s="576" customFormat="1" ht="12.75" customHeight="1">
      <c r="B681" s="562"/>
      <c r="C681" s="968"/>
      <c r="D681" s="689"/>
      <c r="E681" s="2007"/>
      <c r="F681" s="2007"/>
      <c r="G681" s="2007"/>
      <c r="H681" s="2007"/>
      <c r="I681" s="2007"/>
      <c r="J681" s="2007"/>
      <c r="K681" s="2007"/>
      <c r="L681" s="2007"/>
      <c r="M681" s="2007"/>
      <c r="N681" s="2007"/>
      <c r="O681" s="2007"/>
      <c r="P681" s="2007"/>
      <c r="Q681" s="2007"/>
      <c r="R681" s="2007"/>
      <c r="S681" s="2007"/>
      <c r="T681" s="2007"/>
      <c r="U681" s="2007"/>
      <c r="V681" s="2007"/>
      <c r="W681" s="2007"/>
      <c r="X681" s="2007"/>
      <c r="Y681" s="2007"/>
      <c r="Z681" s="2007"/>
      <c r="AA681" s="2007"/>
      <c r="AB681" s="2007"/>
      <c r="AC681" s="562"/>
      <c r="AD681" s="562"/>
      <c r="AE681" s="642"/>
      <c r="AF681" s="562"/>
      <c r="AG681" s="562"/>
      <c r="AH681" s="562"/>
      <c r="AI681" s="562"/>
      <c r="AJ681" s="562"/>
      <c r="AK681" s="562"/>
      <c r="AL681" s="562"/>
      <c r="AN681" s="623"/>
      <c r="AO681" s="2039"/>
      <c r="AP681" s="2039"/>
    </row>
    <row r="682" spans="1:42" s="576" customFormat="1" ht="12.75" customHeight="1">
      <c r="B682" s="562"/>
      <c r="C682" s="968"/>
      <c r="D682" s="689"/>
      <c r="E682" s="2007"/>
      <c r="F682" s="2007"/>
      <c r="G682" s="2007"/>
      <c r="H682" s="2007"/>
      <c r="I682" s="2007"/>
      <c r="J682" s="2007"/>
      <c r="K682" s="2007"/>
      <c r="L682" s="2007"/>
      <c r="M682" s="2007"/>
      <c r="N682" s="2007"/>
      <c r="O682" s="2007"/>
      <c r="P682" s="2007"/>
      <c r="Q682" s="2007"/>
      <c r="R682" s="2007"/>
      <c r="S682" s="2007"/>
      <c r="T682" s="2007"/>
      <c r="U682" s="2007"/>
      <c r="V682" s="2007"/>
      <c r="W682" s="2007"/>
      <c r="X682" s="2007"/>
      <c r="Y682" s="2007"/>
      <c r="Z682" s="2007"/>
      <c r="AA682" s="2007"/>
      <c r="AB682" s="2007"/>
      <c r="AC682" s="562"/>
      <c r="AD682" s="562"/>
      <c r="AE682" s="642"/>
      <c r="AF682" s="642"/>
      <c r="AG682" s="642"/>
      <c r="AH682" s="642"/>
      <c r="AI682" s="642"/>
      <c r="AJ682" s="642"/>
      <c r="AK682" s="642"/>
      <c r="AL682" s="642"/>
      <c r="AN682" s="623"/>
    </row>
    <row r="683" spans="1:42" s="576" customFormat="1" ht="28.5" customHeight="1">
      <c r="B683" s="562"/>
      <c r="C683" s="968"/>
      <c r="D683" s="689"/>
      <c r="E683" s="2007"/>
      <c r="F683" s="2007"/>
      <c r="G683" s="2007"/>
      <c r="H683" s="2007"/>
      <c r="I683" s="2007"/>
      <c r="J683" s="2007"/>
      <c r="K683" s="2007"/>
      <c r="L683" s="2007"/>
      <c r="M683" s="2007"/>
      <c r="N683" s="2007"/>
      <c r="O683" s="2007"/>
      <c r="P683" s="2007"/>
      <c r="Q683" s="2007"/>
      <c r="R683" s="2007"/>
      <c r="S683" s="2007"/>
      <c r="T683" s="2007"/>
      <c r="U683" s="2007"/>
      <c r="V683" s="2007"/>
      <c r="W683" s="2007"/>
      <c r="X683" s="2007"/>
      <c r="Y683" s="2007"/>
      <c r="Z683" s="2007"/>
      <c r="AA683" s="2007"/>
      <c r="AB683" s="2007"/>
      <c r="AC683" s="562"/>
      <c r="AD683" s="562"/>
      <c r="AE683" s="642"/>
      <c r="AF683" s="642"/>
      <c r="AG683" s="642"/>
      <c r="AH683" s="642"/>
      <c r="AI683" s="642"/>
      <c r="AJ683" s="642"/>
      <c r="AK683" s="642"/>
      <c r="AL683" s="642"/>
      <c r="AN683" s="623"/>
      <c r="AO683" s="576" t="s">
        <v>601</v>
      </c>
      <c r="AP683" s="699">
        <v>0</v>
      </c>
    </row>
    <row r="684" spans="1:42" s="576" customFormat="1" ht="12.75" customHeight="1">
      <c r="B684" s="562"/>
      <c r="C684" s="968"/>
      <c r="D684" s="689"/>
      <c r="E684" s="601"/>
      <c r="F684" s="601"/>
      <c r="G684" s="601"/>
      <c r="H684" s="601"/>
      <c r="I684" s="601"/>
      <c r="J684" s="601"/>
      <c r="K684" s="601"/>
      <c r="L684" s="601"/>
      <c r="M684" s="601"/>
      <c r="N684" s="601"/>
      <c r="O684" s="601"/>
      <c r="P684" s="601"/>
      <c r="Q684" s="601"/>
      <c r="R684" s="601"/>
      <c r="S684" s="601"/>
      <c r="T684" s="601"/>
      <c r="U684" s="601"/>
      <c r="V684" s="601"/>
      <c r="W684" s="601"/>
      <c r="X684" s="601"/>
      <c r="Y684" s="601"/>
      <c r="Z684" s="601"/>
      <c r="AA684" s="601"/>
      <c r="AB684" s="601"/>
      <c r="AC684" s="562"/>
      <c r="AD684" s="562"/>
      <c r="AE684" s="642"/>
      <c r="AF684" s="642"/>
      <c r="AG684" s="642"/>
      <c r="AH684" s="642"/>
      <c r="AI684" s="642"/>
      <c r="AJ684" s="642"/>
      <c r="AK684" s="642"/>
      <c r="AL684" s="642"/>
      <c r="AN684" s="623"/>
      <c r="AO684" s="637" t="s">
        <v>698</v>
      </c>
      <c r="AP684" s="576">
        <v>2</v>
      </c>
    </row>
    <row r="685" spans="1:42" s="576" customFormat="1" ht="12.75" customHeight="1">
      <c r="B685" s="562"/>
      <c r="C685" s="959"/>
      <c r="D685" s="689" t="s">
        <v>519</v>
      </c>
      <c r="E685" s="2007" t="s">
        <v>2563</v>
      </c>
      <c r="F685" s="2007"/>
      <c r="G685" s="2007"/>
      <c r="H685" s="2007"/>
      <c r="I685" s="2007"/>
      <c r="J685" s="2007"/>
      <c r="K685" s="2007"/>
      <c r="L685" s="2007"/>
      <c r="M685" s="2007"/>
      <c r="N685" s="2007"/>
      <c r="O685" s="2007"/>
      <c r="P685" s="2007"/>
      <c r="Q685" s="2007"/>
      <c r="R685" s="2007"/>
      <c r="S685" s="2007"/>
      <c r="T685" s="2007"/>
      <c r="U685" s="2007"/>
      <c r="V685" s="2007"/>
      <c r="W685" s="2007"/>
      <c r="X685" s="2007"/>
      <c r="Y685" s="2007"/>
      <c r="Z685" s="2007"/>
      <c r="AA685" s="2007"/>
      <c r="AB685" s="2007"/>
      <c r="AC685" s="562"/>
      <c r="AD685" s="562"/>
      <c r="AE685" s="562"/>
      <c r="AF685" s="1954" t="s">
        <v>1581</v>
      </c>
      <c r="AG685" s="1954"/>
      <c r="AH685" s="1954"/>
      <c r="AI685" s="1954"/>
      <c r="AJ685" s="1954"/>
      <c r="AK685" s="1954"/>
      <c r="AL685" s="1954"/>
      <c r="AN685" s="623"/>
      <c r="AO685" s="637" t="s">
        <v>519</v>
      </c>
      <c r="AP685" s="576">
        <v>1</v>
      </c>
    </row>
    <row r="686" spans="1:42" s="576" customFormat="1" ht="12" customHeight="1">
      <c r="B686" s="562"/>
      <c r="C686" s="959"/>
      <c r="D686" s="562"/>
      <c r="E686" s="2007"/>
      <c r="F686" s="2007"/>
      <c r="G686" s="2007"/>
      <c r="H686" s="2007"/>
      <c r="I686" s="2007"/>
      <c r="J686" s="2007"/>
      <c r="K686" s="2007"/>
      <c r="L686" s="2007"/>
      <c r="M686" s="2007"/>
      <c r="N686" s="2007"/>
      <c r="O686" s="2007"/>
      <c r="P686" s="2007"/>
      <c r="Q686" s="2007"/>
      <c r="R686" s="2007"/>
      <c r="S686" s="2007"/>
      <c r="T686" s="2007"/>
      <c r="U686" s="2007"/>
      <c r="V686" s="2007"/>
      <c r="W686" s="2007"/>
      <c r="X686" s="2007"/>
      <c r="Y686" s="2007"/>
      <c r="Z686" s="2007"/>
      <c r="AA686" s="2007"/>
      <c r="AB686" s="2007"/>
      <c r="AC686" s="562"/>
      <c r="AD686" s="562"/>
      <c r="AE686" s="642"/>
      <c r="AF686" s="562"/>
      <c r="AG686" s="562"/>
      <c r="AH686" s="562"/>
      <c r="AI686" s="562"/>
      <c r="AJ686" s="562"/>
      <c r="AK686" s="562"/>
      <c r="AL686" s="562"/>
      <c r="AN686" s="623"/>
    </row>
    <row r="687" spans="1:42" s="576" customFormat="1" ht="12" customHeight="1">
      <c r="B687" s="562"/>
      <c r="C687" s="959"/>
      <c r="D687" s="562"/>
      <c r="E687" s="2007"/>
      <c r="F687" s="2007"/>
      <c r="G687" s="2007"/>
      <c r="H687" s="2007"/>
      <c r="I687" s="2007"/>
      <c r="J687" s="2007"/>
      <c r="K687" s="2007"/>
      <c r="L687" s="2007"/>
      <c r="M687" s="2007"/>
      <c r="N687" s="2007"/>
      <c r="O687" s="2007"/>
      <c r="P687" s="2007"/>
      <c r="Q687" s="2007"/>
      <c r="R687" s="2007"/>
      <c r="S687" s="2007"/>
      <c r="T687" s="2007"/>
      <c r="U687" s="2007"/>
      <c r="V687" s="2007"/>
      <c r="W687" s="2007"/>
      <c r="X687" s="2007"/>
      <c r="Y687" s="2007"/>
      <c r="Z687" s="2007"/>
      <c r="AA687" s="2007"/>
      <c r="AB687" s="2007"/>
      <c r="AC687" s="562"/>
      <c r="AD687" s="562"/>
      <c r="AE687" s="642"/>
      <c r="AF687" s="562"/>
      <c r="AG687" s="562"/>
      <c r="AH687" s="562"/>
      <c r="AI687" s="562"/>
      <c r="AJ687" s="562"/>
      <c r="AK687" s="562"/>
      <c r="AL687" s="562"/>
      <c r="AN687" s="623"/>
    </row>
    <row r="688" spans="1:42" s="596" customFormat="1" ht="29.25" customHeight="1">
      <c r="A688" s="576"/>
      <c r="B688" s="562"/>
      <c r="C688" s="959"/>
      <c r="D688" s="562"/>
      <c r="E688" s="2007"/>
      <c r="F688" s="2007"/>
      <c r="G688" s="2007"/>
      <c r="H688" s="2007"/>
      <c r="I688" s="2007"/>
      <c r="J688" s="2007"/>
      <c r="K688" s="2007"/>
      <c r="L688" s="2007"/>
      <c r="M688" s="2007"/>
      <c r="N688" s="2007"/>
      <c r="O688" s="2007"/>
      <c r="P688" s="2007"/>
      <c r="Q688" s="2007"/>
      <c r="R688" s="2007"/>
      <c r="S688" s="2007"/>
      <c r="T688" s="2007"/>
      <c r="U688" s="2007"/>
      <c r="V688" s="2007"/>
      <c r="W688" s="2007"/>
      <c r="X688" s="2007"/>
      <c r="Y688" s="2007"/>
      <c r="Z688" s="2007"/>
      <c r="AA688" s="2007"/>
      <c r="AB688" s="2007"/>
      <c r="AC688" s="562"/>
      <c r="AD688" s="562"/>
      <c r="AE688" s="642"/>
      <c r="AF688" s="642"/>
      <c r="AG688" s="642"/>
      <c r="AH688" s="642"/>
      <c r="AI688" s="642"/>
      <c r="AJ688" s="562"/>
      <c r="AK688" s="562"/>
      <c r="AL688" s="562"/>
      <c r="AM688" s="576"/>
      <c r="AN688" s="710"/>
    </row>
    <row r="689" spans="1:42" s="596" customFormat="1" ht="12" customHeight="1">
      <c r="A689" s="576"/>
      <c r="B689" s="562"/>
      <c r="C689" s="959"/>
      <c r="D689" s="562"/>
      <c r="E689" s="669"/>
      <c r="F689" s="669"/>
      <c r="G689" s="669"/>
      <c r="H689" s="669"/>
      <c r="I689" s="669"/>
      <c r="J689" s="669"/>
      <c r="K689" s="669"/>
      <c r="L689" s="669"/>
      <c r="M689" s="669"/>
      <c r="N689" s="669"/>
      <c r="O689" s="669"/>
      <c r="P689" s="669"/>
      <c r="Q689" s="669"/>
      <c r="R689" s="669"/>
      <c r="S689" s="669"/>
      <c r="T689" s="669"/>
      <c r="U689" s="669"/>
      <c r="V689" s="669"/>
      <c r="W689" s="669"/>
      <c r="X689" s="669"/>
      <c r="Y689" s="669"/>
      <c r="Z689" s="669"/>
      <c r="AA689" s="669"/>
      <c r="AB689" s="669"/>
      <c r="AC689" s="562"/>
      <c r="AD689" s="562"/>
      <c r="AE689" s="642"/>
      <c r="AF689" s="642"/>
      <c r="AG689" s="642"/>
      <c r="AH689" s="642"/>
      <c r="AI689" s="642"/>
      <c r="AJ689" s="562"/>
      <c r="AK689" s="562"/>
      <c r="AL689" s="562"/>
      <c r="AM689" s="576"/>
      <c r="AN689" s="710"/>
    </row>
    <row r="690" spans="1:42" s="596" customFormat="1" ht="12.75" customHeight="1">
      <c r="A690" s="576"/>
      <c r="B690" s="562"/>
      <c r="C690" s="959"/>
      <c r="D690" s="562"/>
      <c r="E690" s="2007" t="s">
        <v>1954</v>
      </c>
      <c r="F690" s="2007"/>
      <c r="G690" s="2007"/>
      <c r="H690" s="2007"/>
      <c r="I690" s="2007"/>
      <c r="J690" s="2007"/>
      <c r="K690" s="2007"/>
      <c r="L690" s="2007"/>
      <c r="M690" s="2007"/>
      <c r="N690" s="2007"/>
      <c r="O690" s="2007"/>
      <c r="P690" s="2007"/>
      <c r="Q690" s="2007"/>
      <c r="R690" s="2007"/>
      <c r="S690" s="2007"/>
      <c r="T690" s="2007"/>
      <c r="U690" s="2007"/>
      <c r="V690" s="2007"/>
      <c r="W690" s="2007"/>
      <c r="X690" s="2007"/>
      <c r="Y690" s="2007"/>
      <c r="Z690" s="2007"/>
      <c r="AA690" s="2007"/>
      <c r="AB690" s="2007"/>
      <c r="AC690" s="562"/>
      <c r="AD690" s="562"/>
      <c r="AE690" s="642"/>
      <c r="AF690" s="642"/>
      <c r="AG690" s="642"/>
      <c r="AH690" s="642"/>
      <c r="AI690" s="642"/>
      <c r="AJ690" s="562"/>
      <c r="AK690" s="562"/>
      <c r="AL690" s="562"/>
      <c r="AM690" s="576"/>
      <c r="AN690" s="710"/>
    </row>
    <row r="691" spans="1:42" s="596" customFormat="1" ht="12.75" customHeight="1">
      <c r="A691" s="576"/>
      <c r="B691" s="562"/>
      <c r="C691" s="959"/>
      <c r="D691" s="562"/>
      <c r="E691" s="2007"/>
      <c r="F691" s="2007"/>
      <c r="G691" s="2007"/>
      <c r="H691" s="2007"/>
      <c r="I691" s="2007"/>
      <c r="J691" s="2007"/>
      <c r="K691" s="2007"/>
      <c r="L691" s="2007"/>
      <c r="M691" s="2007"/>
      <c r="N691" s="2007"/>
      <c r="O691" s="2007"/>
      <c r="P691" s="2007"/>
      <c r="Q691" s="2007"/>
      <c r="R691" s="2007"/>
      <c r="S691" s="2007"/>
      <c r="T691" s="2007"/>
      <c r="U691" s="2007"/>
      <c r="V691" s="2007"/>
      <c r="W691" s="2007"/>
      <c r="X691" s="2007"/>
      <c r="Y691" s="2007"/>
      <c r="Z691" s="2007"/>
      <c r="AA691" s="2007"/>
      <c r="AB691" s="2007"/>
      <c r="AC691" s="562"/>
      <c r="AD691" s="562"/>
      <c r="AE691" s="642"/>
      <c r="AF691" s="642"/>
      <c r="AG691" s="642"/>
      <c r="AH691" s="642"/>
      <c r="AI691" s="642"/>
      <c r="AJ691" s="562"/>
      <c r="AK691" s="562"/>
      <c r="AL691" s="562"/>
      <c r="AM691" s="576"/>
      <c r="AN691" s="710"/>
    </row>
    <row r="692" spans="1:42" s="596" customFormat="1" ht="12.75" customHeight="1">
      <c r="A692" s="576"/>
      <c r="B692" s="562"/>
      <c r="C692" s="959"/>
      <c r="D692" s="562"/>
      <c r="E692" s="2007"/>
      <c r="F692" s="2007"/>
      <c r="G692" s="2007"/>
      <c r="H692" s="2007"/>
      <c r="I692" s="2007"/>
      <c r="J692" s="2007"/>
      <c r="K692" s="2007"/>
      <c r="L692" s="2007"/>
      <c r="M692" s="2007"/>
      <c r="N692" s="2007"/>
      <c r="O692" s="2007"/>
      <c r="P692" s="2007"/>
      <c r="Q692" s="2007"/>
      <c r="R692" s="2007"/>
      <c r="S692" s="2007"/>
      <c r="T692" s="2007"/>
      <c r="U692" s="2007"/>
      <c r="V692" s="2007"/>
      <c r="W692" s="2007"/>
      <c r="X692" s="2007"/>
      <c r="Y692" s="2007"/>
      <c r="Z692" s="2007"/>
      <c r="AA692" s="2007"/>
      <c r="AB692" s="2007"/>
      <c r="AC692" s="562"/>
      <c r="AD692" s="562"/>
      <c r="AE692" s="642"/>
      <c r="AF692" s="642"/>
      <c r="AG692" s="642"/>
      <c r="AH692" s="642"/>
      <c r="AI692" s="642"/>
      <c r="AJ692" s="562"/>
      <c r="AK692" s="562"/>
      <c r="AL692" s="562"/>
      <c r="AM692" s="576"/>
      <c r="AN692" s="710"/>
    </row>
    <row r="693" spans="1:42" s="596" customFormat="1" ht="12.75" customHeight="1">
      <c r="A693" s="576"/>
      <c r="B693" s="562"/>
      <c r="C693" s="959"/>
      <c r="D693" s="562"/>
      <c r="E693" s="669"/>
      <c r="F693" s="669"/>
      <c r="G693" s="669"/>
      <c r="H693" s="669"/>
      <c r="I693" s="669"/>
      <c r="J693" s="669"/>
      <c r="K693" s="669"/>
      <c r="L693" s="669"/>
      <c r="M693" s="669"/>
      <c r="N693" s="669"/>
      <c r="O693" s="669"/>
      <c r="P693" s="669"/>
      <c r="Q693" s="669"/>
      <c r="R693" s="669"/>
      <c r="S693" s="669"/>
      <c r="T693" s="669"/>
      <c r="U693" s="669"/>
      <c r="V693" s="669"/>
      <c r="W693" s="669"/>
      <c r="X693" s="669"/>
      <c r="Y693" s="669"/>
      <c r="Z693" s="669"/>
      <c r="AA693" s="669"/>
      <c r="AB693" s="669"/>
      <c r="AC693" s="562"/>
      <c r="AD693" s="562"/>
      <c r="AE693" s="642"/>
      <c r="AF693" s="642"/>
      <c r="AG693" s="642"/>
      <c r="AH693" s="642"/>
      <c r="AI693" s="642"/>
      <c r="AJ693" s="562"/>
      <c r="AK693" s="562"/>
      <c r="AL693" s="562"/>
      <c r="AM693" s="576"/>
      <c r="AN693" s="710"/>
    </row>
    <row r="694" spans="1:42" s="596" customFormat="1" ht="12.75" customHeight="1">
      <c r="A694" s="576"/>
      <c r="B694" s="562"/>
      <c r="C694" s="959"/>
      <c r="D694" s="562" t="s">
        <v>1573</v>
      </c>
      <c r="E694" s="964"/>
      <c r="F694" s="964"/>
      <c r="G694" s="964"/>
      <c r="H694" s="2036" t="s">
        <v>698</v>
      </c>
      <c r="I694" s="2036"/>
      <c r="J694" s="669"/>
      <c r="K694" s="669"/>
      <c r="L694" s="669"/>
      <c r="M694" s="669"/>
      <c r="N694" s="669"/>
      <c r="O694" s="669"/>
      <c r="P694" s="669"/>
      <c r="Q694" s="669"/>
      <c r="R694" s="669"/>
      <c r="S694" s="669"/>
      <c r="T694" s="669"/>
      <c r="U694" s="669"/>
      <c r="V694" s="669"/>
      <c r="W694" s="669"/>
      <c r="X694" s="669"/>
      <c r="Y694" s="669"/>
      <c r="Z694" s="669"/>
      <c r="AA694" s="669"/>
      <c r="AB694" s="669"/>
      <c r="AC694" s="562"/>
      <c r="AD694" s="562"/>
      <c r="AE694" s="642"/>
      <c r="AF694" s="642"/>
      <c r="AG694" s="642"/>
      <c r="AH694" s="642"/>
      <c r="AI694" s="642"/>
      <c r="AJ694" s="562"/>
      <c r="AK694" s="562"/>
      <c r="AL694" s="562"/>
      <c r="AM694" s="576"/>
      <c r="AN694" s="710"/>
      <c r="AP694" s="596" t="s">
        <v>1600</v>
      </c>
    </row>
    <row r="695" spans="1:42" s="596" customFormat="1">
      <c r="A695" s="576"/>
      <c r="B695" s="562"/>
      <c r="C695" s="959"/>
      <c r="D695" s="562"/>
      <c r="E695" s="669"/>
      <c r="F695" s="669"/>
      <c r="G695" s="669"/>
      <c r="H695" s="669"/>
      <c r="I695" s="669"/>
      <c r="J695" s="669"/>
      <c r="K695" s="669"/>
      <c r="L695" s="669"/>
      <c r="M695" s="669"/>
      <c r="N695" s="669"/>
      <c r="O695" s="669"/>
      <c r="P695" s="669"/>
      <c r="Q695" s="669"/>
      <c r="R695" s="669"/>
      <c r="S695" s="669"/>
      <c r="T695" s="669"/>
      <c r="U695" s="669"/>
      <c r="V695" s="669"/>
      <c r="W695" s="669"/>
      <c r="X695" s="669"/>
      <c r="Y695" s="669"/>
      <c r="Z695" s="669"/>
      <c r="AA695" s="669"/>
      <c r="AB695" s="669"/>
      <c r="AC695" s="562"/>
      <c r="AD695" s="562"/>
      <c r="AE695" s="642"/>
      <c r="AF695" s="642"/>
      <c r="AG695" s="642"/>
      <c r="AH695" s="642"/>
      <c r="AI695" s="642"/>
      <c r="AJ695" s="562"/>
      <c r="AK695" s="562"/>
      <c r="AL695" s="562"/>
      <c r="AM695" s="576"/>
      <c r="AN695" s="710"/>
      <c r="AP695" s="596" t="s">
        <v>1578</v>
      </c>
    </row>
    <row r="696" spans="1:42" s="596" customFormat="1" ht="12.75" customHeight="1">
      <c r="A696" s="632"/>
      <c r="B696" s="627"/>
      <c r="C696" s="972"/>
      <c r="D696" s="627"/>
      <c r="E696" s="627"/>
      <c r="F696" s="627"/>
      <c r="G696" s="627"/>
      <c r="H696" s="627"/>
      <c r="I696" s="627"/>
      <c r="J696" s="977"/>
      <c r="K696" s="977"/>
      <c r="L696" s="691"/>
      <c r="M696" s="691"/>
      <c r="N696" s="691"/>
      <c r="O696" s="691"/>
      <c r="P696" s="691"/>
      <c r="Q696" s="691"/>
      <c r="R696" s="691"/>
      <c r="S696" s="691"/>
      <c r="T696" s="691"/>
      <c r="U696" s="691"/>
      <c r="V696" s="691"/>
      <c r="W696" s="691"/>
      <c r="X696" s="691"/>
      <c r="Y696" s="967"/>
      <c r="Z696" s="967"/>
      <c r="AA696" s="967"/>
      <c r="AB696" s="627"/>
      <c r="AC696" s="627"/>
      <c r="AD696" s="627"/>
      <c r="AE696" s="627"/>
      <c r="AF696" s="627"/>
      <c r="AG696" s="627"/>
      <c r="AH696" s="627"/>
      <c r="AI696" s="591" t="s">
        <v>2565</v>
      </c>
      <c r="AJ696" s="1987">
        <f>VLOOKUP($H$694,$AO$641:$AP$643,2,FALSE)</f>
        <v>3</v>
      </c>
      <c r="AK696" s="1989"/>
      <c r="AL696" s="621"/>
      <c r="AM696" s="576"/>
      <c r="AN696" s="710"/>
      <c r="AP696" s="596" t="s">
        <v>1585</v>
      </c>
    </row>
    <row r="697" spans="1:42" s="596" customFormat="1">
      <c r="A697" s="576"/>
      <c r="B697" s="562"/>
      <c r="C697" s="562"/>
      <c r="D697" s="562"/>
      <c r="E697" s="562"/>
      <c r="F697" s="562"/>
      <c r="G697" s="562"/>
      <c r="H697" s="562"/>
      <c r="I697" s="562"/>
      <c r="J697" s="562"/>
      <c r="K697" s="562"/>
      <c r="L697" s="562"/>
      <c r="M697" s="562"/>
      <c r="N697" s="562"/>
      <c r="O697" s="562"/>
      <c r="P697" s="562"/>
      <c r="Q697" s="562"/>
      <c r="R697" s="562"/>
      <c r="S697" s="562"/>
      <c r="T697" s="562"/>
      <c r="U697" s="562"/>
      <c r="V697" s="562"/>
      <c r="W697" s="562"/>
      <c r="X697" s="562"/>
      <c r="Y697" s="562"/>
      <c r="Z697" s="562"/>
      <c r="AA697" s="562"/>
      <c r="AB697" s="562"/>
      <c r="AC697" s="562"/>
      <c r="AD697" s="562"/>
      <c r="AE697" s="642"/>
      <c r="AF697" s="642"/>
      <c r="AG697" s="642"/>
      <c r="AH697" s="642"/>
      <c r="AI697" s="642"/>
      <c r="AJ697" s="562"/>
      <c r="AK697" s="562"/>
      <c r="AL697" s="562"/>
      <c r="AM697" s="576"/>
      <c r="AN697" s="710"/>
      <c r="AP697" s="596" t="s">
        <v>1601</v>
      </c>
    </row>
    <row r="698" spans="1:42" s="596" customFormat="1" ht="12.75" customHeight="1">
      <c r="A698" s="576"/>
      <c r="B698" s="562"/>
      <c r="C698" s="565" t="s">
        <v>1602</v>
      </c>
      <c r="D698" s="738"/>
      <c r="E698" s="562"/>
      <c r="F698" s="562"/>
      <c r="G698" s="562"/>
      <c r="H698" s="562"/>
      <c r="I698" s="562"/>
      <c r="J698" s="562"/>
      <c r="K698" s="562"/>
      <c r="L698" s="562"/>
      <c r="M698" s="562"/>
      <c r="N698" s="562"/>
      <c r="O698" s="562"/>
      <c r="P698" s="562"/>
      <c r="Q698" s="562"/>
      <c r="R698" s="562"/>
      <c r="S698" s="562"/>
      <c r="T698" s="562"/>
      <c r="U698" s="562"/>
      <c r="V698" s="562"/>
      <c r="W698" s="562"/>
      <c r="X698" s="562"/>
      <c r="Y698" s="562"/>
      <c r="Z698" s="562"/>
      <c r="AA698" s="562"/>
      <c r="AB698" s="562"/>
      <c r="AC698" s="562"/>
      <c r="AD698" s="562"/>
      <c r="AE698" s="642"/>
      <c r="AF698" s="642"/>
      <c r="AG698" s="642"/>
      <c r="AH698" s="642"/>
      <c r="AI698" s="642"/>
      <c r="AJ698" s="562"/>
      <c r="AK698" s="562"/>
      <c r="AL698" s="562"/>
      <c r="AM698" s="576"/>
      <c r="AN698" s="710"/>
      <c r="AP698" s="596" t="s">
        <v>1603</v>
      </c>
    </row>
    <row r="699" spans="1:42" s="596" customFormat="1" ht="12.75" customHeight="1">
      <c r="A699" s="576"/>
      <c r="B699" s="562"/>
      <c r="C699" s="959"/>
      <c r="D699" s="562"/>
      <c r="E699" s="562"/>
      <c r="F699" s="562"/>
      <c r="G699" s="562"/>
      <c r="H699" s="562"/>
      <c r="I699" s="562"/>
      <c r="J699" s="562"/>
      <c r="K699" s="562"/>
      <c r="L699" s="562"/>
      <c r="M699" s="562"/>
      <c r="N699" s="562"/>
      <c r="O699" s="562"/>
      <c r="P699" s="562"/>
      <c r="Q699" s="562"/>
      <c r="R699" s="562"/>
      <c r="S699" s="562"/>
      <c r="T699" s="562"/>
      <c r="U699" s="562"/>
      <c r="V699" s="562"/>
      <c r="W699" s="562"/>
      <c r="X699" s="562"/>
      <c r="Y699" s="562"/>
      <c r="Z699" s="562"/>
      <c r="AA699" s="562"/>
      <c r="AB699" s="562"/>
      <c r="AC699" s="562"/>
      <c r="AD699" s="562"/>
      <c r="AE699" s="642"/>
      <c r="AF699" s="642"/>
      <c r="AG699" s="642"/>
      <c r="AH699" s="642"/>
      <c r="AI699" s="642"/>
      <c r="AJ699" s="562"/>
      <c r="AK699" s="562"/>
      <c r="AL699" s="562"/>
      <c r="AM699" s="576"/>
      <c r="AN699" s="710"/>
      <c r="AP699" s="596" t="s">
        <v>1604</v>
      </c>
    </row>
    <row r="700" spans="1:42" s="596" customFormat="1" ht="12.75" customHeight="1">
      <c r="A700" s="663"/>
      <c r="B700" s="562"/>
      <c r="C700" s="959"/>
      <c r="D700" s="689" t="s">
        <v>698</v>
      </c>
      <c r="E700" s="2040" t="s">
        <v>1956</v>
      </c>
      <c r="F700" s="2040"/>
      <c r="G700" s="2040"/>
      <c r="H700" s="2040"/>
      <c r="I700" s="2040"/>
      <c r="J700" s="2040"/>
      <c r="K700" s="2040"/>
      <c r="L700" s="2040"/>
      <c r="M700" s="2040"/>
      <c r="N700" s="2040"/>
      <c r="O700" s="2040"/>
      <c r="P700" s="2040"/>
      <c r="Q700" s="2040"/>
      <c r="R700" s="2040"/>
      <c r="S700" s="2040"/>
      <c r="T700" s="2040"/>
      <c r="U700" s="2040"/>
      <c r="V700" s="2040"/>
      <c r="W700" s="2040"/>
      <c r="X700" s="2040"/>
      <c r="Y700" s="2040"/>
      <c r="Z700" s="2040"/>
      <c r="AA700" s="2040"/>
      <c r="AB700" s="2040"/>
      <c r="AC700" s="562"/>
      <c r="AD700" s="562"/>
      <c r="AE700" s="562"/>
      <c r="AF700" s="1954" t="s">
        <v>1525</v>
      </c>
      <c r="AG700" s="1954"/>
      <c r="AH700" s="1954"/>
      <c r="AI700" s="1954"/>
      <c r="AJ700" s="1954"/>
      <c r="AK700" s="1954"/>
      <c r="AL700" s="1954"/>
      <c r="AM700" s="576"/>
      <c r="AN700" s="710"/>
      <c r="AP700" s="596" t="s">
        <v>1605</v>
      </c>
    </row>
    <row r="701" spans="1:42" s="596" customFormat="1" ht="11.75" customHeight="1">
      <c r="A701" s="576"/>
      <c r="B701" s="562"/>
      <c r="C701" s="961"/>
      <c r="D701" s="689"/>
      <c r="E701" s="2040"/>
      <c r="F701" s="2040"/>
      <c r="G701" s="2040"/>
      <c r="H701" s="2040"/>
      <c r="I701" s="2040"/>
      <c r="J701" s="2040"/>
      <c r="K701" s="2040"/>
      <c r="L701" s="2040"/>
      <c r="M701" s="2040"/>
      <c r="N701" s="2040"/>
      <c r="O701" s="2040"/>
      <c r="P701" s="2040"/>
      <c r="Q701" s="2040"/>
      <c r="R701" s="2040"/>
      <c r="S701" s="2040"/>
      <c r="T701" s="2040"/>
      <c r="U701" s="2040"/>
      <c r="V701" s="2040"/>
      <c r="W701" s="2040"/>
      <c r="X701" s="2040"/>
      <c r="Y701" s="2040"/>
      <c r="Z701" s="2040"/>
      <c r="AA701" s="2040"/>
      <c r="AB701" s="2040"/>
      <c r="AC701" s="562"/>
      <c r="AD701" s="562"/>
      <c r="AE701" s="562"/>
      <c r="AF701" s="562"/>
      <c r="AG701" s="562"/>
      <c r="AH701" s="562"/>
      <c r="AI701" s="562"/>
      <c r="AJ701" s="562"/>
      <c r="AK701" s="562"/>
      <c r="AL701" s="562"/>
      <c r="AM701" s="576"/>
      <c r="AN701" s="710"/>
      <c r="AP701" s="596" t="s">
        <v>1606</v>
      </c>
    </row>
    <row r="702" spans="1:42" s="596" customFormat="1" ht="14" customHeight="1">
      <c r="A702" s="576"/>
      <c r="B702" s="636"/>
      <c r="C702" s="959"/>
      <c r="D702" s="689"/>
      <c r="E702" s="2040"/>
      <c r="F702" s="2040"/>
      <c r="G702" s="2040"/>
      <c r="H702" s="2040"/>
      <c r="I702" s="2040"/>
      <c r="J702" s="2040"/>
      <c r="K702" s="2040"/>
      <c r="L702" s="2040"/>
      <c r="M702" s="2040"/>
      <c r="N702" s="2040"/>
      <c r="O702" s="2040"/>
      <c r="P702" s="2040"/>
      <c r="Q702" s="2040"/>
      <c r="R702" s="2040"/>
      <c r="S702" s="2040"/>
      <c r="T702" s="2040"/>
      <c r="U702" s="2040"/>
      <c r="V702" s="2040"/>
      <c r="W702" s="2040"/>
      <c r="X702" s="2040"/>
      <c r="Y702" s="2040"/>
      <c r="Z702" s="2040"/>
      <c r="AA702" s="2040"/>
      <c r="AB702" s="2040"/>
      <c r="AC702" s="562"/>
      <c r="AD702" s="562"/>
      <c r="AE702" s="642"/>
      <c r="AF702" s="562"/>
      <c r="AG702" s="562"/>
      <c r="AH702" s="562"/>
      <c r="AI702" s="562"/>
      <c r="AJ702" s="562"/>
      <c r="AK702" s="562"/>
      <c r="AL702" s="562"/>
      <c r="AM702" s="576"/>
      <c r="AN702" s="710"/>
      <c r="AP702" s="596" t="s">
        <v>1607</v>
      </c>
    </row>
    <row r="703" spans="1:42" s="596" customFormat="1" ht="14" customHeight="1">
      <c r="A703" s="576"/>
      <c r="B703" s="636"/>
      <c r="C703" s="959"/>
      <c r="D703" s="689"/>
      <c r="E703" s="964"/>
      <c r="F703" s="964"/>
      <c r="G703" s="964"/>
      <c r="H703" s="964"/>
      <c r="I703" s="964"/>
      <c r="J703" s="964"/>
      <c r="K703" s="964"/>
      <c r="L703" s="964"/>
      <c r="M703" s="964"/>
      <c r="N703" s="964"/>
      <c r="O703" s="964"/>
      <c r="P703" s="964"/>
      <c r="Q703" s="964"/>
      <c r="R703" s="964"/>
      <c r="S703" s="964"/>
      <c r="T703" s="964"/>
      <c r="U703" s="964"/>
      <c r="V703" s="964"/>
      <c r="W703" s="964"/>
      <c r="X703" s="964"/>
      <c r="Y703" s="964"/>
      <c r="Z703" s="964"/>
      <c r="AA703" s="964"/>
      <c r="AB703" s="964"/>
      <c r="AC703" s="562"/>
      <c r="AD703" s="562"/>
      <c r="AE703" s="642"/>
      <c r="AF703" s="562"/>
      <c r="AG703" s="562"/>
      <c r="AH703" s="562"/>
      <c r="AI703" s="562"/>
      <c r="AJ703" s="562"/>
      <c r="AK703" s="562"/>
      <c r="AL703" s="562"/>
      <c r="AM703" s="576"/>
      <c r="AN703" s="710"/>
      <c r="AP703" s="712" t="s">
        <v>1609</v>
      </c>
    </row>
    <row r="704" spans="1:42" s="596" customFormat="1" ht="14" customHeight="1">
      <c r="A704" s="576"/>
      <c r="B704" s="562"/>
      <c r="C704" s="959"/>
      <c r="D704" s="689" t="s">
        <v>519</v>
      </c>
      <c r="E704" s="2041" t="s">
        <v>1608</v>
      </c>
      <c r="F704" s="2041"/>
      <c r="G704" s="2041"/>
      <c r="H704" s="2041"/>
      <c r="I704" s="2041"/>
      <c r="J704" s="2041"/>
      <c r="K704" s="2041"/>
      <c r="L704" s="2041"/>
      <c r="M704" s="2041"/>
      <c r="N704" s="2041"/>
      <c r="O704" s="2041"/>
      <c r="P704" s="2041"/>
      <c r="Q704" s="2041"/>
      <c r="R704" s="2041"/>
      <c r="S704" s="2041"/>
      <c r="T704" s="2041"/>
      <c r="U704" s="2041"/>
      <c r="V704" s="2041"/>
      <c r="W704" s="2041"/>
      <c r="X704" s="2041"/>
      <c r="Y704" s="2041"/>
      <c r="Z704" s="2041"/>
      <c r="AA704" s="2041"/>
      <c r="AB704" s="2041"/>
      <c r="AC704" s="562"/>
      <c r="AD704" s="562"/>
      <c r="AE704" s="562"/>
      <c r="AF704" s="1954" t="s">
        <v>1581</v>
      </c>
      <c r="AG704" s="1954"/>
      <c r="AH704" s="1954"/>
      <c r="AI704" s="1954"/>
      <c r="AJ704" s="1954"/>
      <c r="AK704" s="1954"/>
      <c r="AL704" s="1954"/>
      <c r="AM704" s="576"/>
      <c r="AN704" s="711"/>
    </row>
    <row r="705" spans="1:52" s="596" customFormat="1" ht="12.75" customHeight="1">
      <c r="A705" s="576"/>
      <c r="B705" s="562"/>
      <c r="C705" s="961"/>
      <c r="D705" s="562"/>
      <c r="E705" s="2041"/>
      <c r="F705" s="2041"/>
      <c r="G705" s="2041"/>
      <c r="H705" s="2041"/>
      <c r="I705" s="2041"/>
      <c r="J705" s="2041"/>
      <c r="K705" s="2041"/>
      <c r="L705" s="2041"/>
      <c r="M705" s="2041"/>
      <c r="N705" s="2041"/>
      <c r="O705" s="2041"/>
      <c r="P705" s="2041"/>
      <c r="Q705" s="2041"/>
      <c r="R705" s="2041"/>
      <c r="S705" s="2041"/>
      <c r="T705" s="2041"/>
      <c r="U705" s="2041"/>
      <c r="V705" s="2041"/>
      <c r="W705" s="2041"/>
      <c r="X705" s="2041"/>
      <c r="Y705" s="2041"/>
      <c r="Z705" s="2041"/>
      <c r="AA705" s="2041"/>
      <c r="AB705" s="2041"/>
      <c r="AC705" s="562"/>
      <c r="AD705" s="562"/>
      <c r="AE705" s="562"/>
      <c r="AF705" s="562"/>
      <c r="AG705" s="562"/>
      <c r="AH705" s="562"/>
      <c r="AI705" s="562"/>
      <c r="AJ705" s="562"/>
      <c r="AK705" s="562"/>
      <c r="AL705" s="562"/>
      <c r="AM705" s="576"/>
      <c r="AN705" s="710"/>
      <c r="AP705" s="576" t="s">
        <v>601</v>
      </c>
      <c r="AQ705" s="699">
        <v>0</v>
      </c>
    </row>
    <row r="706" spans="1:52" s="596" customFormat="1" ht="14" customHeight="1">
      <c r="A706" s="576"/>
      <c r="B706" s="562"/>
      <c r="C706" s="961"/>
      <c r="D706" s="562"/>
      <c r="E706" s="2041"/>
      <c r="F706" s="2041"/>
      <c r="G706" s="2041"/>
      <c r="H706" s="2041"/>
      <c r="I706" s="2041"/>
      <c r="J706" s="2041"/>
      <c r="K706" s="2041"/>
      <c r="L706" s="2041"/>
      <c r="M706" s="2041"/>
      <c r="N706" s="2041"/>
      <c r="O706" s="2041"/>
      <c r="P706" s="2041"/>
      <c r="Q706" s="2041"/>
      <c r="R706" s="2041"/>
      <c r="S706" s="2041"/>
      <c r="T706" s="2041"/>
      <c r="U706" s="2041"/>
      <c r="V706" s="2041"/>
      <c r="W706" s="2041"/>
      <c r="X706" s="2041"/>
      <c r="Y706" s="2041"/>
      <c r="Z706" s="2041"/>
      <c r="AA706" s="2041"/>
      <c r="AB706" s="2041"/>
      <c r="AC706" s="562"/>
      <c r="AD706" s="562"/>
      <c r="AE706" s="562"/>
      <c r="AF706" s="562"/>
      <c r="AG706" s="562"/>
      <c r="AH706" s="562"/>
      <c r="AI706" s="562"/>
      <c r="AJ706" s="562"/>
      <c r="AK706" s="562"/>
      <c r="AL706" s="562"/>
      <c r="AM706" s="576"/>
      <c r="AN706" s="710"/>
      <c r="AP706" s="637" t="s">
        <v>698</v>
      </c>
      <c r="AQ706" s="576">
        <v>2</v>
      </c>
    </row>
    <row r="707" spans="1:52" s="596" customFormat="1" ht="14" customHeight="1">
      <c r="A707" s="576"/>
      <c r="B707" s="562"/>
      <c r="C707" s="961"/>
      <c r="D707" s="562"/>
      <c r="E707" s="978"/>
      <c r="F707" s="978"/>
      <c r="G707" s="978"/>
      <c r="H707" s="978"/>
      <c r="I707" s="978"/>
      <c r="J707" s="978"/>
      <c r="K707" s="978"/>
      <c r="L707" s="978"/>
      <c r="M707" s="978"/>
      <c r="N707" s="978"/>
      <c r="O707" s="978"/>
      <c r="P707" s="978"/>
      <c r="Q707" s="978"/>
      <c r="R707" s="978"/>
      <c r="S707" s="978"/>
      <c r="T707" s="978"/>
      <c r="U707" s="978"/>
      <c r="V707" s="978"/>
      <c r="W707" s="978"/>
      <c r="X707" s="978"/>
      <c r="Y707" s="978"/>
      <c r="Z707" s="978"/>
      <c r="AA707" s="978"/>
      <c r="AB707" s="978"/>
      <c r="AC707" s="562"/>
      <c r="AD707" s="562"/>
      <c r="AE707" s="562"/>
      <c r="AF707" s="562"/>
      <c r="AG707" s="562"/>
      <c r="AH707" s="562"/>
      <c r="AI707" s="562"/>
      <c r="AJ707" s="562"/>
      <c r="AK707" s="562"/>
      <c r="AL707" s="562"/>
      <c r="AM707" s="576"/>
      <c r="AN707" s="710"/>
      <c r="AP707" s="637" t="s">
        <v>519</v>
      </c>
      <c r="AQ707" s="576">
        <v>3</v>
      </c>
    </row>
    <row r="708" spans="1:52" s="596" customFormat="1" ht="14" customHeight="1">
      <c r="A708" s="576"/>
      <c r="B708" s="562"/>
      <c r="C708" s="961"/>
      <c r="D708" s="562" t="s">
        <v>1573</v>
      </c>
      <c r="E708" s="964"/>
      <c r="F708" s="964"/>
      <c r="G708" s="964"/>
      <c r="H708" s="2036" t="s">
        <v>601</v>
      </c>
      <c r="I708" s="2036"/>
      <c r="J708" s="978"/>
      <c r="K708" s="978"/>
      <c r="L708" s="978"/>
      <c r="M708" s="978"/>
      <c r="N708" s="978"/>
      <c r="O708" s="978"/>
      <c r="P708" s="978"/>
      <c r="Q708" s="978"/>
      <c r="R708" s="978"/>
      <c r="S708" s="978"/>
      <c r="T708" s="978"/>
      <c r="U708" s="978"/>
      <c r="V708" s="978"/>
      <c r="W708" s="978"/>
      <c r="X708" s="978"/>
      <c r="Y708" s="978"/>
      <c r="Z708" s="978"/>
      <c r="AA708" s="978"/>
      <c r="AB708" s="978"/>
      <c r="AC708" s="562"/>
      <c r="AD708" s="562"/>
      <c r="AE708" s="562"/>
      <c r="AF708" s="562"/>
      <c r="AG708" s="562"/>
      <c r="AH708" s="562"/>
      <c r="AI708" s="562"/>
      <c r="AJ708" s="562"/>
      <c r="AK708" s="562"/>
      <c r="AL708" s="562"/>
      <c r="AM708" s="576"/>
      <c r="AN708" s="710"/>
    </row>
    <row r="709" spans="1:52" s="596" customFormat="1" ht="14.25" customHeight="1">
      <c r="A709" s="576"/>
      <c r="B709" s="562"/>
      <c r="C709" s="961"/>
      <c r="D709" s="562"/>
      <c r="E709" s="978"/>
      <c r="F709" s="978"/>
      <c r="G709" s="978"/>
      <c r="H709" s="978"/>
      <c r="I709" s="978"/>
      <c r="J709" s="978"/>
      <c r="K709" s="978"/>
      <c r="L709" s="978"/>
      <c r="M709" s="978"/>
      <c r="N709" s="978"/>
      <c r="O709" s="978"/>
      <c r="P709" s="978"/>
      <c r="Q709" s="978"/>
      <c r="R709" s="978"/>
      <c r="S709" s="978"/>
      <c r="T709" s="978"/>
      <c r="U709" s="978"/>
      <c r="V709" s="978"/>
      <c r="W709" s="978"/>
      <c r="X709" s="978"/>
      <c r="Y709" s="978"/>
      <c r="Z709" s="978"/>
      <c r="AA709" s="978"/>
      <c r="AB709" s="978"/>
      <c r="AC709" s="562"/>
      <c r="AD709" s="562"/>
      <c r="AE709" s="562"/>
      <c r="AF709" s="562"/>
      <c r="AG709" s="562"/>
      <c r="AH709" s="562"/>
      <c r="AI709" s="562"/>
      <c r="AJ709" s="562"/>
      <c r="AK709" s="562"/>
      <c r="AL709" s="562"/>
      <c r="AM709" s="576"/>
      <c r="AN709" s="710"/>
    </row>
    <row r="710" spans="1:52" s="596" customFormat="1" ht="12.75" customHeight="1">
      <c r="A710" s="632"/>
      <c r="B710" s="627"/>
      <c r="C710" s="966"/>
      <c r="D710" s="627"/>
      <c r="E710" s="627"/>
      <c r="F710" s="627"/>
      <c r="G710" s="627"/>
      <c r="H710" s="627"/>
      <c r="I710" s="627"/>
      <c r="J710" s="979"/>
      <c r="K710" s="979"/>
      <c r="L710" s="979"/>
      <c r="M710" s="979"/>
      <c r="N710" s="979"/>
      <c r="O710" s="979"/>
      <c r="P710" s="979"/>
      <c r="Q710" s="979"/>
      <c r="R710" s="979"/>
      <c r="S710" s="979"/>
      <c r="T710" s="979"/>
      <c r="U710" s="691"/>
      <c r="V710" s="691"/>
      <c r="W710" s="691"/>
      <c r="X710" s="691"/>
      <c r="Y710" s="967"/>
      <c r="Z710" s="967"/>
      <c r="AA710" s="967"/>
      <c r="AB710" s="627"/>
      <c r="AC710" s="627"/>
      <c r="AD710" s="627"/>
      <c r="AE710" s="627"/>
      <c r="AF710" s="627"/>
      <c r="AG710" s="627"/>
      <c r="AH710" s="627"/>
      <c r="AI710" s="591" t="s">
        <v>1610</v>
      </c>
      <c r="AJ710" s="1987">
        <f>VLOOKUP($H$708,$AO$641:$AP$643,2,FALSE)</f>
        <v>0</v>
      </c>
      <c r="AK710" s="1989"/>
      <c r="AL710" s="621"/>
      <c r="AM710" s="576"/>
      <c r="AN710" s="710"/>
      <c r="AP710" s="1987"/>
      <c r="AQ710" s="1989"/>
    </row>
    <row r="711" spans="1:52" s="596" customFormat="1">
      <c r="A711" s="576"/>
      <c r="B711" s="636"/>
      <c r="C711" s="959"/>
      <c r="D711" s="963"/>
      <c r="E711" s="642"/>
      <c r="F711" s="642"/>
      <c r="G711" s="642"/>
      <c r="H711" s="642"/>
      <c r="I711" s="642"/>
      <c r="J711" s="642"/>
      <c r="K711" s="642"/>
      <c r="L711" s="642"/>
      <c r="M711" s="642"/>
      <c r="N711" s="642"/>
      <c r="O711" s="642"/>
      <c r="P711" s="642"/>
      <c r="Q711" s="642"/>
      <c r="R711" s="642"/>
      <c r="S711" s="642"/>
      <c r="T711" s="642"/>
      <c r="U711" s="642"/>
      <c r="V711" s="642"/>
      <c r="W711" s="642"/>
      <c r="X711" s="642"/>
      <c r="Y711" s="642"/>
      <c r="Z711" s="642"/>
      <c r="AA711" s="642"/>
      <c r="AB711" s="642"/>
      <c r="AC711" s="562"/>
      <c r="AD711" s="562"/>
      <c r="AE711" s="562"/>
      <c r="AF711" s="562"/>
      <c r="AG711" s="562"/>
      <c r="AH711" s="562"/>
      <c r="AI711" s="562"/>
      <c r="AJ711" s="562"/>
      <c r="AK711" s="562"/>
      <c r="AL711" s="562"/>
      <c r="AM711" s="576"/>
      <c r="AN711" s="710"/>
      <c r="AT711" s="14"/>
      <c r="AU711" s="14"/>
      <c r="AV711" s="14"/>
      <c r="AW711" s="14"/>
      <c r="AX711" s="14"/>
      <c r="AY711" s="14"/>
      <c r="AZ711" s="14"/>
    </row>
    <row r="712" spans="1:52" s="596" customFormat="1" ht="13">
      <c r="A712" s="576"/>
      <c r="B712" s="562"/>
      <c r="C712" s="565" t="s">
        <v>1611</v>
      </c>
      <c r="D712" s="980"/>
      <c r="E712" s="642"/>
      <c r="F712" s="642"/>
      <c r="G712" s="642"/>
      <c r="H712" s="642"/>
      <c r="I712" s="642"/>
      <c r="J712" s="642"/>
      <c r="K712" s="642"/>
      <c r="L712" s="642"/>
      <c r="M712" s="642"/>
      <c r="N712" s="642"/>
      <c r="O712" s="642"/>
      <c r="P712" s="642"/>
      <c r="Q712" s="642"/>
      <c r="R712" s="642"/>
      <c r="S712" s="642"/>
      <c r="T712" s="642"/>
      <c r="U712" s="642"/>
      <c r="V712" s="642"/>
      <c r="W712" s="642"/>
      <c r="X712" s="642"/>
      <c r="Y712" s="642"/>
      <c r="Z712" s="642"/>
      <c r="AA712" s="642"/>
      <c r="AB712" s="642"/>
      <c r="AC712" s="562"/>
      <c r="AD712" s="562"/>
      <c r="AE712" s="562"/>
      <c r="AF712" s="562"/>
      <c r="AG712" s="562"/>
      <c r="AH712" s="562"/>
      <c r="AI712" s="562"/>
      <c r="AJ712" s="562"/>
      <c r="AK712" s="562"/>
      <c r="AL712" s="562"/>
      <c r="AM712" s="576"/>
      <c r="AN712" s="710"/>
      <c r="AT712" s="14"/>
      <c r="AU712" s="14"/>
      <c r="AV712" s="14"/>
      <c r="AW712" s="14"/>
      <c r="AX712" s="14"/>
      <c r="AY712" s="14"/>
      <c r="AZ712" s="14"/>
    </row>
    <row r="713" spans="1:52" s="596" customFormat="1">
      <c r="A713" s="576"/>
      <c r="B713" s="636"/>
      <c r="C713" s="959"/>
      <c r="D713" s="963"/>
      <c r="E713" s="642"/>
      <c r="F713" s="642"/>
      <c r="G713" s="642"/>
      <c r="H713" s="642"/>
      <c r="I713" s="642"/>
      <c r="J713" s="642"/>
      <c r="K713" s="642"/>
      <c r="L713" s="642"/>
      <c r="M713" s="642"/>
      <c r="N713" s="642"/>
      <c r="O713" s="642"/>
      <c r="P713" s="642"/>
      <c r="Q713" s="642"/>
      <c r="R713" s="642"/>
      <c r="S713" s="642"/>
      <c r="T713" s="642"/>
      <c r="U713" s="642"/>
      <c r="V713" s="642"/>
      <c r="W713" s="642"/>
      <c r="X713" s="642"/>
      <c r="Y713" s="642"/>
      <c r="Z713" s="642"/>
      <c r="AA713" s="642"/>
      <c r="AB713" s="642"/>
      <c r="AC713" s="562"/>
      <c r="AD713" s="562"/>
      <c r="AE713" s="562"/>
      <c r="AF713" s="562"/>
      <c r="AG713" s="562"/>
      <c r="AH713" s="562"/>
      <c r="AI713" s="562"/>
      <c r="AJ713" s="562"/>
      <c r="AK713" s="562"/>
      <c r="AL713" s="562"/>
      <c r="AM713" s="576"/>
      <c r="AN713" s="710"/>
      <c r="AT713" s="14"/>
      <c r="AU713" s="14"/>
      <c r="AV713" s="14"/>
      <c r="AW713" s="14"/>
      <c r="AX713" s="14"/>
      <c r="AY713" s="14"/>
      <c r="AZ713" s="14"/>
    </row>
    <row r="714" spans="1:52" s="596" customFormat="1" ht="13">
      <c r="A714" s="576"/>
      <c r="B714" s="562"/>
      <c r="C714" s="959"/>
      <c r="D714" s="689" t="s">
        <v>698</v>
      </c>
      <c r="E714" s="2007" t="s">
        <v>1957</v>
      </c>
      <c r="F714" s="2007"/>
      <c r="G714" s="2007"/>
      <c r="H714" s="2007"/>
      <c r="I714" s="2007"/>
      <c r="J714" s="2007"/>
      <c r="K714" s="2007"/>
      <c r="L714" s="2007"/>
      <c r="M714" s="2007"/>
      <c r="N714" s="2007"/>
      <c r="O714" s="2007"/>
      <c r="P714" s="2007"/>
      <c r="Q714" s="2007"/>
      <c r="R714" s="2007"/>
      <c r="S714" s="2007"/>
      <c r="T714" s="2007"/>
      <c r="U714" s="2007"/>
      <c r="V714" s="2007"/>
      <c r="W714" s="2007"/>
      <c r="X714" s="2007"/>
      <c r="Y714" s="2007"/>
      <c r="Z714" s="2007"/>
      <c r="AA714" s="2007"/>
      <c r="AB714" s="2007"/>
      <c r="AC714" s="562"/>
      <c r="AD714" s="562"/>
      <c r="AE714" s="562"/>
      <c r="AF714" s="1954" t="s">
        <v>1525</v>
      </c>
      <c r="AG714" s="1954"/>
      <c r="AH714" s="1954"/>
      <c r="AI714" s="1954"/>
      <c r="AJ714" s="1954"/>
      <c r="AK714" s="1954"/>
      <c r="AL714" s="1954"/>
      <c r="AM714" s="576"/>
      <c r="AN714" s="710"/>
      <c r="AT714" s="14"/>
      <c r="AU714" s="14"/>
      <c r="AV714" s="14"/>
      <c r="AW714" s="14"/>
      <c r="AX714" s="14"/>
      <c r="AY714" s="14"/>
      <c r="AZ714" s="14"/>
    </row>
    <row r="715" spans="1:52" s="596" customFormat="1" ht="13">
      <c r="A715" s="576"/>
      <c r="B715" s="562"/>
      <c r="C715" s="961"/>
      <c r="D715" s="689"/>
      <c r="E715" s="2007"/>
      <c r="F715" s="2007"/>
      <c r="G715" s="2007"/>
      <c r="H715" s="2007"/>
      <c r="I715" s="2007"/>
      <c r="J715" s="2007"/>
      <c r="K715" s="2007"/>
      <c r="L715" s="2007"/>
      <c r="M715" s="2007"/>
      <c r="N715" s="2007"/>
      <c r="O715" s="2007"/>
      <c r="P715" s="2007"/>
      <c r="Q715" s="2007"/>
      <c r="R715" s="2007"/>
      <c r="S715" s="2007"/>
      <c r="T715" s="2007"/>
      <c r="U715" s="2007"/>
      <c r="V715" s="2007"/>
      <c r="W715" s="2007"/>
      <c r="X715" s="2007"/>
      <c r="Y715" s="2007"/>
      <c r="Z715" s="2007"/>
      <c r="AA715" s="2007"/>
      <c r="AB715" s="2007"/>
      <c r="AC715" s="562"/>
      <c r="AD715" s="562"/>
      <c r="AE715" s="562"/>
      <c r="AF715" s="562"/>
      <c r="AG715" s="562"/>
      <c r="AH715" s="562"/>
      <c r="AI715" s="562"/>
      <c r="AJ715" s="562"/>
      <c r="AK715" s="562"/>
      <c r="AL715" s="562"/>
      <c r="AM715" s="576"/>
      <c r="AN715" s="710"/>
      <c r="AT715" s="14"/>
      <c r="AU715" s="14"/>
      <c r="AV715" s="14"/>
      <c r="AW715" s="14"/>
      <c r="AX715" s="14"/>
      <c r="AY715" s="14"/>
      <c r="AZ715" s="14"/>
    </row>
    <row r="716" spans="1:52" s="596" customFormat="1">
      <c r="A716" s="576"/>
      <c r="B716" s="636"/>
      <c r="C716" s="959"/>
      <c r="D716" s="689"/>
      <c r="E716" s="642"/>
      <c r="F716" s="642"/>
      <c r="G716" s="642"/>
      <c r="H716" s="642"/>
      <c r="I716" s="642"/>
      <c r="J716" s="642"/>
      <c r="K716" s="642"/>
      <c r="L716" s="642"/>
      <c r="M716" s="642"/>
      <c r="N716" s="642"/>
      <c r="O716" s="642"/>
      <c r="P716" s="642"/>
      <c r="Q716" s="642"/>
      <c r="R716" s="642"/>
      <c r="S716" s="642"/>
      <c r="T716" s="642"/>
      <c r="U716" s="642"/>
      <c r="V716" s="642"/>
      <c r="W716" s="642"/>
      <c r="X716" s="642"/>
      <c r="Y716" s="642"/>
      <c r="Z716" s="642"/>
      <c r="AA716" s="642"/>
      <c r="AB716" s="642"/>
      <c r="AC716" s="562"/>
      <c r="AD716" s="562"/>
      <c r="AE716" s="562"/>
      <c r="AF716" s="562"/>
      <c r="AG716" s="562"/>
      <c r="AH716" s="562"/>
      <c r="AI716" s="562"/>
      <c r="AJ716" s="562"/>
      <c r="AK716" s="562"/>
      <c r="AL716" s="562"/>
      <c r="AM716" s="576"/>
      <c r="AN716" s="710"/>
      <c r="AT716" s="14"/>
      <c r="AU716" s="14"/>
      <c r="AV716" s="14"/>
      <c r="AW716" s="14"/>
      <c r="AX716" s="14"/>
      <c r="AY716" s="14"/>
      <c r="AZ716" s="14"/>
    </row>
    <row r="717" spans="1:52" s="596" customFormat="1" ht="12.75" customHeight="1">
      <c r="A717" s="576"/>
      <c r="B717" s="562"/>
      <c r="C717" s="959"/>
      <c r="D717" s="689" t="s">
        <v>519</v>
      </c>
      <c r="E717" s="2007" t="s">
        <v>1612</v>
      </c>
      <c r="F717" s="2007"/>
      <c r="G717" s="2007"/>
      <c r="H717" s="2007"/>
      <c r="I717" s="2007"/>
      <c r="J717" s="2007"/>
      <c r="K717" s="2007"/>
      <c r="L717" s="2007"/>
      <c r="M717" s="2007"/>
      <c r="N717" s="2007"/>
      <c r="O717" s="2007"/>
      <c r="P717" s="2007"/>
      <c r="Q717" s="2007"/>
      <c r="R717" s="2007"/>
      <c r="S717" s="2007"/>
      <c r="T717" s="2007"/>
      <c r="U717" s="2007"/>
      <c r="V717" s="2007"/>
      <c r="W717" s="2007"/>
      <c r="X717" s="2007"/>
      <c r="Y717" s="2007"/>
      <c r="Z717" s="2007"/>
      <c r="AA717" s="2007"/>
      <c r="AB717" s="2007"/>
      <c r="AC717" s="562"/>
      <c r="AD717" s="562"/>
      <c r="AE717" s="562"/>
      <c r="AF717" s="1954" t="s">
        <v>1581</v>
      </c>
      <c r="AG717" s="1954"/>
      <c r="AH717" s="1954"/>
      <c r="AI717" s="1954"/>
      <c r="AJ717" s="1954"/>
      <c r="AK717" s="1954"/>
      <c r="AL717" s="1954"/>
      <c r="AM717" s="576"/>
      <c r="AN717" s="710"/>
      <c r="AT717" s="14"/>
      <c r="AU717" s="14"/>
      <c r="AV717" s="14"/>
      <c r="AW717" s="14"/>
      <c r="AX717" s="14"/>
      <c r="AY717" s="14"/>
      <c r="AZ717" s="14"/>
    </row>
    <row r="718" spans="1:52" s="596" customFormat="1" ht="13">
      <c r="A718" s="576"/>
      <c r="B718" s="562"/>
      <c r="C718" s="961"/>
      <c r="D718" s="562"/>
      <c r="E718" s="2007"/>
      <c r="F718" s="2007"/>
      <c r="G718" s="2007"/>
      <c r="H718" s="2007"/>
      <c r="I718" s="2007"/>
      <c r="J718" s="2007"/>
      <c r="K718" s="2007"/>
      <c r="L718" s="2007"/>
      <c r="M718" s="2007"/>
      <c r="N718" s="2007"/>
      <c r="O718" s="2007"/>
      <c r="P718" s="2007"/>
      <c r="Q718" s="2007"/>
      <c r="R718" s="2007"/>
      <c r="S718" s="2007"/>
      <c r="T718" s="2007"/>
      <c r="U718" s="2007"/>
      <c r="V718" s="2007"/>
      <c r="W718" s="2007"/>
      <c r="X718" s="2007"/>
      <c r="Y718" s="2007"/>
      <c r="Z718" s="2007"/>
      <c r="AA718" s="2007"/>
      <c r="AB718" s="2007"/>
      <c r="AC718" s="562"/>
      <c r="AD718" s="562"/>
      <c r="AE718" s="562"/>
      <c r="AF718" s="562"/>
      <c r="AG718" s="562"/>
      <c r="AH718" s="562"/>
      <c r="AI718" s="562"/>
      <c r="AJ718" s="562"/>
      <c r="AK718" s="562"/>
      <c r="AL718" s="562"/>
      <c r="AM718" s="576"/>
      <c r="AN718" s="710"/>
      <c r="AT718" s="14"/>
      <c r="AU718" s="14"/>
      <c r="AV718" s="14"/>
      <c r="AW718" s="14"/>
      <c r="AX718" s="14"/>
      <c r="AY718" s="14"/>
      <c r="AZ718" s="14"/>
    </row>
    <row r="719" spans="1:52" s="596" customFormat="1" ht="13">
      <c r="A719" s="576"/>
      <c r="B719" s="562"/>
      <c r="C719" s="961"/>
      <c r="D719" s="562"/>
      <c r="E719" s="669"/>
      <c r="F719" s="669"/>
      <c r="G719" s="669"/>
      <c r="H719" s="669"/>
      <c r="I719" s="669"/>
      <c r="J719" s="669"/>
      <c r="K719" s="669"/>
      <c r="L719" s="669"/>
      <c r="M719" s="669"/>
      <c r="N719" s="669"/>
      <c r="O719" s="669"/>
      <c r="P719" s="669"/>
      <c r="Q719" s="669"/>
      <c r="R719" s="669"/>
      <c r="S719" s="669"/>
      <c r="T719" s="669"/>
      <c r="U719" s="669"/>
      <c r="V719" s="669"/>
      <c r="W719" s="669"/>
      <c r="X719" s="669"/>
      <c r="Y719" s="669"/>
      <c r="Z719" s="669"/>
      <c r="AA719" s="669"/>
      <c r="AB719" s="669"/>
      <c r="AC719" s="562"/>
      <c r="AD719" s="562"/>
      <c r="AE719" s="562"/>
      <c r="AF719" s="562"/>
      <c r="AG719" s="562"/>
      <c r="AH719" s="562"/>
      <c r="AI719" s="562"/>
      <c r="AJ719" s="562"/>
      <c r="AK719" s="562"/>
      <c r="AL719" s="562"/>
      <c r="AM719" s="576"/>
      <c r="AN719" s="710"/>
      <c r="AT719" s="14"/>
      <c r="AU719" s="14"/>
      <c r="AV719" s="14"/>
      <c r="AW719" s="14"/>
      <c r="AX719" s="14"/>
      <c r="AY719" s="14"/>
      <c r="AZ719" s="14"/>
    </row>
    <row r="720" spans="1:52" s="596" customFormat="1" ht="12.75" customHeight="1">
      <c r="A720" s="576"/>
      <c r="B720" s="562"/>
      <c r="C720" s="961"/>
      <c r="D720" s="562" t="s">
        <v>1573</v>
      </c>
      <c r="E720" s="964"/>
      <c r="F720" s="964"/>
      <c r="G720" s="964"/>
      <c r="H720" s="2036" t="s">
        <v>601</v>
      </c>
      <c r="I720" s="2036"/>
      <c r="J720" s="669"/>
      <c r="K720" s="669"/>
      <c r="L720" s="669"/>
      <c r="M720" s="669"/>
      <c r="N720" s="669"/>
      <c r="O720" s="669"/>
      <c r="P720" s="669"/>
      <c r="Q720" s="669"/>
      <c r="R720" s="669"/>
      <c r="S720" s="669"/>
      <c r="T720" s="669"/>
      <c r="U720" s="669"/>
      <c r="V720" s="669"/>
      <c r="W720" s="669"/>
      <c r="X720" s="669"/>
      <c r="Y720" s="669"/>
      <c r="Z720" s="669"/>
      <c r="AA720" s="669"/>
      <c r="AB720" s="669"/>
      <c r="AC720" s="562"/>
      <c r="AD720" s="562"/>
      <c r="AE720" s="562"/>
      <c r="AF720" s="562"/>
      <c r="AG720" s="562"/>
      <c r="AH720" s="562"/>
      <c r="AI720" s="562"/>
      <c r="AJ720" s="562"/>
      <c r="AK720" s="562"/>
      <c r="AL720" s="562"/>
      <c r="AM720" s="576"/>
      <c r="AN720" s="710"/>
      <c r="AT720" s="14"/>
      <c r="AU720" s="14"/>
      <c r="AV720" s="14"/>
      <c r="AW720" s="14"/>
      <c r="AX720" s="14"/>
      <c r="AY720" s="14"/>
      <c r="AZ720" s="14"/>
    </row>
    <row r="721" spans="1:81" s="596" customFormat="1" ht="13">
      <c r="A721" s="576"/>
      <c r="B721" s="562"/>
      <c r="C721" s="961"/>
      <c r="D721" s="562"/>
      <c r="E721" s="669"/>
      <c r="F721" s="669"/>
      <c r="G721" s="669"/>
      <c r="H721" s="669"/>
      <c r="I721" s="669"/>
      <c r="J721" s="669"/>
      <c r="K721" s="669"/>
      <c r="L721" s="669"/>
      <c r="M721" s="669"/>
      <c r="N721" s="669"/>
      <c r="O721" s="669"/>
      <c r="P721" s="669"/>
      <c r="Q721" s="669"/>
      <c r="R721" s="669"/>
      <c r="S721" s="669"/>
      <c r="T721" s="669"/>
      <c r="U721" s="669"/>
      <c r="V721" s="669"/>
      <c r="W721" s="669"/>
      <c r="X721" s="669"/>
      <c r="Y721" s="669"/>
      <c r="Z721" s="669"/>
      <c r="AA721" s="669"/>
      <c r="AB721" s="669"/>
      <c r="AC721" s="562"/>
      <c r="AD721" s="562"/>
      <c r="AE721" s="562"/>
      <c r="AF721" s="562"/>
      <c r="AG721" s="562"/>
      <c r="AH721" s="562"/>
      <c r="AI721" s="562"/>
      <c r="AJ721" s="562"/>
      <c r="AK721" s="562"/>
      <c r="AL721" s="562"/>
      <c r="AM721" s="576"/>
      <c r="AN721" s="710"/>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596" customFormat="1" ht="13">
      <c r="A722" s="632"/>
      <c r="B722" s="627"/>
      <c r="C722" s="966"/>
      <c r="D722" s="627"/>
      <c r="E722" s="977"/>
      <c r="F722" s="977"/>
      <c r="G722" s="977"/>
      <c r="H722" s="977"/>
      <c r="I722" s="977"/>
      <c r="J722" s="977"/>
      <c r="K722" s="977"/>
      <c r="L722" s="977"/>
      <c r="M722" s="977"/>
      <c r="N722" s="977"/>
      <c r="O722" s="977"/>
      <c r="P722" s="977"/>
      <c r="Q722" s="977"/>
      <c r="R722" s="977"/>
      <c r="S722" s="977"/>
      <c r="T722" s="977"/>
      <c r="U722" s="977"/>
      <c r="V722" s="691"/>
      <c r="W722" s="691"/>
      <c r="X722" s="691"/>
      <c r="Y722" s="967"/>
      <c r="Z722" s="967"/>
      <c r="AA722" s="967"/>
      <c r="AB722" s="627"/>
      <c r="AC722" s="627"/>
      <c r="AD722" s="627"/>
      <c r="AE722" s="627"/>
      <c r="AF722" s="627"/>
      <c r="AG722" s="627"/>
      <c r="AH722" s="627"/>
      <c r="AI722" s="591" t="s">
        <v>1613</v>
      </c>
      <c r="AJ722" s="1987">
        <f>VLOOKUP($H$720,$AO$655:$AP$657,2,FALSE)</f>
        <v>0</v>
      </c>
      <c r="AK722" s="1989"/>
      <c r="AL722" s="621"/>
      <c r="AM722" s="576"/>
      <c r="AN722" s="710"/>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596" customFormat="1" ht="12.75" customHeight="1">
      <c r="A723" s="576"/>
      <c r="B723" s="562"/>
      <c r="C723" s="961"/>
      <c r="D723" s="562"/>
      <c r="E723" s="562"/>
      <c r="F723" s="562"/>
      <c r="G723" s="562"/>
      <c r="H723" s="562"/>
      <c r="I723" s="562"/>
      <c r="J723" s="669"/>
      <c r="K723" s="669"/>
      <c r="L723" s="669"/>
      <c r="M723" s="669"/>
      <c r="N723" s="562"/>
      <c r="O723" s="562"/>
      <c r="P723" s="562"/>
      <c r="Q723" s="562"/>
      <c r="R723" s="562"/>
      <c r="S723" s="562"/>
      <c r="T723" s="562"/>
      <c r="U723" s="562"/>
      <c r="V723" s="562"/>
      <c r="W723" s="562"/>
      <c r="X723" s="562"/>
      <c r="Y723" s="562"/>
      <c r="Z723" s="562"/>
      <c r="AA723" s="562"/>
      <c r="AB723" s="562"/>
      <c r="AC723" s="562"/>
      <c r="AD723" s="562"/>
      <c r="AE723" s="562"/>
      <c r="AF723" s="562"/>
      <c r="AG723" s="562"/>
      <c r="AH723" s="562"/>
      <c r="AI723" s="562"/>
      <c r="AJ723" s="562"/>
      <c r="AK723" s="562"/>
      <c r="AL723" s="562"/>
      <c r="AM723" s="576"/>
      <c r="AN723" s="710"/>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596" customFormat="1" ht="12.75" customHeight="1">
      <c r="A724" s="576"/>
      <c r="B724" s="562"/>
      <c r="C724" s="565" t="s">
        <v>1614</v>
      </c>
      <c r="D724" s="562"/>
      <c r="E724" s="562"/>
      <c r="F724" s="562"/>
      <c r="G724" s="562"/>
      <c r="H724" s="562"/>
      <c r="I724" s="562"/>
      <c r="J724" s="562"/>
      <c r="K724" s="562"/>
      <c r="L724" s="562"/>
      <c r="M724" s="562"/>
      <c r="N724" s="562"/>
      <c r="O724" s="562"/>
      <c r="P724" s="562"/>
      <c r="Q724" s="562"/>
      <c r="R724" s="562"/>
      <c r="S724" s="562"/>
      <c r="T724" s="562"/>
      <c r="U724" s="562"/>
      <c r="V724" s="562"/>
      <c r="W724" s="562"/>
      <c r="X724" s="562"/>
      <c r="Y724" s="562"/>
      <c r="Z724" s="562"/>
      <c r="AA724" s="562"/>
      <c r="AB724" s="562"/>
      <c r="AC724" s="562"/>
      <c r="AD724" s="562"/>
      <c r="AE724" s="562"/>
      <c r="AF724" s="562"/>
      <c r="AG724" s="562"/>
      <c r="AH724" s="562"/>
      <c r="AI724" s="562"/>
      <c r="AJ724" s="562"/>
      <c r="AK724" s="562"/>
      <c r="AL724" s="562"/>
      <c r="AM724" s="576"/>
      <c r="AN724" s="710"/>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596" customFormat="1">
      <c r="A725" s="576"/>
      <c r="B725" s="636"/>
      <c r="C725" s="981"/>
      <c r="D725" s="636"/>
      <c r="E725" s="636"/>
      <c r="F725" s="562"/>
      <c r="G725" s="562"/>
      <c r="H725" s="636"/>
      <c r="I725" s="636"/>
      <c r="J725" s="636"/>
      <c r="K725" s="636"/>
      <c r="L725" s="636"/>
      <c r="M725" s="636"/>
      <c r="N725" s="636"/>
      <c r="O725" s="636"/>
      <c r="P725" s="636"/>
      <c r="Q725" s="636"/>
      <c r="R725" s="636"/>
      <c r="S725" s="636"/>
      <c r="T725" s="562"/>
      <c r="U725" s="562"/>
      <c r="V725" s="562"/>
      <c r="W725" s="562"/>
      <c r="X725" s="621"/>
      <c r="Y725" s="621"/>
      <c r="Z725" s="621"/>
      <c r="AA725" s="621"/>
      <c r="AB725" s="621"/>
      <c r="AC725" s="562"/>
      <c r="AD725" s="562"/>
      <c r="AE725" s="562"/>
      <c r="AF725" s="562"/>
      <c r="AG725" s="562"/>
      <c r="AH725" s="562"/>
      <c r="AI725" s="562"/>
      <c r="AJ725" s="562"/>
      <c r="AK725" s="562"/>
      <c r="AL725" s="562"/>
      <c r="AM725" s="576"/>
      <c r="AN725" s="710"/>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596" customFormat="1" ht="13">
      <c r="A726" s="576"/>
      <c r="B726" s="562"/>
      <c r="C726" s="959"/>
      <c r="D726" s="689" t="s">
        <v>698</v>
      </c>
      <c r="E726" s="2007" t="s">
        <v>1615</v>
      </c>
      <c r="F726" s="2007"/>
      <c r="G726" s="2007"/>
      <c r="H726" s="2007"/>
      <c r="I726" s="2007"/>
      <c r="J726" s="2007"/>
      <c r="K726" s="2007"/>
      <c r="L726" s="2007"/>
      <c r="M726" s="2007"/>
      <c r="N726" s="2007"/>
      <c r="O726" s="2007"/>
      <c r="P726" s="2007"/>
      <c r="Q726" s="2007"/>
      <c r="R726" s="2007"/>
      <c r="S726" s="2007"/>
      <c r="T726" s="2007"/>
      <c r="U726" s="2007"/>
      <c r="V726" s="2007"/>
      <c r="W726" s="2007"/>
      <c r="X726" s="2007"/>
      <c r="Y726" s="2007"/>
      <c r="Z726" s="2007"/>
      <c r="AA726" s="2007"/>
      <c r="AB726" s="2007"/>
      <c r="AC726" s="562"/>
      <c r="AD726" s="562"/>
      <c r="AE726" s="562"/>
      <c r="AF726" s="1954" t="s">
        <v>1525</v>
      </c>
      <c r="AG726" s="1954"/>
      <c r="AH726" s="1954"/>
      <c r="AI726" s="1954"/>
      <c r="AJ726" s="1954"/>
      <c r="AK726" s="1954"/>
      <c r="AL726" s="1954"/>
      <c r="AM726" s="576"/>
      <c r="AN726" s="710"/>
      <c r="AT726" s="14"/>
      <c r="AU726" s="14"/>
      <c r="AV726" s="14"/>
      <c r="AW726" s="14"/>
      <c r="AX726" s="14"/>
      <c r="AY726" s="14"/>
      <c r="AZ726" s="14"/>
    </row>
    <row r="727" spans="1:81" s="596" customFormat="1" ht="13">
      <c r="A727" s="576"/>
      <c r="B727" s="562"/>
      <c r="C727" s="959"/>
      <c r="D727" s="689"/>
      <c r="E727" s="2007"/>
      <c r="F727" s="2007"/>
      <c r="G727" s="2007"/>
      <c r="H727" s="2007"/>
      <c r="I727" s="2007"/>
      <c r="J727" s="2007"/>
      <c r="K727" s="2007"/>
      <c r="L727" s="2007"/>
      <c r="M727" s="2007"/>
      <c r="N727" s="2007"/>
      <c r="O727" s="2007"/>
      <c r="P727" s="2007"/>
      <c r="Q727" s="2007"/>
      <c r="R727" s="2007"/>
      <c r="S727" s="2007"/>
      <c r="T727" s="2007"/>
      <c r="U727" s="2007"/>
      <c r="V727" s="2007"/>
      <c r="W727" s="2007"/>
      <c r="X727" s="2007"/>
      <c r="Y727" s="2007"/>
      <c r="Z727" s="2007"/>
      <c r="AA727" s="2007"/>
      <c r="AB727" s="2007"/>
      <c r="AC727" s="562"/>
      <c r="AD727" s="562"/>
      <c r="AE727" s="562"/>
      <c r="AF727" s="620"/>
      <c r="AG727" s="620"/>
      <c r="AH727" s="620"/>
      <c r="AI727" s="620"/>
      <c r="AJ727" s="620"/>
      <c r="AK727" s="620"/>
      <c r="AL727" s="620"/>
      <c r="AM727" s="576"/>
      <c r="AN727" s="710"/>
      <c r="AT727" s="14"/>
      <c r="AU727" s="14"/>
      <c r="AV727" s="14"/>
      <c r="AW727" s="14"/>
      <c r="AX727" s="14"/>
      <c r="AY727" s="14"/>
      <c r="AZ727" s="14"/>
    </row>
    <row r="728" spans="1:81" s="596" customFormat="1" ht="13">
      <c r="A728" s="576"/>
      <c r="B728" s="562"/>
      <c r="C728" s="961"/>
      <c r="D728" s="689"/>
      <c r="E728" s="2007"/>
      <c r="F728" s="2007"/>
      <c r="G728" s="2007"/>
      <c r="H728" s="2007"/>
      <c r="I728" s="2007"/>
      <c r="J728" s="2007"/>
      <c r="K728" s="2007"/>
      <c r="L728" s="2007"/>
      <c r="M728" s="2007"/>
      <c r="N728" s="2007"/>
      <c r="O728" s="2007"/>
      <c r="P728" s="2007"/>
      <c r="Q728" s="2007"/>
      <c r="R728" s="2007"/>
      <c r="S728" s="2007"/>
      <c r="T728" s="2007"/>
      <c r="U728" s="2007"/>
      <c r="V728" s="2007"/>
      <c r="W728" s="2007"/>
      <c r="X728" s="2007"/>
      <c r="Y728" s="2007"/>
      <c r="Z728" s="2007"/>
      <c r="AA728" s="2007"/>
      <c r="AB728" s="2007"/>
      <c r="AC728" s="562"/>
      <c r="AD728" s="562"/>
      <c r="AE728" s="562"/>
      <c r="AF728" s="562"/>
      <c r="AG728" s="562"/>
      <c r="AH728" s="562"/>
      <c r="AI728" s="562"/>
      <c r="AJ728" s="562"/>
      <c r="AK728" s="562"/>
      <c r="AL728" s="562"/>
      <c r="AM728" s="576"/>
      <c r="AN728" s="710"/>
    </row>
    <row r="729" spans="1:81" s="596" customFormat="1" ht="12.75" customHeight="1">
      <c r="A729" s="576"/>
      <c r="B729" s="562"/>
      <c r="C729" s="961"/>
      <c r="D729" s="689"/>
      <c r="E729" s="2007"/>
      <c r="F729" s="2007"/>
      <c r="G729" s="2007"/>
      <c r="H729" s="2007"/>
      <c r="I729" s="2007"/>
      <c r="J729" s="2007"/>
      <c r="K729" s="2007"/>
      <c r="L729" s="2007"/>
      <c r="M729" s="2007"/>
      <c r="N729" s="2007"/>
      <c r="O729" s="2007"/>
      <c r="P729" s="2007"/>
      <c r="Q729" s="2007"/>
      <c r="R729" s="2007"/>
      <c r="S729" s="2007"/>
      <c r="T729" s="2007"/>
      <c r="U729" s="2007"/>
      <c r="V729" s="2007"/>
      <c r="W729" s="2007"/>
      <c r="X729" s="2007"/>
      <c r="Y729" s="2007"/>
      <c r="Z729" s="2007"/>
      <c r="AA729" s="2007"/>
      <c r="AB729" s="2007"/>
      <c r="AC729" s="562"/>
      <c r="AD729" s="562"/>
      <c r="AE729" s="562"/>
      <c r="AF729" s="562"/>
      <c r="AG729" s="562"/>
      <c r="AH729" s="562"/>
      <c r="AI729" s="562"/>
      <c r="AJ729" s="562"/>
      <c r="AK729" s="562"/>
      <c r="AL729" s="562"/>
      <c r="AM729" s="576"/>
      <c r="AN729" s="560"/>
      <c r="AO729" s="14"/>
    </row>
    <row r="730" spans="1:81" s="596" customFormat="1">
      <c r="A730" s="705"/>
      <c r="B730" s="621"/>
      <c r="C730" s="959"/>
      <c r="D730" s="689"/>
      <c r="E730" s="974"/>
      <c r="F730" s="974"/>
      <c r="G730" s="974"/>
      <c r="H730" s="974"/>
      <c r="I730" s="974"/>
      <c r="J730" s="974"/>
      <c r="K730" s="974"/>
      <c r="L730" s="974"/>
      <c r="M730" s="974"/>
      <c r="N730" s="974"/>
      <c r="O730" s="974"/>
      <c r="P730" s="974"/>
      <c r="Q730" s="974"/>
      <c r="R730" s="974"/>
      <c r="S730" s="974"/>
      <c r="T730" s="974"/>
      <c r="U730" s="974"/>
      <c r="V730" s="974"/>
      <c r="W730" s="974"/>
      <c r="X730" s="974"/>
      <c r="Y730" s="974"/>
      <c r="Z730" s="974"/>
      <c r="AA730" s="974"/>
      <c r="AB730" s="974"/>
      <c r="AC730" s="562"/>
      <c r="AD730" s="562"/>
      <c r="AE730" s="562"/>
      <c r="AF730" s="562"/>
      <c r="AG730" s="562"/>
      <c r="AH730" s="562"/>
      <c r="AI730" s="562"/>
      <c r="AJ730" s="562"/>
      <c r="AK730" s="562"/>
      <c r="AL730" s="562"/>
      <c r="AM730" s="576"/>
      <c r="AN730" s="710"/>
      <c r="AO730" s="30"/>
      <c r="AP730" s="14"/>
    </row>
    <row r="731" spans="1:81" s="596" customFormat="1" ht="13">
      <c r="A731" s="576"/>
      <c r="B731" s="562"/>
      <c r="C731" s="959"/>
      <c r="D731" s="689" t="s">
        <v>519</v>
      </c>
      <c r="E731" s="2007" t="s">
        <v>1616</v>
      </c>
      <c r="F731" s="2007"/>
      <c r="G731" s="2007"/>
      <c r="H731" s="2007"/>
      <c r="I731" s="2007"/>
      <c r="J731" s="2007"/>
      <c r="K731" s="2007"/>
      <c r="L731" s="2007"/>
      <c r="M731" s="2007"/>
      <c r="N731" s="2007"/>
      <c r="O731" s="2007"/>
      <c r="P731" s="2007"/>
      <c r="Q731" s="2007"/>
      <c r="R731" s="2007"/>
      <c r="S731" s="2007"/>
      <c r="T731" s="2007"/>
      <c r="U731" s="2007"/>
      <c r="V731" s="2007"/>
      <c r="W731" s="2007"/>
      <c r="X731" s="2007"/>
      <c r="Y731" s="2007"/>
      <c r="Z731" s="2007"/>
      <c r="AA731" s="2007"/>
      <c r="AB731" s="601"/>
      <c r="AC731" s="562"/>
      <c r="AD731" s="562"/>
      <c r="AE731" s="562"/>
      <c r="AF731" s="1954" t="s">
        <v>1581</v>
      </c>
      <c r="AG731" s="1954"/>
      <c r="AH731" s="1954"/>
      <c r="AI731" s="1954"/>
      <c r="AJ731" s="1954"/>
      <c r="AK731" s="1954"/>
      <c r="AL731" s="1954"/>
      <c r="AM731" s="576"/>
      <c r="AN731" s="710"/>
      <c r="AO731" s="30"/>
      <c r="AP731" s="14"/>
    </row>
    <row r="732" spans="1:81" s="596" customFormat="1" ht="13">
      <c r="A732" s="576"/>
      <c r="B732" s="562"/>
      <c r="C732" s="959"/>
      <c r="D732" s="689"/>
      <c r="E732" s="2007"/>
      <c r="F732" s="2007"/>
      <c r="G732" s="2007"/>
      <c r="H732" s="2007"/>
      <c r="I732" s="2007"/>
      <c r="J732" s="2007"/>
      <c r="K732" s="2007"/>
      <c r="L732" s="2007"/>
      <c r="M732" s="2007"/>
      <c r="N732" s="2007"/>
      <c r="O732" s="2007"/>
      <c r="P732" s="2007"/>
      <c r="Q732" s="2007"/>
      <c r="R732" s="2007"/>
      <c r="S732" s="2007"/>
      <c r="T732" s="2007"/>
      <c r="U732" s="2007"/>
      <c r="V732" s="2007"/>
      <c r="W732" s="2007"/>
      <c r="X732" s="2007"/>
      <c r="Y732" s="2007"/>
      <c r="Z732" s="2007"/>
      <c r="AA732" s="2007"/>
      <c r="AB732" s="601"/>
      <c r="AC732" s="562"/>
      <c r="AD732" s="562"/>
      <c r="AE732" s="562"/>
      <c r="AF732" s="620"/>
      <c r="AG732" s="620"/>
      <c r="AH732" s="620"/>
      <c r="AI732" s="620"/>
      <c r="AJ732" s="620"/>
      <c r="AK732" s="620"/>
      <c r="AL732" s="620"/>
      <c r="AM732" s="576"/>
      <c r="AN732" s="710"/>
      <c r="AO732" s="30"/>
      <c r="AP732" s="14"/>
    </row>
    <row r="733" spans="1:81" s="596" customFormat="1" ht="13">
      <c r="A733" s="576"/>
      <c r="B733" s="562"/>
      <c r="C733" s="959"/>
      <c r="D733" s="562"/>
      <c r="E733" s="2007"/>
      <c r="F733" s="2007"/>
      <c r="G733" s="2007"/>
      <c r="H733" s="2007"/>
      <c r="I733" s="2007"/>
      <c r="J733" s="2007"/>
      <c r="K733" s="2007"/>
      <c r="L733" s="2007"/>
      <c r="M733" s="2007"/>
      <c r="N733" s="2007"/>
      <c r="O733" s="2007"/>
      <c r="P733" s="2007"/>
      <c r="Q733" s="2007"/>
      <c r="R733" s="2007"/>
      <c r="S733" s="2007"/>
      <c r="T733" s="2007"/>
      <c r="U733" s="2007"/>
      <c r="V733" s="2007"/>
      <c r="W733" s="2007"/>
      <c r="X733" s="2007"/>
      <c r="Y733" s="2007"/>
      <c r="Z733" s="2007"/>
      <c r="AA733" s="2007"/>
      <c r="AB733" s="601"/>
      <c r="AC733" s="620"/>
      <c r="AD733" s="620"/>
      <c r="AE733" s="620"/>
      <c r="AF733" s="620"/>
      <c r="AG733" s="620"/>
      <c r="AH733" s="620"/>
      <c r="AI733" s="620"/>
      <c r="AJ733" s="562"/>
      <c r="AK733" s="562"/>
      <c r="AL733" s="562"/>
      <c r="AM733" s="576"/>
      <c r="AN733" s="710"/>
      <c r="AO733" s="30"/>
      <c r="AP733" s="14"/>
    </row>
    <row r="734" spans="1:81" s="596" customFormat="1" ht="13">
      <c r="A734" s="576"/>
      <c r="B734" s="562"/>
      <c r="C734" s="959"/>
      <c r="D734" s="562"/>
      <c r="E734" s="2007"/>
      <c r="F734" s="2007"/>
      <c r="G734" s="2007"/>
      <c r="H734" s="2007"/>
      <c r="I734" s="2007"/>
      <c r="J734" s="2007"/>
      <c r="K734" s="2007"/>
      <c r="L734" s="2007"/>
      <c r="M734" s="2007"/>
      <c r="N734" s="2007"/>
      <c r="O734" s="2007"/>
      <c r="P734" s="2007"/>
      <c r="Q734" s="2007"/>
      <c r="R734" s="2007"/>
      <c r="S734" s="2007"/>
      <c r="T734" s="2007"/>
      <c r="U734" s="2007"/>
      <c r="V734" s="2007"/>
      <c r="W734" s="2007"/>
      <c r="X734" s="2007"/>
      <c r="Y734" s="2007"/>
      <c r="Z734" s="2007"/>
      <c r="AA734" s="2007"/>
      <c r="AB734" s="601"/>
      <c r="AC734" s="620"/>
      <c r="AD734" s="620"/>
      <c r="AE734" s="620"/>
      <c r="AF734" s="620"/>
      <c r="AG734" s="620"/>
      <c r="AH734" s="620"/>
      <c r="AI734" s="620"/>
      <c r="AJ734" s="562"/>
      <c r="AK734" s="562"/>
      <c r="AL734" s="562"/>
      <c r="AM734" s="576"/>
      <c r="AN734" s="710"/>
      <c r="AO734" s="30"/>
      <c r="AP734" s="14"/>
    </row>
    <row r="735" spans="1:81" s="596" customFormat="1" ht="13">
      <c r="A735" s="576"/>
      <c r="B735" s="562"/>
      <c r="C735" s="959"/>
      <c r="D735" s="562"/>
      <c r="E735" s="668"/>
      <c r="F735" s="668"/>
      <c r="G735" s="668"/>
      <c r="H735" s="668"/>
      <c r="I735" s="668"/>
      <c r="J735" s="668"/>
      <c r="K735" s="668"/>
      <c r="L735" s="668"/>
      <c r="M735" s="668"/>
      <c r="N735" s="668"/>
      <c r="O735" s="668"/>
      <c r="P735" s="668"/>
      <c r="Q735" s="668"/>
      <c r="R735" s="668"/>
      <c r="S735" s="668"/>
      <c r="T735" s="668"/>
      <c r="U735" s="668"/>
      <c r="V735" s="668"/>
      <c r="W735" s="668"/>
      <c r="X735" s="668"/>
      <c r="Y735" s="668"/>
      <c r="Z735" s="668"/>
      <c r="AA735" s="668"/>
      <c r="AB735" s="668"/>
      <c r="AC735" s="620"/>
      <c r="AD735" s="620"/>
      <c r="AE735" s="620"/>
      <c r="AF735" s="620"/>
      <c r="AG735" s="620"/>
      <c r="AH735" s="620"/>
      <c r="AI735" s="620"/>
      <c r="AJ735" s="562"/>
      <c r="AK735" s="562"/>
      <c r="AL735" s="562"/>
      <c r="AM735" s="576"/>
      <c r="AN735" s="710"/>
    </row>
    <row r="736" spans="1:81" s="596" customFormat="1" ht="12.75" customHeight="1">
      <c r="A736" s="576"/>
      <c r="B736" s="562"/>
      <c r="C736" s="959"/>
      <c r="D736" s="562" t="s">
        <v>1573</v>
      </c>
      <c r="E736" s="964"/>
      <c r="F736" s="964"/>
      <c r="G736" s="964"/>
      <c r="H736" s="2036" t="s">
        <v>698</v>
      </c>
      <c r="I736" s="2036"/>
      <c r="J736" s="668"/>
      <c r="K736" s="668"/>
      <c r="L736" s="668"/>
      <c r="M736" s="668"/>
      <c r="N736" s="668"/>
      <c r="O736" s="668"/>
      <c r="P736" s="668"/>
      <c r="Q736" s="668"/>
      <c r="R736" s="668"/>
      <c r="S736" s="668"/>
      <c r="T736" s="668"/>
      <c r="U736" s="668"/>
      <c r="V736" s="668"/>
      <c r="W736" s="668"/>
      <c r="X736" s="668"/>
      <c r="Y736" s="668"/>
      <c r="Z736" s="668"/>
      <c r="AA736" s="668"/>
      <c r="AB736" s="668"/>
      <c r="AC736" s="620"/>
      <c r="AD736" s="620"/>
      <c r="AE736" s="620"/>
      <c r="AF736" s="620"/>
      <c r="AG736" s="620"/>
      <c r="AH736" s="620"/>
      <c r="AI736" s="620"/>
      <c r="AJ736" s="562"/>
      <c r="AK736" s="562"/>
      <c r="AL736" s="562"/>
      <c r="AM736" s="576"/>
      <c r="AN736" s="710"/>
    </row>
    <row r="737" spans="1:74" s="596" customFormat="1" ht="12.75" customHeight="1">
      <c r="A737" s="576"/>
      <c r="B737" s="562"/>
      <c r="C737" s="959"/>
      <c r="D737" s="562"/>
      <c r="E737" s="668"/>
      <c r="F737" s="668"/>
      <c r="G737" s="668"/>
      <c r="H737" s="668"/>
      <c r="I737" s="668"/>
      <c r="J737" s="668"/>
      <c r="K737" s="668"/>
      <c r="L737" s="668"/>
      <c r="M737" s="668"/>
      <c r="N737" s="668"/>
      <c r="O737" s="668"/>
      <c r="P737" s="668"/>
      <c r="Q737" s="668"/>
      <c r="R737" s="668"/>
      <c r="S737" s="668"/>
      <c r="T737" s="668"/>
      <c r="U737" s="668"/>
      <c r="V737" s="668"/>
      <c r="W737" s="668"/>
      <c r="X737" s="668"/>
      <c r="Y737" s="668"/>
      <c r="Z737" s="668"/>
      <c r="AA737" s="668"/>
      <c r="AB737" s="668"/>
      <c r="AC737" s="620"/>
      <c r="AD737" s="620"/>
      <c r="AE737" s="620"/>
      <c r="AF737" s="620"/>
      <c r="AG737" s="620"/>
      <c r="AH737" s="620"/>
      <c r="AI737" s="620"/>
      <c r="AJ737" s="562"/>
      <c r="AK737" s="562"/>
      <c r="AL737" s="562"/>
      <c r="AM737" s="576"/>
      <c r="AN737" s="560"/>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596" customFormat="1" ht="13">
      <c r="A738" s="632"/>
      <c r="B738" s="627"/>
      <c r="C738" s="972"/>
      <c r="D738" s="627"/>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713"/>
      <c r="AC738" s="713"/>
      <c r="AD738" s="713"/>
      <c r="AE738" s="713"/>
      <c r="AF738" s="713"/>
      <c r="AG738" s="713"/>
      <c r="AH738" s="627"/>
      <c r="AI738" s="591" t="s">
        <v>1617</v>
      </c>
      <c r="AJ738" s="1987">
        <f>VLOOKUP($H$736,$AO$669:$AP$671,2,FALSE)</f>
        <v>3</v>
      </c>
      <c r="AK738" s="1989"/>
      <c r="AL738" s="621"/>
      <c r="AM738" s="576"/>
      <c r="AN738" s="560"/>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596" customFormat="1" ht="12.75" customHeight="1">
      <c r="A739" s="663"/>
      <c r="B739" s="562"/>
      <c r="C739" s="961"/>
      <c r="D739" s="562"/>
      <c r="E739" s="562"/>
      <c r="F739" s="562"/>
      <c r="G739" s="562"/>
      <c r="H739" s="562"/>
      <c r="I739" s="562"/>
      <c r="J739" s="668"/>
      <c r="K739" s="668"/>
      <c r="L739" s="669"/>
      <c r="M739" s="669"/>
      <c r="N739" s="669"/>
      <c r="O739" s="669"/>
      <c r="P739" s="669"/>
      <c r="Q739" s="669"/>
      <c r="R739" s="669"/>
      <c r="S739" s="669"/>
      <c r="T739" s="669"/>
      <c r="U739" s="669"/>
      <c r="V739" s="642"/>
      <c r="W739" s="642"/>
      <c r="X739" s="642"/>
      <c r="Y739" s="642"/>
      <c r="Z739" s="964"/>
      <c r="AA739" s="964"/>
      <c r="AB739" s="964"/>
      <c r="AC739" s="562"/>
      <c r="AD739" s="562"/>
      <c r="AE739" s="562"/>
      <c r="AF739" s="562"/>
      <c r="AG739" s="562"/>
      <c r="AH739" s="562"/>
      <c r="AI739" s="562"/>
      <c r="AJ739" s="562"/>
      <c r="AK739" s="562"/>
      <c r="AL739" s="562"/>
      <c r="AM739" s="576"/>
      <c r="AN739" s="560"/>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596" customFormat="1" ht="13">
      <c r="A740" s="576"/>
      <c r="B740" s="562"/>
      <c r="C740" s="565" t="s">
        <v>1607</v>
      </c>
      <c r="D740" s="642"/>
      <c r="E740" s="562"/>
      <c r="F740" s="562"/>
      <c r="G740" s="562"/>
      <c r="H740" s="562"/>
      <c r="I740" s="562"/>
      <c r="J740" s="562"/>
      <c r="K740" s="562"/>
      <c r="L740" s="562"/>
      <c r="M740" s="562"/>
      <c r="N740" s="562"/>
      <c r="O740" s="562"/>
      <c r="P740" s="562"/>
      <c r="Q740" s="562"/>
      <c r="R740" s="562"/>
      <c r="S740" s="562"/>
      <c r="T740" s="562"/>
      <c r="U740" s="562"/>
      <c r="V740" s="562"/>
      <c r="W740" s="562"/>
      <c r="X740" s="562"/>
      <c r="Y740" s="562"/>
      <c r="Z740" s="562"/>
      <c r="AA740" s="562"/>
      <c r="AB740" s="562"/>
      <c r="AC740" s="562"/>
      <c r="AD740" s="562"/>
      <c r="AE740" s="562"/>
      <c r="AF740" s="562"/>
      <c r="AG740" s="562"/>
      <c r="AH740" s="562"/>
      <c r="AI740" s="562"/>
      <c r="AJ740" s="562"/>
      <c r="AK740" s="562"/>
      <c r="AL740" s="562"/>
      <c r="AM740" s="576"/>
      <c r="AN740" s="560"/>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596" customFormat="1">
      <c r="A741" s="576"/>
      <c r="B741" s="642"/>
      <c r="C741" s="562"/>
      <c r="D741" s="562"/>
      <c r="E741" s="642"/>
      <c r="F741" s="642"/>
      <c r="G741" s="642"/>
      <c r="H741" s="642"/>
      <c r="I741" s="642"/>
      <c r="J741" s="642"/>
      <c r="K741" s="642"/>
      <c r="L741" s="642"/>
      <c r="M741" s="642"/>
      <c r="N741" s="642"/>
      <c r="O741" s="642"/>
      <c r="P741" s="642"/>
      <c r="Q741" s="642"/>
      <c r="R741" s="642"/>
      <c r="S741" s="642"/>
      <c r="T741" s="642"/>
      <c r="U741" s="642"/>
      <c r="V741" s="642"/>
      <c r="W741" s="642"/>
      <c r="X741" s="642"/>
      <c r="Y741" s="642"/>
      <c r="Z741" s="642"/>
      <c r="AA741" s="642"/>
      <c r="AB741" s="642"/>
      <c r="AC741" s="642"/>
      <c r="AD741" s="642"/>
      <c r="AE741" s="642"/>
      <c r="AF741" s="642"/>
      <c r="AG741" s="642"/>
      <c r="AH741" s="642"/>
      <c r="AI741" s="562"/>
      <c r="AJ741" s="562"/>
      <c r="AK741" s="562"/>
      <c r="AL741" s="562"/>
      <c r="AM741" s="576"/>
      <c r="AN741" s="560"/>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596" customFormat="1" ht="13">
      <c r="A742" s="576"/>
      <c r="B742" s="562"/>
      <c r="C742" s="959"/>
      <c r="D742" s="689" t="s">
        <v>698</v>
      </c>
      <c r="E742" s="2007" t="s">
        <v>1618</v>
      </c>
      <c r="F742" s="2007"/>
      <c r="G742" s="2007"/>
      <c r="H742" s="2007"/>
      <c r="I742" s="2007"/>
      <c r="J742" s="2007"/>
      <c r="K742" s="2007"/>
      <c r="L742" s="2007"/>
      <c r="M742" s="2007"/>
      <c r="N742" s="2007"/>
      <c r="O742" s="2007"/>
      <c r="P742" s="2007"/>
      <c r="Q742" s="2007"/>
      <c r="R742" s="2007"/>
      <c r="S742" s="2007"/>
      <c r="T742" s="2007"/>
      <c r="U742" s="2007"/>
      <c r="V742" s="2007"/>
      <c r="W742" s="2007"/>
      <c r="X742" s="2007"/>
      <c r="Y742" s="2007"/>
      <c r="Z742" s="2007"/>
      <c r="AA742" s="2007"/>
      <c r="AB742" s="2007"/>
      <c r="AC742" s="562"/>
      <c r="AD742" s="562"/>
      <c r="AE742" s="562"/>
      <c r="AF742" s="1954" t="s">
        <v>1581</v>
      </c>
      <c r="AG742" s="1954"/>
      <c r="AH742" s="1954"/>
      <c r="AI742" s="1954"/>
      <c r="AJ742" s="1954"/>
      <c r="AK742" s="1954"/>
      <c r="AL742" s="1954"/>
      <c r="AM742" s="576"/>
      <c r="AN742" s="560"/>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596" customFormat="1" ht="13">
      <c r="A743" s="576"/>
      <c r="B743" s="562"/>
      <c r="C743" s="961"/>
      <c r="D743" s="689"/>
      <c r="E743" s="2007"/>
      <c r="F743" s="2007"/>
      <c r="G743" s="2007"/>
      <c r="H743" s="2007"/>
      <c r="I743" s="2007"/>
      <c r="J743" s="2007"/>
      <c r="K743" s="2007"/>
      <c r="L743" s="2007"/>
      <c r="M743" s="2007"/>
      <c r="N743" s="2007"/>
      <c r="O743" s="2007"/>
      <c r="P743" s="2007"/>
      <c r="Q743" s="2007"/>
      <c r="R743" s="2007"/>
      <c r="S743" s="2007"/>
      <c r="T743" s="2007"/>
      <c r="U743" s="2007"/>
      <c r="V743" s="2007"/>
      <c r="W743" s="2007"/>
      <c r="X743" s="2007"/>
      <c r="Y743" s="2007"/>
      <c r="Z743" s="2007"/>
      <c r="AA743" s="2007"/>
      <c r="AB743" s="2007"/>
      <c r="AC743" s="562"/>
      <c r="AD743" s="562"/>
      <c r="AE743" s="562"/>
      <c r="AF743" s="562"/>
      <c r="AG743" s="562"/>
      <c r="AH743" s="562"/>
      <c r="AI743" s="562"/>
      <c r="AJ743" s="562"/>
      <c r="AK743" s="562"/>
      <c r="AL743" s="562"/>
      <c r="AM743" s="576"/>
      <c r="AN743" s="560"/>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596" customFormat="1">
      <c r="A744" s="576"/>
      <c r="B744" s="642"/>
      <c r="C744" s="968"/>
      <c r="D744" s="689"/>
      <c r="E744" s="642"/>
      <c r="F744" s="642"/>
      <c r="G744" s="642"/>
      <c r="H744" s="642"/>
      <c r="I744" s="642"/>
      <c r="J744" s="642"/>
      <c r="K744" s="642"/>
      <c r="L744" s="642"/>
      <c r="M744" s="642"/>
      <c r="N744" s="642"/>
      <c r="O744" s="642"/>
      <c r="P744" s="642"/>
      <c r="Q744" s="642"/>
      <c r="R744" s="642"/>
      <c r="S744" s="642"/>
      <c r="T744" s="642"/>
      <c r="U744" s="642"/>
      <c r="V744" s="642"/>
      <c r="W744" s="642"/>
      <c r="X744" s="642"/>
      <c r="Y744" s="642"/>
      <c r="Z744" s="642"/>
      <c r="AA744" s="642"/>
      <c r="AB744" s="642"/>
      <c r="AC744" s="562"/>
      <c r="AD744" s="562"/>
      <c r="AE744" s="642"/>
      <c r="AF744" s="642"/>
      <c r="AG744" s="642"/>
      <c r="AH744" s="642"/>
      <c r="AI744" s="642"/>
      <c r="AJ744" s="642"/>
      <c r="AK744" s="562"/>
      <c r="AL744" s="562"/>
      <c r="AM744" s="576"/>
      <c r="AN744" s="560"/>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596" customFormat="1" ht="13">
      <c r="A745" s="663"/>
      <c r="B745" s="562"/>
      <c r="C745" s="959"/>
      <c r="D745" s="689" t="s">
        <v>519</v>
      </c>
      <c r="E745" s="2007" t="s">
        <v>1619</v>
      </c>
      <c r="F745" s="2007"/>
      <c r="G745" s="2007"/>
      <c r="H745" s="2007"/>
      <c r="I745" s="2007"/>
      <c r="J745" s="2007"/>
      <c r="K745" s="2007"/>
      <c r="L745" s="2007"/>
      <c r="M745" s="2007"/>
      <c r="N745" s="2007"/>
      <c r="O745" s="2007"/>
      <c r="P745" s="2007"/>
      <c r="Q745" s="2007"/>
      <c r="R745" s="2007"/>
      <c r="S745" s="2007"/>
      <c r="T745" s="2007"/>
      <c r="U745" s="2007"/>
      <c r="V745" s="2007"/>
      <c r="W745" s="2007"/>
      <c r="X745" s="2007"/>
      <c r="Y745" s="2007"/>
      <c r="Z745" s="2007"/>
      <c r="AA745" s="2007"/>
      <c r="AB745" s="2007"/>
      <c r="AC745" s="562"/>
      <c r="AD745" s="562"/>
      <c r="AE745" s="562"/>
      <c r="AF745" s="1954" t="s">
        <v>1598</v>
      </c>
      <c r="AG745" s="1954"/>
      <c r="AH745" s="1954"/>
      <c r="AI745" s="1954"/>
      <c r="AJ745" s="1954"/>
      <c r="AK745" s="1954"/>
      <c r="AL745" s="1954"/>
      <c r="AM745" s="576"/>
      <c r="AN745" s="560"/>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596" customFormat="1" ht="12.75" customHeight="1">
      <c r="A746" s="663"/>
      <c r="B746" s="562"/>
      <c r="C746" s="959"/>
      <c r="D746" s="689"/>
      <c r="E746" s="2007"/>
      <c r="F746" s="2007"/>
      <c r="G746" s="2007"/>
      <c r="H746" s="2007"/>
      <c r="I746" s="2007"/>
      <c r="J746" s="2007"/>
      <c r="K746" s="2007"/>
      <c r="L746" s="2007"/>
      <c r="M746" s="2007"/>
      <c r="N746" s="2007"/>
      <c r="O746" s="2007"/>
      <c r="P746" s="2007"/>
      <c r="Q746" s="2007"/>
      <c r="R746" s="2007"/>
      <c r="S746" s="2007"/>
      <c r="T746" s="2007"/>
      <c r="U746" s="2007"/>
      <c r="V746" s="2007"/>
      <c r="W746" s="2007"/>
      <c r="X746" s="2007"/>
      <c r="Y746" s="2007"/>
      <c r="Z746" s="2007"/>
      <c r="AA746" s="2007"/>
      <c r="AB746" s="2007"/>
      <c r="AC746" s="562"/>
      <c r="AD746" s="562"/>
      <c r="AE746" s="620"/>
      <c r="AF746" s="562"/>
      <c r="AG746" s="562"/>
      <c r="AH746" s="562"/>
      <c r="AI746" s="562"/>
      <c r="AJ746" s="562"/>
      <c r="AK746" s="562"/>
      <c r="AL746" s="562"/>
      <c r="AM746" s="576"/>
      <c r="AN746" s="560"/>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596" customFormat="1" ht="13">
      <c r="A747" s="576"/>
      <c r="B747" s="562"/>
      <c r="C747" s="961"/>
      <c r="D747" s="562"/>
      <c r="E747" s="669"/>
      <c r="F747" s="669"/>
      <c r="G747" s="669"/>
      <c r="H747" s="669"/>
      <c r="I747" s="669"/>
      <c r="J747" s="669"/>
      <c r="K747" s="669"/>
      <c r="L747" s="669"/>
      <c r="M747" s="669"/>
      <c r="N747" s="669"/>
      <c r="O747" s="669"/>
      <c r="P747" s="669"/>
      <c r="Q747" s="669"/>
      <c r="R747" s="669"/>
      <c r="S747" s="669"/>
      <c r="T747" s="669"/>
      <c r="U747" s="669"/>
      <c r="V747" s="669"/>
      <c r="W747" s="669"/>
      <c r="X747" s="669"/>
      <c r="Y747" s="669"/>
      <c r="Z747" s="669"/>
      <c r="AA747" s="669"/>
      <c r="AB747" s="669"/>
      <c r="AC747" s="562"/>
      <c r="AD747" s="562"/>
      <c r="AE747" s="642"/>
      <c r="AF747" s="642"/>
      <c r="AG747" s="642"/>
      <c r="AH747" s="642"/>
      <c r="AI747" s="562"/>
      <c r="AJ747" s="562"/>
      <c r="AK747" s="562"/>
      <c r="AL747" s="562"/>
      <c r="AM747" s="576"/>
      <c r="AN747" s="560"/>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596" customFormat="1" ht="12.75" customHeight="1">
      <c r="A748" s="576"/>
      <c r="B748" s="562"/>
      <c r="C748" s="562"/>
      <c r="D748" s="562" t="s">
        <v>1573</v>
      </c>
      <c r="E748" s="964"/>
      <c r="F748" s="964"/>
      <c r="G748" s="964"/>
      <c r="H748" s="2036" t="s">
        <v>698</v>
      </c>
      <c r="I748" s="2036"/>
      <c r="J748" s="669"/>
      <c r="K748" s="669"/>
      <c r="L748" s="669"/>
      <c r="M748" s="669"/>
      <c r="N748" s="669"/>
      <c r="O748" s="669"/>
      <c r="P748" s="669"/>
      <c r="Q748" s="562"/>
      <c r="R748" s="562"/>
      <c r="S748" s="562"/>
      <c r="T748" s="562"/>
      <c r="U748" s="562"/>
      <c r="V748" s="562"/>
      <c r="W748" s="669"/>
      <c r="X748" s="669"/>
      <c r="Y748" s="669"/>
      <c r="Z748" s="669"/>
      <c r="AA748" s="669"/>
      <c r="AB748" s="669"/>
      <c r="AC748" s="562"/>
      <c r="AD748" s="562"/>
      <c r="AE748" s="642"/>
      <c r="AF748" s="642"/>
      <c r="AG748" s="642"/>
      <c r="AH748" s="642"/>
      <c r="AI748" s="562"/>
      <c r="AJ748" s="562"/>
      <c r="AK748" s="562"/>
      <c r="AL748" s="562"/>
      <c r="AM748" s="576"/>
      <c r="AN748" s="560"/>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596" customFormat="1" ht="12.75" customHeight="1">
      <c r="A749" s="576"/>
      <c r="B749" s="642"/>
      <c r="C749" s="968"/>
      <c r="D749" s="642"/>
      <c r="E749" s="642"/>
      <c r="F749" s="642"/>
      <c r="G749" s="642"/>
      <c r="H749" s="642"/>
      <c r="I749" s="642"/>
      <c r="J749" s="642"/>
      <c r="K749" s="642"/>
      <c r="L749" s="642"/>
      <c r="M749" s="642"/>
      <c r="N749" s="642"/>
      <c r="O749" s="642"/>
      <c r="P749" s="642"/>
      <c r="Q749" s="642"/>
      <c r="R749" s="642"/>
      <c r="S749" s="642"/>
      <c r="T749" s="642"/>
      <c r="U749" s="642"/>
      <c r="V749" s="642"/>
      <c r="W749" s="642"/>
      <c r="X749" s="642"/>
      <c r="Y749" s="642"/>
      <c r="Z749" s="642"/>
      <c r="AA749" s="642"/>
      <c r="AB749" s="642"/>
      <c r="AC749" s="642"/>
      <c r="AD749" s="642"/>
      <c r="AE749" s="642"/>
      <c r="AF749" s="642"/>
      <c r="AG749" s="642"/>
      <c r="AH749" s="642"/>
      <c r="AI749" s="562"/>
      <c r="AJ749" s="562"/>
      <c r="AK749" s="562"/>
      <c r="AL749" s="562"/>
      <c r="AM749" s="576"/>
      <c r="AN749" s="560"/>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596" customFormat="1" ht="14" customHeight="1">
      <c r="A750" s="632"/>
      <c r="B750" s="691"/>
      <c r="C750" s="983"/>
      <c r="D750" s="691"/>
      <c r="E750" s="691"/>
      <c r="F750" s="691"/>
      <c r="G750" s="691"/>
      <c r="H750" s="691"/>
      <c r="I750" s="691"/>
      <c r="J750" s="691"/>
      <c r="K750" s="691"/>
      <c r="L750" s="691"/>
      <c r="M750" s="691"/>
      <c r="N750" s="691"/>
      <c r="O750" s="691"/>
      <c r="P750" s="691"/>
      <c r="Q750" s="691"/>
      <c r="R750" s="691"/>
      <c r="S750" s="691"/>
      <c r="T750" s="691"/>
      <c r="U750" s="691"/>
      <c r="V750" s="691"/>
      <c r="W750" s="691"/>
      <c r="X750" s="691"/>
      <c r="Y750" s="691"/>
      <c r="Z750" s="691"/>
      <c r="AA750" s="691"/>
      <c r="AB750" s="691"/>
      <c r="AC750" s="691"/>
      <c r="AD750" s="691"/>
      <c r="AE750" s="691"/>
      <c r="AF750" s="691"/>
      <c r="AG750" s="691"/>
      <c r="AH750" s="627"/>
      <c r="AI750" s="591" t="s">
        <v>1620</v>
      </c>
      <c r="AJ750" s="1987">
        <f>VLOOKUP($H$748,$AO$683:$AP$685,2,FALSE)</f>
        <v>2</v>
      </c>
      <c r="AK750" s="1989"/>
      <c r="AL750" s="621"/>
      <c r="AM750" s="576"/>
      <c r="AN750" s="560"/>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596" customFormat="1" ht="13">
      <c r="A751" s="576"/>
      <c r="B751" s="642"/>
      <c r="C751" s="968"/>
      <c r="D751" s="642"/>
      <c r="E751" s="642"/>
      <c r="F751" s="642"/>
      <c r="G751" s="642"/>
      <c r="H751" s="642"/>
      <c r="I751" s="642"/>
      <c r="J751" s="642"/>
      <c r="K751" s="642"/>
      <c r="L751" s="642"/>
      <c r="M751" s="642"/>
      <c r="N751" s="642"/>
      <c r="O751" s="642"/>
      <c r="P751" s="642"/>
      <c r="Q751" s="642"/>
      <c r="R751" s="642"/>
      <c r="S751" s="642"/>
      <c r="T751" s="642"/>
      <c r="U751" s="642"/>
      <c r="V751" s="642"/>
      <c r="W751" s="642"/>
      <c r="X751" s="642"/>
      <c r="Y751" s="642"/>
      <c r="Z751" s="642"/>
      <c r="AA751" s="642"/>
      <c r="AB751" s="642"/>
      <c r="AC751" s="642"/>
      <c r="AD751" s="642"/>
      <c r="AE751" s="642"/>
      <c r="AF751" s="642"/>
      <c r="AG751" s="642"/>
      <c r="AH751" s="562"/>
      <c r="AI751" s="569"/>
      <c r="AJ751" s="621"/>
      <c r="AK751" s="621"/>
      <c r="AL751" s="621"/>
      <c r="AM751" s="576"/>
      <c r="AN751" s="560"/>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596" customFormat="1" ht="13">
      <c r="A752" s="576"/>
      <c r="B752" s="642"/>
      <c r="C752" s="565" t="s">
        <v>1609</v>
      </c>
      <c r="D752" s="642"/>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642"/>
      <c r="AD752" s="642"/>
      <c r="AE752" s="642"/>
      <c r="AF752" s="642"/>
      <c r="AG752" s="642"/>
      <c r="AH752" s="562"/>
      <c r="AI752" s="569"/>
      <c r="AJ752" s="621"/>
      <c r="AK752" s="621"/>
      <c r="AL752" s="621"/>
      <c r="AM752" s="576"/>
      <c r="AN752" s="560"/>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596" customFormat="1" ht="13">
      <c r="A753" s="576"/>
      <c r="B753" s="642"/>
      <c r="C753" s="968"/>
      <c r="D753" s="642"/>
      <c r="E753" s="642"/>
      <c r="F753" s="642"/>
      <c r="G753" s="642"/>
      <c r="H753" s="642"/>
      <c r="I753" s="642"/>
      <c r="J753" s="642"/>
      <c r="K753" s="642"/>
      <c r="L753" s="642"/>
      <c r="M753" s="642"/>
      <c r="N753" s="642"/>
      <c r="O753" s="642"/>
      <c r="P753" s="642"/>
      <c r="Q753" s="642"/>
      <c r="R753" s="642"/>
      <c r="S753" s="642"/>
      <c r="T753" s="642"/>
      <c r="U753" s="642"/>
      <c r="V753" s="642"/>
      <c r="W753" s="642"/>
      <c r="X753" s="642"/>
      <c r="Y753" s="642"/>
      <c r="Z753" s="642"/>
      <c r="AA753" s="642"/>
      <c r="AB753" s="642"/>
      <c r="AC753" s="642"/>
      <c r="AD753" s="642"/>
      <c r="AE753" s="642"/>
      <c r="AF753" s="642"/>
      <c r="AG753" s="642"/>
      <c r="AH753" s="562"/>
      <c r="AI753" s="569"/>
      <c r="AJ753" s="621"/>
      <c r="AK753" s="621"/>
      <c r="AL753" s="621"/>
      <c r="AM753" s="576"/>
      <c r="AN753" s="710"/>
    </row>
    <row r="754" spans="1:81" s="596" customFormat="1" ht="14" customHeight="1">
      <c r="A754" s="576"/>
      <c r="B754" s="642"/>
      <c r="C754" s="968"/>
      <c r="D754" s="689" t="s">
        <v>698</v>
      </c>
      <c r="E754" s="2007" t="s">
        <v>1953</v>
      </c>
      <c r="F754" s="2007"/>
      <c r="G754" s="2007"/>
      <c r="H754" s="2007"/>
      <c r="I754" s="2007"/>
      <c r="J754" s="2007"/>
      <c r="K754" s="2007"/>
      <c r="L754" s="2007"/>
      <c r="M754" s="2007"/>
      <c r="N754" s="2007"/>
      <c r="O754" s="2007"/>
      <c r="P754" s="2007"/>
      <c r="Q754" s="2007"/>
      <c r="R754" s="2007"/>
      <c r="S754" s="2007"/>
      <c r="T754" s="2007"/>
      <c r="U754" s="2007"/>
      <c r="V754" s="2007"/>
      <c r="W754" s="2007"/>
      <c r="X754" s="2007"/>
      <c r="Y754" s="2007"/>
      <c r="Z754" s="2007"/>
      <c r="AA754" s="2007"/>
      <c r="AB754" s="2007"/>
      <c r="AC754" s="2007"/>
      <c r="AD754" s="2007"/>
      <c r="AE754" s="562"/>
      <c r="AF754" s="1954" t="s">
        <v>1581</v>
      </c>
      <c r="AG754" s="1954"/>
      <c r="AH754" s="1954"/>
      <c r="AI754" s="1954"/>
      <c r="AJ754" s="1954"/>
      <c r="AK754" s="1954"/>
      <c r="AL754" s="1954"/>
      <c r="AM754" s="639"/>
      <c r="AN754" s="710"/>
    </row>
    <row r="755" spans="1:81" s="596" customFormat="1" ht="14" customHeight="1">
      <c r="A755" s="576"/>
      <c r="B755" s="642"/>
      <c r="C755" s="968"/>
      <c r="D755" s="689"/>
      <c r="E755" s="2007"/>
      <c r="F755" s="2007"/>
      <c r="G755" s="2007"/>
      <c r="H755" s="2007"/>
      <c r="I755" s="2007"/>
      <c r="J755" s="2007"/>
      <c r="K755" s="2007"/>
      <c r="L755" s="2007"/>
      <c r="M755" s="2007"/>
      <c r="N755" s="2007"/>
      <c r="O755" s="2007"/>
      <c r="P755" s="2007"/>
      <c r="Q755" s="2007"/>
      <c r="R755" s="2007"/>
      <c r="S755" s="2007"/>
      <c r="T755" s="2007"/>
      <c r="U755" s="2007"/>
      <c r="V755" s="2007"/>
      <c r="W755" s="2007"/>
      <c r="X755" s="2007"/>
      <c r="Y755" s="2007"/>
      <c r="Z755" s="2007"/>
      <c r="AA755" s="2007"/>
      <c r="AB755" s="2007"/>
      <c r="AC755" s="2007"/>
      <c r="AD755" s="2007"/>
      <c r="AE755" s="562"/>
      <c r="AF755" s="620"/>
      <c r="AG755" s="620"/>
      <c r="AH755" s="620"/>
      <c r="AI755" s="620"/>
      <c r="AJ755" s="620"/>
      <c r="AK755" s="620"/>
      <c r="AL755" s="620"/>
      <c r="AM755" s="639"/>
      <c r="AN755" s="710"/>
    </row>
    <row r="756" spans="1:81" s="596" customFormat="1" ht="13">
      <c r="A756" s="576"/>
      <c r="B756" s="642"/>
      <c r="C756" s="968"/>
      <c r="D756" s="689"/>
      <c r="E756" s="2007"/>
      <c r="F756" s="2007"/>
      <c r="G756" s="2007"/>
      <c r="H756" s="2007"/>
      <c r="I756" s="2007"/>
      <c r="J756" s="2007"/>
      <c r="K756" s="2007"/>
      <c r="L756" s="2007"/>
      <c r="M756" s="2007"/>
      <c r="N756" s="2007"/>
      <c r="O756" s="2007"/>
      <c r="P756" s="2007"/>
      <c r="Q756" s="2007"/>
      <c r="R756" s="2007"/>
      <c r="S756" s="2007"/>
      <c r="T756" s="2007"/>
      <c r="U756" s="2007"/>
      <c r="V756" s="2007"/>
      <c r="W756" s="2007"/>
      <c r="X756" s="2007"/>
      <c r="Y756" s="2007"/>
      <c r="Z756" s="2007"/>
      <c r="AA756" s="2007"/>
      <c r="AB756" s="2007"/>
      <c r="AC756" s="2007"/>
      <c r="AD756" s="2007"/>
      <c r="AE756" s="562"/>
      <c r="AF756" s="562"/>
      <c r="AG756" s="562"/>
      <c r="AH756" s="562"/>
      <c r="AI756" s="562"/>
      <c r="AJ756" s="562"/>
      <c r="AK756" s="562"/>
      <c r="AL756" s="620"/>
      <c r="AM756" s="639"/>
      <c r="AN756" s="560"/>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596" customFormat="1" ht="18.5" customHeight="1">
      <c r="A757" s="576"/>
      <c r="B757" s="642"/>
      <c r="C757" s="968"/>
      <c r="D757" s="689"/>
      <c r="E757" s="2007"/>
      <c r="F757" s="2007"/>
      <c r="G757" s="2007"/>
      <c r="H757" s="2007"/>
      <c r="I757" s="2007"/>
      <c r="J757" s="2007"/>
      <c r="K757" s="2007"/>
      <c r="L757" s="2007"/>
      <c r="M757" s="2007"/>
      <c r="N757" s="2007"/>
      <c r="O757" s="2007"/>
      <c r="P757" s="2007"/>
      <c r="Q757" s="2007"/>
      <c r="R757" s="2007"/>
      <c r="S757" s="2007"/>
      <c r="T757" s="2007"/>
      <c r="U757" s="2007"/>
      <c r="V757" s="2007"/>
      <c r="W757" s="2007"/>
      <c r="X757" s="2007"/>
      <c r="Y757" s="2007"/>
      <c r="Z757" s="2007"/>
      <c r="AA757" s="2007"/>
      <c r="AB757" s="2007"/>
      <c r="AC757" s="2007"/>
      <c r="AD757" s="2007"/>
      <c r="AE757" s="620"/>
      <c r="AF757" s="620"/>
      <c r="AG757" s="620"/>
      <c r="AH757" s="620"/>
      <c r="AI757" s="620"/>
      <c r="AJ757" s="620"/>
      <c r="AK757" s="620"/>
      <c r="AL757" s="620"/>
      <c r="AM757" s="639"/>
      <c r="AN757" s="560"/>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76" customFormat="1" ht="12.75" customHeight="1">
      <c r="B758" s="642"/>
      <c r="C758" s="968"/>
      <c r="D758" s="689"/>
      <c r="E758" s="936"/>
      <c r="F758" s="936"/>
      <c r="G758" s="936"/>
      <c r="H758" s="936"/>
      <c r="I758" s="936"/>
      <c r="J758" s="936"/>
      <c r="K758" s="936"/>
      <c r="L758" s="936"/>
      <c r="M758" s="936"/>
      <c r="N758" s="936"/>
      <c r="O758" s="936"/>
      <c r="P758" s="936"/>
      <c r="Q758" s="936"/>
      <c r="R758" s="936"/>
      <c r="S758" s="936"/>
      <c r="T758" s="936"/>
      <c r="U758" s="936"/>
      <c r="V758" s="936"/>
      <c r="W758" s="936"/>
      <c r="X758" s="936"/>
      <c r="Y758" s="936"/>
      <c r="Z758" s="936"/>
      <c r="AA758" s="936"/>
      <c r="AB758" s="936"/>
      <c r="AC758" s="936"/>
      <c r="AD758" s="936"/>
      <c r="AE758" s="620"/>
      <c r="AF758" s="562"/>
      <c r="AG758" s="562"/>
      <c r="AH758" s="562"/>
      <c r="AI758" s="562"/>
      <c r="AJ758" s="562"/>
      <c r="AK758" s="562"/>
      <c r="AL758" s="562"/>
      <c r="AM758" s="639"/>
      <c r="AN758" s="623"/>
    </row>
    <row r="759" spans="1:81" s="576" customFormat="1" ht="12.75" customHeight="1">
      <c r="B759" s="642"/>
      <c r="C759" s="968"/>
      <c r="D759" s="689" t="s">
        <v>519</v>
      </c>
      <c r="E759" s="2042" t="s">
        <v>1958</v>
      </c>
      <c r="F759" s="2042"/>
      <c r="G759" s="2042"/>
      <c r="H759" s="2042"/>
      <c r="I759" s="2042"/>
      <c r="J759" s="2042"/>
      <c r="K759" s="2042"/>
      <c r="L759" s="2042"/>
      <c r="M759" s="2042"/>
      <c r="N759" s="2042"/>
      <c r="O759" s="2042"/>
      <c r="P759" s="2042"/>
      <c r="Q759" s="2042"/>
      <c r="R759" s="2042"/>
      <c r="S759" s="2042"/>
      <c r="T759" s="2042"/>
      <c r="U759" s="2042"/>
      <c r="V759" s="2042"/>
      <c r="W759" s="2042"/>
      <c r="X759" s="2042"/>
      <c r="Y759" s="2042"/>
      <c r="Z759" s="2042"/>
      <c r="AA759" s="2042"/>
      <c r="AB759" s="2042"/>
      <c r="AC759" s="2042"/>
      <c r="AD759" s="2042"/>
      <c r="AE759" s="562"/>
      <c r="AF759" s="1954" t="s">
        <v>1525</v>
      </c>
      <c r="AG759" s="1954"/>
      <c r="AH759" s="1954"/>
      <c r="AI759" s="1954"/>
      <c r="AJ759" s="1954"/>
      <c r="AK759" s="1954"/>
      <c r="AL759" s="1954"/>
      <c r="AM759" s="639"/>
      <c r="AN759" s="623"/>
    </row>
    <row r="760" spans="1:81" s="576" customFormat="1" ht="12.75" customHeight="1">
      <c r="B760" s="642"/>
      <c r="C760" s="968"/>
      <c r="D760" s="689"/>
      <c r="E760" s="2042"/>
      <c r="F760" s="2042"/>
      <c r="G760" s="2042"/>
      <c r="H760" s="2042"/>
      <c r="I760" s="2042"/>
      <c r="J760" s="2042"/>
      <c r="K760" s="2042"/>
      <c r="L760" s="2042"/>
      <c r="M760" s="2042"/>
      <c r="N760" s="2042"/>
      <c r="O760" s="2042"/>
      <c r="P760" s="2042"/>
      <c r="Q760" s="2042"/>
      <c r="R760" s="2042"/>
      <c r="S760" s="2042"/>
      <c r="T760" s="2042"/>
      <c r="U760" s="2042"/>
      <c r="V760" s="2042"/>
      <c r="W760" s="2042"/>
      <c r="X760" s="2042"/>
      <c r="Y760" s="2042"/>
      <c r="Z760" s="2042"/>
      <c r="AA760" s="2042"/>
      <c r="AB760" s="2042"/>
      <c r="AC760" s="2042"/>
      <c r="AD760" s="2042"/>
      <c r="AE760" s="620"/>
      <c r="AF760" s="620"/>
      <c r="AG760" s="620"/>
      <c r="AH760" s="620"/>
      <c r="AI760" s="620"/>
      <c r="AJ760" s="620"/>
      <c r="AK760" s="620"/>
      <c r="AL760" s="620"/>
      <c r="AM760" s="639"/>
      <c r="AN760" s="623"/>
    </row>
    <row r="761" spans="1:81" s="576" customFormat="1" ht="12.75" customHeight="1">
      <c r="B761" s="642"/>
      <c r="C761" s="968"/>
      <c r="D761" s="689"/>
      <c r="E761" s="2042"/>
      <c r="F761" s="2042"/>
      <c r="G761" s="2042"/>
      <c r="H761" s="2042"/>
      <c r="I761" s="2042"/>
      <c r="J761" s="2042"/>
      <c r="K761" s="2042"/>
      <c r="L761" s="2042"/>
      <c r="M761" s="2042"/>
      <c r="N761" s="2042"/>
      <c r="O761" s="2042"/>
      <c r="P761" s="2042"/>
      <c r="Q761" s="2042"/>
      <c r="R761" s="2042"/>
      <c r="S761" s="2042"/>
      <c r="T761" s="2042"/>
      <c r="U761" s="2042"/>
      <c r="V761" s="2042"/>
      <c r="W761" s="2042"/>
      <c r="X761" s="2042"/>
      <c r="Y761" s="2042"/>
      <c r="Z761" s="2042"/>
      <c r="AA761" s="2042"/>
      <c r="AB761" s="2042"/>
      <c r="AC761" s="2042"/>
      <c r="AD761" s="2042"/>
      <c r="AE761" s="620"/>
      <c r="AF761" s="620"/>
      <c r="AG761" s="620"/>
      <c r="AH761" s="620"/>
      <c r="AI761" s="620"/>
      <c r="AJ761" s="620"/>
      <c r="AK761" s="620"/>
      <c r="AL761" s="620"/>
      <c r="AM761" s="639"/>
      <c r="AN761" s="623"/>
    </row>
    <row r="762" spans="1:81" s="576" customFormat="1" ht="12.75" customHeight="1">
      <c r="B762" s="642"/>
      <c r="C762" s="968"/>
      <c r="D762" s="689"/>
      <c r="E762" s="2042"/>
      <c r="F762" s="2042"/>
      <c r="G762" s="2042"/>
      <c r="H762" s="2042"/>
      <c r="I762" s="2042"/>
      <c r="J762" s="2042"/>
      <c r="K762" s="2042"/>
      <c r="L762" s="2042"/>
      <c r="M762" s="2042"/>
      <c r="N762" s="2042"/>
      <c r="O762" s="2042"/>
      <c r="P762" s="2042"/>
      <c r="Q762" s="2042"/>
      <c r="R762" s="2042"/>
      <c r="S762" s="2042"/>
      <c r="T762" s="2042"/>
      <c r="U762" s="2042"/>
      <c r="V762" s="2042"/>
      <c r="W762" s="2042"/>
      <c r="X762" s="2042"/>
      <c r="Y762" s="2042"/>
      <c r="Z762" s="2042"/>
      <c r="AA762" s="2042"/>
      <c r="AB762" s="2042"/>
      <c r="AC762" s="2042"/>
      <c r="AD762" s="2042"/>
      <c r="AE762" s="620"/>
      <c r="AF762" s="620"/>
      <c r="AG762" s="620"/>
      <c r="AH762" s="620"/>
      <c r="AI762" s="620"/>
      <c r="AJ762" s="620"/>
      <c r="AK762" s="620"/>
      <c r="AL762" s="620"/>
      <c r="AM762" s="639"/>
      <c r="AN762" s="623"/>
    </row>
    <row r="763" spans="1:81" s="576" customFormat="1" ht="12.75" customHeight="1">
      <c r="A763" s="596"/>
      <c r="B763" s="562"/>
      <c r="C763" s="562"/>
      <c r="D763" s="562"/>
      <c r="E763" s="562"/>
      <c r="F763" s="562"/>
      <c r="G763" s="562"/>
      <c r="H763" s="562"/>
      <c r="I763" s="562"/>
      <c r="J763" s="562"/>
      <c r="K763" s="562"/>
      <c r="L763" s="562"/>
      <c r="M763" s="562"/>
      <c r="N763" s="562"/>
      <c r="O763" s="562"/>
      <c r="P763" s="562"/>
      <c r="Q763" s="562"/>
      <c r="R763" s="562"/>
      <c r="S763" s="562"/>
      <c r="T763" s="562"/>
      <c r="U763" s="562"/>
      <c r="V763" s="562"/>
      <c r="W763" s="562"/>
      <c r="X763" s="562"/>
      <c r="Y763" s="562"/>
      <c r="Z763" s="562"/>
      <c r="AA763" s="562"/>
      <c r="AB763" s="562"/>
      <c r="AC763" s="562"/>
      <c r="AD763" s="562"/>
      <c r="AE763" s="562"/>
      <c r="AF763" s="562"/>
      <c r="AG763" s="562"/>
      <c r="AH763" s="562"/>
      <c r="AI763" s="562"/>
      <c r="AJ763" s="562"/>
      <c r="AK763" s="562"/>
      <c r="AL763" s="562"/>
      <c r="AM763" s="596"/>
      <c r="AN763" s="623"/>
    </row>
    <row r="764" spans="1:81" s="576" customFormat="1" ht="12.75" customHeight="1">
      <c r="B764" s="642"/>
      <c r="C764" s="968"/>
      <c r="D764" s="562" t="s">
        <v>1573</v>
      </c>
      <c r="E764" s="964"/>
      <c r="F764" s="964"/>
      <c r="G764" s="964"/>
      <c r="H764" s="2036" t="s">
        <v>601</v>
      </c>
      <c r="I764" s="2036"/>
      <c r="J764" s="669"/>
      <c r="K764" s="669"/>
      <c r="L764" s="669"/>
      <c r="M764" s="669"/>
      <c r="N764" s="669"/>
      <c r="O764" s="669"/>
      <c r="P764" s="669"/>
      <c r="Q764" s="669"/>
      <c r="R764" s="669"/>
      <c r="S764" s="669"/>
      <c r="T764" s="669"/>
      <c r="U764" s="669"/>
      <c r="V764" s="669"/>
      <c r="W764" s="669"/>
      <c r="X764" s="669"/>
      <c r="Y764" s="669"/>
      <c r="Z764" s="669"/>
      <c r="AA764" s="669"/>
      <c r="AB764" s="669"/>
      <c r="AC764" s="669"/>
      <c r="AD764" s="669"/>
      <c r="AE764" s="669"/>
      <c r="AF764" s="669"/>
      <c r="AG764" s="642"/>
      <c r="AH764" s="562"/>
      <c r="AI764" s="569"/>
      <c r="AJ764" s="621"/>
      <c r="AK764" s="621"/>
      <c r="AL764" s="621"/>
      <c r="AN764" s="623"/>
    </row>
    <row r="765" spans="1:81" s="576" customFormat="1" ht="12.75" customHeight="1">
      <c r="B765" s="642"/>
      <c r="C765" s="968"/>
      <c r="D765" s="642"/>
      <c r="E765" s="642"/>
      <c r="F765" s="642"/>
      <c r="G765" s="642"/>
      <c r="H765" s="642"/>
      <c r="I765" s="642"/>
      <c r="J765" s="642"/>
      <c r="K765" s="642"/>
      <c r="L765" s="642"/>
      <c r="M765" s="642"/>
      <c r="N765" s="642"/>
      <c r="O765" s="642"/>
      <c r="P765" s="642"/>
      <c r="Q765" s="642"/>
      <c r="R765" s="642"/>
      <c r="S765" s="642"/>
      <c r="T765" s="642"/>
      <c r="U765" s="642"/>
      <c r="V765" s="642"/>
      <c r="W765" s="642"/>
      <c r="X765" s="642"/>
      <c r="Y765" s="642"/>
      <c r="Z765" s="642"/>
      <c r="AA765" s="642"/>
      <c r="AB765" s="642"/>
      <c r="AC765" s="642"/>
      <c r="AD765" s="642"/>
      <c r="AE765" s="642"/>
      <c r="AF765" s="642"/>
      <c r="AG765" s="642"/>
      <c r="AH765" s="562"/>
      <c r="AI765" s="569"/>
      <c r="AJ765" s="621"/>
      <c r="AK765" s="621"/>
      <c r="AL765" s="621"/>
      <c r="AN765" s="623"/>
    </row>
    <row r="766" spans="1:81" s="576" customFormat="1" ht="12.75" customHeight="1">
      <c r="A766" s="632"/>
      <c r="B766" s="691"/>
      <c r="C766" s="983"/>
      <c r="D766" s="691"/>
      <c r="E766" s="691"/>
      <c r="F766" s="691"/>
      <c r="G766" s="691"/>
      <c r="H766" s="691"/>
      <c r="I766" s="691"/>
      <c r="J766" s="691"/>
      <c r="K766" s="691"/>
      <c r="L766" s="691"/>
      <c r="M766" s="691"/>
      <c r="N766" s="691"/>
      <c r="O766" s="691"/>
      <c r="P766" s="691"/>
      <c r="Q766" s="691"/>
      <c r="R766" s="691"/>
      <c r="S766" s="691"/>
      <c r="T766" s="691"/>
      <c r="U766" s="691"/>
      <c r="V766" s="691"/>
      <c r="W766" s="691"/>
      <c r="X766" s="691"/>
      <c r="Y766" s="691"/>
      <c r="Z766" s="691"/>
      <c r="AA766" s="691"/>
      <c r="AB766" s="691"/>
      <c r="AC766" s="691"/>
      <c r="AD766" s="691"/>
      <c r="AE766" s="691"/>
      <c r="AF766" s="691"/>
      <c r="AG766" s="691"/>
      <c r="AH766" s="627"/>
      <c r="AI766" s="591" t="s">
        <v>1621</v>
      </c>
      <c r="AJ766" s="1987">
        <f>VLOOKUP($H$764,$AP$705:$AQ$707,2,FALSE)</f>
        <v>0</v>
      </c>
      <c r="AK766" s="1989"/>
      <c r="AL766" s="621"/>
      <c r="AN766" s="623"/>
    </row>
    <row r="767" spans="1:81" s="596" customFormat="1" ht="13">
      <c r="A767" s="576"/>
      <c r="B767" s="642"/>
      <c r="C767" s="968"/>
      <c r="D767" s="642"/>
      <c r="E767" s="642"/>
      <c r="F767" s="642"/>
      <c r="G767" s="642"/>
      <c r="H767" s="642"/>
      <c r="I767" s="642"/>
      <c r="J767" s="642"/>
      <c r="K767" s="642"/>
      <c r="L767" s="642"/>
      <c r="M767" s="642"/>
      <c r="N767" s="642"/>
      <c r="O767" s="642"/>
      <c r="P767" s="642"/>
      <c r="Q767" s="642"/>
      <c r="R767" s="642"/>
      <c r="S767" s="642"/>
      <c r="T767" s="642"/>
      <c r="U767" s="642"/>
      <c r="V767" s="642"/>
      <c r="W767" s="642"/>
      <c r="X767" s="642"/>
      <c r="Y767" s="642"/>
      <c r="Z767" s="642"/>
      <c r="AA767" s="642"/>
      <c r="AB767" s="642"/>
      <c r="AC767" s="642"/>
      <c r="AD767" s="642"/>
      <c r="AE767" s="642"/>
      <c r="AF767" s="642"/>
      <c r="AG767" s="642"/>
      <c r="AH767" s="562"/>
      <c r="AI767" s="569"/>
      <c r="AJ767" s="621"/>
      <c r="AK767" s="621"/>
      <c r="AL767" s="621"/>
      <c r="AM767" s="576"/>
      <c r="AN767" s="710"/>
      <c r="AS767" s="700"/>
      <c r="AT767" s="700"/>
      <c r="AU767" s="700"/>
      <c r="AV767" s="700"/>
      <c r="AW767" s="700"/>
      <c r="AX767" s="700"/>
      <c r="AY767" s="700"/>
      <c r="AZ767" s="700"/>
      <c r="BA767" s="700"/>
      <c r="BB767" s="700"/>
      <c r="BC767" s="700"/>
      <c r="BD767" s="716"/>
      <c r="BE767" s="716"/>
      <c r="BF767" s="716"/>
      <c r="BG767" s="716"/>
      <c r="BH767" s="716"/>
      <c r="BI767" s="700"/>
      <c r="BJ767" s="700"/>
      <c r="BK767" s="700"/>
      <c r="BL767" s="700"/>
      <c r="BM767" s="700"/>
      <c r="BN767" s="700"/>
      <c r="BO767" s="700"/>
      <c r="BP767" s="700"/>
      <c r="BQ767" s="700"/>
      <c r="BR767" s="700"/>
      <c r="BS767" s="700"/>
      <c r="BT767" s="700"/>
      <c r="BU767" s="700"/>
      <c r="BV767" s="700"/>
      <c r="BW767" s="700"/>
      <c r="BX767" s="700"/>
      <c r="BY767" s="700"/>
      <c r="BZ767" s="700"/>
      <c r="CA767" s="700"/>
      <c r="CB767" s="700"/>
      <c r="CC767" s="700"/>
    </row>
    <row r="768" spans="1:81" s="596" customFormat="1" ht="13">
      <c r="A768" s="576"/>
      <c r="B768" s="642"/>
      <c r="C768" s="565" t="s">
        <v>1622</v>
      </c>
      <c r="D768" s="642"/>
      <c r="E768" s="642"/>
      <c r="F768" s="642"/>
      <c r="G768" s="642"/>
      <c r="H768" s="642"/>
      <c r="I768" s="642"/>
      <c r="J768" s="642"/>
      <c r="K768" s="642"/>
      <c r="L768" s="642"/>
      <c r="M768" s="642"/>
      <c r="N768" s="642"/>
      <c r="O768" s="642"/>
      <c r="P768" s="642"/>
      <c r="Q768" s="642"/>
      <c r="R768" s="642"/>
      <c r="S768" s="642"/>
      <c r="T768" s="642"/>
      <c r="U768" s="642"/>
      <c r="V768" s="642"/>
      <c r="W768" s="642"/>
      <c r="X768" s="642"/>
      <c r="Y768" s="642"/>
      <c r="Z768" s="642"/>
      <c r="AA768" s="642"/>
      <c r="AB768" s="642"/>
      <c r="AC768" s="642"/>
      <c r="AD768" s="642"/>
      <c r="AE768" s="642"/>
      <c r="AF768" s="642"/>
      <c r="AG768" s="642"/>
      <c r="AH768" s="562"/>
      <c r="AI768" s="569"/>
      <c r="AJ768" s="621"/>
      <c r="AK768" s="621"/>
      <c r="AL768" s="621"/>
      <c r="AM768" s="576"/>
      <c r="AN768" s="710"/>
      <c r="AT768" s="700"/>
      <c r="AU768" s="700"/>
      <c r="AV768" s="700"/>
      <c r="AW768" s="700"/>
      <c r="AX768" s="700"/>
      <c r="AY768" s="700"/>
      <c r="AZ768" s="700"/>
    </row>
    <row r="769" spans="1:81" s="596" customFormat="1">
      <c r="A769" s="576"/>
      <c r="B769" s="642"/>
      <c r="C769" s="968"/>
      <c r="D769" s="642"/>
      <c r="E769" s="642"/>
      <c r="F769" s="642"/>
      <c r="G769" s="642"/>
      <c r="H769" s="642"/>
      <c r="I769" s="642"/>
      <c r="J769" s="642"/>
      <c r="K769" s="642"/>
      <c r="L769" s="642"/>
      <c r="M769" s="642"/>
      <c r="N769" s="642"/>
      <c r="O769" s="642"/>
      <c r="P769" s="642"/>
      <c r="Q769" s="642"/>
      <c r="R769" s="642"/>
      <c r="S769" s="642"/>
      <c r="T769" s="642"/>
      <c r="U769" s="642"/>
      <c r="V769" s="642"/>
      <c r="W769" s="642"/>
      <c r="X769" s="642"/>
      <c r="Y769" s="642"/>
      <c r="Z769" s="642"/>
      <c r="AA769" s="642"/>
      <c r="AB769" s="642"/>
      <c r="AC769" s="642"/>
      <c r="AD769" s="642"/>
      <c r="AE769" s="562"/>
      <c r="AF769" s="562"/>
      <c r="AG769" s="562"/>
      <c r="AH769" s="562"/>
      <c r="AI769" s="562"/>
      <c r="AJ769" s="562"/>
      <c r="AK769" s="562"/>
      <c r="AL769" s="621"/>
      <c r="AM769" s="576"/>
      <c r="AN769" s="710"/>
      <c r="AO769" s="576" t="s">
        <v>601</v>
      </c>
      <c r="AP769" s="706">
        <v>0</v>
      </c>
      <c r="AS769" s="700"/>
      <c r="AT769" s="700"/>
      <c r="AU769" s="700"/>
      <c r="AV769" s="700"/>
      <c r="AW769" s="700"/>
      <c r="AX769" s="700"/>
      <c r="AY769" s="700"/>
      <c r="AZ769" s="700"/>
      <c r="BA769" s="700"/>
      <c r="BB769" s="700"/>
      <c r="BC769" s="700"/>
      <c r="BD769" s="716"/>
      <c r="BE769" s="716"/>
      <c r="BF769" s="716"/>
      <c r="BG769" s="716"/>
      <c r="BH769" s="716"/>
      <c r="BI769" s="700"/>
      <c r="BJ769" s="700"/>
      <c r="BK769" s="700"/>
      <c r="BL769" s="700"/>
      <c r="BM769" s="700"/>
      <c r="BN769" s="700"/>
      <c r="BO769" s="700"/>
      <c r="BP769" s="700"/>
      <c r="BQ769" s="700"/>
      <c r="BR769" s="700"/>
      <c r="BS769" s="700"/>
      <c r="BT769" s="700"/>
      <c r="BU769" s="700"/>
      <c r="BV769" s="700"/>
      <c r="BW769" s="700"/>
      <c r="BX769" s="700"/>
      <c r="BY769" s="700"/>
      <c r="BZ769" s="700"/>
      <c r="CA769" s="700"/>
      <c r="CB769" s="700"/>
      <c r="CC769" s="700"/>
    </row>
    <row r="770" spans="1:81" s="596" customFormat="1" ht="14" customHeight="1">
      <c r="A770" s="576"/>
      <c r="B770" s="642"/>
      <c r="C770" s="968"/>
      <c r="D770" s="689" t="s">
        <v>698</v>
      </c>
      <c r="E770" s="2007" t="s">
        <v>2431</v>
      </c>
      <c r="F770" s="2007"/>
      <c r="G770" s="2007"/>
      <c r="H770" s="2007"/>
      <c r="I770" s="2007"/>
      <c r="J770" s="2007"/>
      <c r="K770" s="2007"/>
      <c r="L770" s="2007"/>
      <c r="M770" s="2007"/>
      <c r="N770" s="2007"/>
      <c r="O770" s="2007"/>
      <c r="P770" s="2007"/>
      <c r="Q770" s="2007"/>
      <c r="R770" s="2007"/>
      <c r="S770" s="2007"/>
      <c r="T770" s="2007"/>
      <c r="U770" s="2007"/>
      <c r="V770" s="2007"/>
      <c r="W770" s="2007"/>
      <c r="X770" s="2007"/>
      <c r="Y770" s="2007"/>
      <c r="Z770" s="2007"/>
      <c r="AA770" s="2007"/>
      <c r="AB770" s="2007"/>
      <c r="AC770" s="2007"/>
      <c r="AD770" s="2007"/>
      <c r="AE770" s="562"/>
      <c r="AF770" s="1954" t="s">
        <v>1525</v>
      </c>
      <c r="AG770" s="1954"/>
      <c r="AH770" s="1954"/>
      <c r="AI770" s="1954"/>
      <c r="AJ770" s="1954"/>
      <c r="AK770" s="1954"/>
      <c r="AL770" s="1954"/>
      <c r="AM770" s="639"/>
      <c r="AN770" s="710"/>
      <c r="AO770" s="637" t="s">
        <v>555</v>
      </c>
      <c r="AP770" s="576">
        <v>3</v>
      </c>
      <c r="AT770" s="700"/>
      <c r="AU770" s="700"/>
      <c r="AV770" s="700"/>
      <c r="AW770" s="700"/>
      <c r="AX770" s="700"/>
      <c r="AY770" s="700"/>
      <c r="AZ770" s="700"/>
    </row>
    <row r="771" spans="1:81" s="596" customFormat="1" ht="14" customHeight="1">
      <c r="A771" s="576"/>
      <c r="B771" s="642"/>
      <c r="C771" s="968"/>
      <c r="D771" s="689"/>
      <c r="E771" s="2007"/>
      <c r="F771" s="2007"/>
      <c r="G771" s="2007"/>
      <c r="H771" s="2007"/>
      <c r="I771" s="2007"/>
      <c r="J771" s="2007"/>
      <c r="K771" s="2007"/>
      <c r="L771" s="2007"/>
      <c r="M771" s="2007"/>
      <c r="N771" s="2007"/>
      <c r="O771" s="2007"/>
      <c r="P771" s="2007"/>
      <c r="Q771" s="2007"/>
      <c r="R771" s="2007"/>
      <c r="S771" s="2007"/>
      <c r="T771" s="2007"/>
      <c r="U771" s="2007"/>
      <c r="V771" s="2007"/>
      <c r="W771" s="2007"/>
      <c r="X771" s="2007"/>
      <c r="Y771" s="2007"/>
      <c r="Z771" s="2007"/>
      <c r="AA771" s="2007"/>
      <c r="AB771" s="2007"/>
      <c r="AC771" s="2007"/>
      <c r="AD771" s="2007"/>
      <c r="AE771" s="562"/>
      <c r="AF771" s="620"/>
      <c r="AG771" s="620"/>
      <c r="AH771" s="620"/>
      <c r="AI771" s="620"/>
      <c r="AJ771" s="620"/>
      <c r="AK771" s="620"/>
      <c r="AL771" s="620"/>
      <c r="AM771" s="639"/>
      <c r="AN771" s="710"/>
      <c r="AO771" s="637"/>
      <c r="AP771" s="576"/>
      <c r="AT771" s="700"/>
      <c r="AU771" s="700"/>
      <c r="AV771" s="700"/>
      <c r="AW771" s="700"/>
      <c r="AX771" s="700"/>
      <c r="AY771" s="700"/>
      <c r="AZ771" s="700"/>
    </row>
    <row r="772" spans="1:81" s="596" customFormat="1" ht="13">
      <c r="A772" s="576"/>
      <c r="B772" s="642"/>
      <c r="C772" s="968"/>
      <c r="D772" s="689"/>
      <c r="E772" s="2007"/>
      <c r="F772" s="2007"/>
      <c r="G772" s="2007"/>
      <c r="H772" s="2007"/>
      <c r="I772" s="2007"/>
      <c r="J772" s="2007"/>
      <c r="K772" s="2007"/>
      <c r="L772" s="2007"/>
      <c r="M772" s="2007"/>
      <c r="N772" s="2007"/>
      <c r="O772" s="2007"/>
      <c r="P772" s="2007"/>
      <c r="Q772" s="2007"/>
      <c r="R772" s="2007"/>
      <c r="S772" s="2007"/>
      <c r="T772" s="2007"/>
      <c r="U772" s="2007"/>
      <c r="V772" s="2007"/>
      <c r="W772" s="2007"/>
      <c r="X772" s="2007"/>
      <c r="Y772" s="2007"/>
      <c r="Z772" s="2007"/>
      <c r="AA772" s="2007"/>
      <c r="AB772" s="2007"/>
      <c r="AC772" s="2007"/>
      <c r="AD772" s="2007"/>
      <c r="AE772" s="620"/>
      <c r="AF772" s="620"/>
      <c r="AG772" s="620"/>
      <c r="AH772" s="620"/>
      <c r="AI772" s="620"/>
      <c r="AJ772" s="620"/>
      <c r="AK772" s="620"/>
      <c r="AL772" s="620"/>
      <c r="AM772" s="639"/>
      <c r="AN772" s="710"/>
      <c r="AO772" s="637"/>
      <c r="AP772" s="576"/>
      <c r="AT772" s="700"/>
      <c r="AU772" s="700"/>
      <c r="AV772" s="700"/>
      <c r="AW772" s="700"/>
      <c r="AX772" s="700"/>
      <c r="AY772" s="700"/>
      <c r="AZ772" s="700"/>
    </row>
    <row r="773" spans="1:81" s="596" customFormat="1" ht="13">
      <c r="A773" s="576"/>
      <c r="B773" s="642"/>
      <c r="C773" s="968"/>
      <c r="D773" s="689"/>
      <c r="E773" s="2007"/>
      <c r="F773" s="2007"/>
      <c r="G773" s="2007"/>
      <c r="H773" s="2007"/>
      <c r="I773" s="2007"/>
      <c r="J773" s="2007"/>
      <c r="K773" s="2007"/>
      <c r="L773" s="2007"/>
      <c r="M773" s="2007"/>
      <c r="N773" s="2007"/>
      <c r="O773" s="2007"/>
      <c r="P773" s="2007"/>
      <c r="Q773" s="2007"/>
      <c r="R773" s="2007"/>
      <c r="S773" s="2007"/>
      <c r="T773" s="2007"/>
      <c r="U773" s="2007"/>
      <c r="V773" s="2007"/>
      <c r="W773" s="2007"/>
      <c r="X773" s="2007"/>
      <c r="Y773" s="2007"/>
      <c r="Z773" s="2007"/>
      <c r="AA773" s="2007"/>
      <c r="AB773" s="2007"/>
      <c r="AC773" s="2007"/>
      <c r="AD773" s="2007"/>
      <c r="AE773" s="620"/>
      <c r="AF773" s="620"/>
      <c r="AG773" s="620"/>
      <c r="AH773" s="620"/>
      <c r="AI773" s="620"/>
      <c r="AJ773" s="620"/>
      <c r="AK773" s="620"/>
      <c r="AL773" s="620"/>
      <c r="AM773" s="639"/>
      <c r="AN773" s="710"/>
      <c r="AO773" s="717"/>
      <c r="AT773" s="700"/>
      <c r="AU773" s="700"/>
      <c r="AV773" s="700"/>
      <c r="AW773" s="700"/>
      <c r="AX773" s="700"/>
      <c r="AY773" s="700"/>
      <c r="AZ773" s="700"/>
    </row>
    <row r="774" spans="1:81" s="596" customFormat="1" ht="13">
      <c r="A774" s="576"/>
      <c r="B774" s="642"/>
      <c r="C774" s="968"/>
      <c r="D774" s="689"/>
      <c r="E774" s="669"/>
      <c r="F774" s="669"/>
      <c r="G774" s="669"/>
      <c r="H774" s="669"/>
      <c r="I774" s="669"/>
      <c r="J774" s="669"/>
      <c r="K774" s="669"/>
      <c r="L774" s="669"/>
      <c r="M774" s="669"/>
      <c r="N774" s="669"/>
      <c r="O774" s="669"/>
      <c r="P774" s="669"/>
      <c r="Q774" s="669"/>
      <c r="R774" s="669"/>
      <c r="S774" s="669"/>
      <c r="T774" s="669"/>
      <c r="U774" s="669"/>
      <c r="V774" s="669"/>
      <c r="W774" s="669"/>
      <c r="X774" s="669"/>
      <c r="Y774" s="669"/>
      <c r="Z774" s="669"/>
      <c r="AA774" s="669"/>
      <c r="AB774" s="669"/>
      <c r="AC774" s="669"/>
      <c r="AD774" s="669"/>
      <c r="AE774" s="620"/>
      <c r="AF774" s="620"/>
      <c r="AG774" s="620"/>
      <c r="AH774" s="620"/>
      <c r="AI774" s="620"/>
      <c r="AJ774" s="620"/>
      <c r="AK774" s="620"/>
      <c r="AL774" s="620"/>
      <c r="AM774" s="639"/>
      <c r="AN774" s="710"/>
      <c r="AO774" s="717"/>
      <c r="AT774" s="700"/>
      <c r="AU774" s="700"/>
      <c r="AV774" s="700"/>
      <c r="AW774" s="700"/>
      <c r="AX774" s="700"/>
      <c r="AY774" s="700"/>
      <c r="AZ774" s="700"/>
    </row>
    <row r="775" spans="1:81" s="596" customFormat="1" ht="13">
      <c r="A775" s="576"/>
      <c r="B775" s="642"/>
      <c r="C775" s="968"/>
      <c r="D775" s="562" t="s">
        <v>1573</v>
      </c>
      <c r="E775" s="964"/>
      <c r="F775" s="964"/>
      <c r="G775" s="964"/>
      <c r="H775" s="2036" t="s">
        <v>601</v>
      </c>
      <c r="I775" s="2036"/>
      <c r="J775" s="642"/>
      <c r="K775" s="642"/>
      <c r="L775" s="642"/>
      <c r="M775" s="642"/>
      <c r="N775" s="642"/>
      <c r="O775" s="642"/>
      <c r="P775" s="642"/>
      <c r="Q775" s="642"/>
      <c r="R775" s="642"/>
      <c r="S775" s="642"/>
      <c r="T775" s="642"/>
      <c r="U775" s="642"/>
      <c r="V775" s="642"/>
      <c r="W775" s="642"/>
      <c r="X775" s="642"/>
      <c r="Y775" s="642"/>
      <c r="Z775" s="642"/>
      <c r="AA775" s="642"/>
      <c r="AB775" s="642"/>
      <c r="AC775" s="642"/>
      <c r="AD775" s="642"/>
      <c r="AE775" s="642"/>
      <c r="AF775" s="642"/>
      <c r="AG775" s="642"/>
      <c r="AH775" s="562"/>
      <c r="AI775" s="569"/>
      <c r="AJ775" s="621"/>
      <c r="AK775" s="621"/>
      <c r="AL775" s="621"/>
      <c r="AM775" s="576"/>
      <c r="AN775" s="710"/>
      <c r="AS775" s="700"/>
      <c r="AT775" s="700"/>
      <c r="AU775" s="700"/>
      <c r="AV775" s="700"/>
      <c r="AW775" s="700"/>
      <c r="AX775" s="700"/>
      <c r="AY775" s="700"/>
      <c r="AZ775" s="700"/>
      <c r="BA775" s="700"/>
      <c r="BB775" s="700"/>
      <c r="BC775" s="700"/>
      <c r="BD775" s="716"/>
      <c r="BE775" s="716"/>
      <c r="BF775" s="716"/>
      <c r="BG775" s="716"/>
      <c r="BH775" s="716"/>
      <c r="BI775" s="700"/>
      <c r="BJ775" s="700"/>
      <c r="BK775" s="700"/>
      <c r="BL775" s="700"/>
      <c r="BM775" s="700"/>
      <c r="BN775" s="700"/>
      <c r="BO775" s="700"/>
      <c r="BP775" s="700"/>
      <c r="BQ775" s="700"/>
      <c r="BR775" s="700"/>
      <c r="BS775" s="700"/>
      <c r="BT775" s="700"/>
      <c r="BU775" s="700"/>
      <c r="BV775" s="700"/>
      <c r="BW775" s="700"/>
      <c r="BX775" s="700"/>
      <c r="BY775" s="700"/>
      <c r="BZ775" s="700"/>
      <c r="CA775" s="700"/>
      <c r="CB775" s="700"/>
      <c r="CC775" s="700"/>
    </row>
    <row r="776" spans="1:81" s="596" customFormat="1">
      <c r="A776" s="576"/>
      <c r="B776" s="642"/>
      <c r="C776" s="714"/>
      <c r="D776" s="577"/>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c r="AA776" s="577"/>
      <c r="AB776" s="577"/>
      <c r="AC776" s="577"/>
      <c r="AD776" s="642"/>
      <c r="AE776" s="577"/>
      <c r="AF776" s="577"/>
      <c r="AG776" s="577"/>
      <c r="AH776" s="577"/>
      <c r="AI776" s="576"/>
      <c r="AJ776" s="576"/>
      <c r="AK776" s="576"/>
      <c r="AL776" s="576"/>
      <c r="AM776" s="576"/>
      <c r="AN776" s="710"/>
      <c r="AT776" s="700"/>
      <c r="AU776" s="700"/>
      <c r="AV776" s="700"/>
      <c r="AW776" s="700"/>
      <c r="AX776" s="700"/>
      <c r="AY776" s="700"/>
      <c r="AZ776" s="700"/>
    </row>
    <row r="777" spans="1:81" s="596" customFormat="1" ht="13">
      <c r="A777" s="632"/>
      <c r="B777" s="691"/>
      <c r="C777" s="715"/>
      <c r="D777" s="690"/>
      <c r="E777" s="690"/>
      <c r="F777" s="690"/>
      <c r="G777" s="690"/>
      <c r="H777" s="690"/>
      <c r="I777" s="690"/>
      <c r="J777" s="690"/>
      <c r="K777" s="690"/>
      <c r="L777" s="690"/>
      <c r="M777" s="690"/>
      <c r="N777" s="690"/>
      <c r="O777" s="690"/>
      <c r="P777" s="690"/>
      <c r="Q777" s="690"/>
      <c r="R777" s="690"/>
      <c r="S777" s="690"/>
      <c r="T777" s="690"/>
      <c r="U777" s="690"/>
      <c r="V777" s="690"/>
      <c r="W777" s="690"/>
      <c r="X777" s="690"/>
      <c r="Y777" s="690"/>
      <c r="Z777" s="690"/>
      <c r="AA777" s="690"/>
      <c r="AB777" s="690"/>
      <c r="AC777" s="691"/>
      <c r="AD777" s="690"/>
      <c r="AE777" s="690"/>
      <c r="AF777" s="690"/>
      <c r="AG777" s="690"/>
      <c r="AH777" s="590"/>
      <c r="AI777" s="591" t="s">
        <v>1623</v>
      </c>
      <c r="AJ777" s="1987">
        <f>VLOOKUP($H$775,$AO$769:$AP$770,2,FALSE)</f>
        <v>0</v>
      </c>
      <c r="AK777" s="1989"/>
      <c r="AL777" s="621"/>
      <c r="AM777" s="576"/>
      <c r="AN777" s="710"/>
      <c r="AS777" s="700"/>
      <c r="AT777" s="700"/>
      <c r="AU777" s="700"/>
      <c r="AV777" s="700"/>
      <c r="AW777" s="700"/>
      <c r="AX777" s="700"/>
      <c r="AY777" s="700"/>
      <c r="AZ777" s="700"/>
      <c r="BA777" s="700"/>
      <c r="BB777" s="700"/>
      <c r="BC777" s="700"/>
      <c r="BD777" s="716"/>
      <c r="BE777" s="716"/>
      <c r="BF777" s="716"/>
      <c r="BG777" s="716"/>
      <c r="BH777" s="716"/>
      <c r="BI777" s="700"/>
      <c r="BJ777" s="700"/>
      <c r="BK777" s="700"/>
      <c r="BL777" s="700"/>
      <c r="BM777" s="700"/>
      <c r="BN777" s="700"/>
      <c r="BO777" s="700"/>
      <c r="BP777" s="700"/>
      <c r="BQ777" s="700"/>
      <c r="BR777" s="700"/>
      <c r="BS777" s="700"/>
      <c r="BT777" s="700"/>
      <c r="BU777" s="700"/>
      <c r="BV777" s="700"/>
      <c r="BW777" s="700"/>
      <c r="BX777" s="700"/>
      <c r="BY777" s="700"/>
      <c r="BZ777" s="700"/>
      <c r="CA777" s="700"/>
      <c r="CB777" s="700"/>
      <c r="CC777" s="700"/>
    </row>
    <row r="778" spans="1:81" s="576" customFormat="1" ht="12.75" customHeight="1">
      <c r="B778" s="642"/>
      <c r="C778" s="714"/>
      <c r="D778" s="577"/>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642"/>
      <c r="AE778" s="577"/>
      <c r="AF778" s="577"/>
      <c r="AG778" s="577"/>
      <c r="AH778" s="577"/>
      <c r="AN778" s="623"/>
    </row>
    <row r="779" spans="1:81" s="576" customFormat="1" ht="12.75" customHeight="1">
      <c r="A779" s="632"/>
      <c r="B779" s="690"/>
      <c r="C779" s="690"/>
      <c r="D779" s="690"/>
      <c r="E779" s="690"/>
      <c r="F779" s="690"/>
      <c r="G779" s="690"/>
      <c r="H779" s="690"/>
      <c r="I779" s="690"/>
      <c r="J779" s="690"/>
      <c r="K779" s="690"/>
      <c r="L779" s="690"/>
      <c r="M779" s="690"/>
      <c r="N779" s="690"/>
      <c r="O779" s="690"/>
      <c r="P779" s="690"/>
      <c r="Q779" s="690"/>
      <c r="R779" s="690"/>
      <c r="S779" s="690"/>
      <c r="T779" s="690"/>
      <c r="U779" s="690"/>
      <c r="V779" s="690"/>
      <c r="W779" s="690"/>
      <c r="X779" s="690"/>
      <c r="Y779" s="690"/>
      <c r="Z779" s="690"/>
      <c r="AA779" s="690"/>
      <c r="AB779" s="690"/>
      <c r="AC779" s="691"/>
      <c r="AD779" s="690"/>
      <c r="AE779" s="590"/>
      <c r="AF779" s="590"/>
      <c r="AG779" s="590"/>
      <c r="AH779" s="590"/>
      <c r="AI779" s="591"/>
      <c r="AJ779" s="591" t="s">
        <v>1624</v>
      </c>
      <c r="AK779" s="1987">
        <f>IF(($AJ$610+$AJ$629+$AJ$641+$AJ$676+$AJ$696+$AJ$710+$AJ$722+$AJ$738+$AJ$750+$AJ$766+AJ777)&gt;10,10,($AJ$610+$AJ$629+$AJ$641+$AJ$676+$AJ$696+$AJ$710+$AJ$722+$AJ$738+$AJ$750+$AJ$766+AJ777))</f>
        <v>10</v>
      </c>
      <c r="AL779" s="1988"/>
      <c r="AM779" s="1989"/>
      <c r="AN779" s="623"/>
    </row>
    <row r="780" spans="1:81" s="576" customFormat="1" ht="12.75" customHeight="1">
      <c r="B780" s="577"/>
      <c r="C780" s="577"/>
      <c r="D780" s="577"/>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c r="AA780" s="577"/>
      <c r="AB780" s="577"/>
      <c r="AC780" s="642"/>
      <c r="AD780" s="577"/>
      <c r="AI780" s="569"/>
      <c r="AJ780" s="569"/>
      <c r="AK780" s="621"/>
      <c r="AL780" s="621"/>
      <c r="AM780" s="621"/>
      <c r="AN780" s="623"/>
    </row>
    <row r="781" spans="1:81">
      <c r="B781" s="576"/>
      <c r="C781" s="576"/>
      <c r="D781" s="576"/>
      <c r="E781" s="576"/>
      <c r="F781" s="576"/>
      <c r="G781" s="576"/>
      <c r="H781" s="576"/>
      <c r="I781" s="576"/>
      <c r="J781" s="576"/>
      <c r="K781" s="576"/>
      <c r="L781" s="576"/>
      <c r="M781" s="576"/>
      <c r="N781" s="576"/>
      <c r="O781" s="576"/>
      <c r="P781" s="576"/>
      <c r="Q781" s="576"/>
      <c r="R781" s="576"/>
      <c r="S781" s="576"/>
      <c r="T781" s="576"/>
      <c r="U781" s="576"/>
      <c r="V781" s="576"/>
      <c r="W781" s="576"/>
      <c r="X781" s="576"/>
      <c r="Y781" s="576"/>
      <c r="Z781" s="576"/>
      <c r="AA781" s="576"/>
      <c r="AB781" s="576"/>
      <c r="AC781" s="576"/>
      <c r="AD781" s="576"/>
      <c r="AE781" s="576"/>
      <c r="AF781" s="576"/>
      <c r="AG781" s="576"/>
      <c r="AH781" s="576"/>
      <c r="AI781" s="576"/>
      <c r="AJ781" s="576"/>
      <c r="AK781" s="576"/>
      <c r="AL781" s="576"/>
      <c r="AM781" s="576"/>
    </row>
    <row r="782" spans="1:81">
      <c r="A782" s="2093" t="s">
        <v>1746</v>
      </c>
      <c r="B782" s="2094"/>
      <c r="C782" s="2094"/>
      <c r="D782" s="2094"/>
      <c r="E782" s="2094"/>
      <c r="F782" s="2094"/>
      <c r="G782" s="2094"/>
      <c r="H782" s="2094"/>
      <c r="I782" s="2094"/>
      <c r="J782" s="2094"/>
      <c r="K782" s="2094"/>
      <c r="L782" s="2094"/>
      <c r="M782" s="2094"/>
      <c r="N782" s="2094"/>
      <c r="O782" s="2094"/>
      <c r="P782" s="2094"/>
      <c r="Q782" s="2094"/>
      <c r="R782" s="2094"/>
      <c r="S782" s="2094"/>
      <c r="T782" s="2094"/>
      <c r="U782" s="2094"/>
      <c r="V782" s="2094"/>
      <c r="W782" s="2094"/>
      <c r="X782" s="2094"/>
      <c r="Y782" s="2094"/>
      <c r="Z782" s="2094"/>
      <c r="AA782" s="2094"/>
      <c r="AB782" s="2094"/>
      <c r="AC782" s="2094"/>
      <c r="AD782" s="2094"/>
      <c r="AE782" s="2094"/>
      <c r="AF782" s="2094"/>
      <c r="AG782" s="2094"/>
      <c r="AH782" s="2094"/>
      <c r="AI782" s="2094"/>
      <c r="AJ782" s="2094"/>
      <c r="AK782" s="2094"/>
      <c r="AL782" s="2094"/>
      <c r="AM782" s="2094"/>
    </row>
    <row r="783" spans="1:81">
      <c r="A783" s="2095"/>
      <c r="B783" s="2095"/>
      <c r="C783" s="2095"/>
      <c r="D783" s="2095"/>
      <c r="E783" s="2095"/>
      <c r="F783" s="2095"/>
      <c r="G783" s="2095"/>
      <c r="H783" s="2095"/>
      <c r="I783" s="2095"/>
      <c r="J783" s="2095"/>
      <c r="K783" s="2095"/>
      <c r="L783" s="2095"/>
      <c r="M783" s="2095"/>
      <c r="N783" s="2095"/>
      <c r="O783" s="2095"/>
      <c r="P783" s="2095"/>
      <c r="Q783" s="2095"/>
      <c r="R783" s="2095"/>
      <c r="S783" s="2095"/>
      <c r="T783" s="2095"/>
      <c r="U783" s="2095"/>
      <c r="V783" s="2095"/>
      <c r="W783" s="2095"/>
      <c r="X783" s="2095"/>
      <c r="Y783" s="2095"/>
      <c r="Z783" s="2095"/>
      <c r="AA783" s="2095"/>
      <c r="AB783" s="2095"/>
      <c r="AC783" s="2095"/>
      <c r="AD783" s="2095"/>
      <c r="AE783" s="2095"/>
      <c r="AF783" s="2095"/>
      <c r="AG783" s="2095"/>
      <c r="AH783" s="2095"/>
      <c r="AI783" s="2095"/>
      <c r="AJ783" s="2095"/>
      <c r="AK783" s="2095"/>
      <c r="AL783" s="2095"/>
      <c r="AM783" s="2095"/>
      <c r="AO783" s="843"/>
      <c r="AP783" s="843"/>
      <c r="AQ783" s="843"/>
    </row>
    <row r="784" spans="1:81" ht="13">
      <c r="A784" s="576"/>
      <c r="B784" s="597"/>
      <c r="C784" s="598"/>
      <c r="D784" s="598"/>
      <c r="E784" s="598"/>
      <c r="F784" s="598"/>
      <c r="G784" s="598"/>
      <c r="H784" s="598"/>
      <c r="I784" s="599"/>
      <c r="J784" s="599"/>
      <c r="K784" s="599"/>
      <c r="L784" s="599"/>
      <c r="M784" s="599"/>
      <c r="N784" s="599"/>
      <c r="O784" s="599"/>
      <c r="P784" s="599"/>
      <c r="Q784" s="599"/>
      <c r="S784" s="565"/>
      <c r="T784" s="565"/>
      <c r="U784" s="565"/>
      <c r="V784" s="565"/>
      <c r="W784" s="565"/>
      <c r="X784" s="565"/>
      <c r="Y784" s="565"/>
      <c r="Z784" s="565"/>
      <c r="AA784" s="565"/>
      <c r="AB784" s="565"/>
      <c r="AC784" s="565"/>
      <c r="AD784" s="565"/>
      <c r="AE784" s="565"/>
      <c r="AG784" s="565"/>
      <c r="AH784" s="565"/>
      <c r="AI784" s="565"/>
      <c r="AJ784" s="565"/>
      <c r="AK784" s="576"/>
      <c r="AL784" s="576"/>
      <c r="AM784" s="563"/>
      <c r="AO784" s="843"/>
      <c r="AP784" s="843"/>
      <c r="AQ784" s="843"/>
    </row>
    <row r="785" spans="1:81" ht="13">
      <c r="A785" s="2028"/>
      <c r="B785" s="2028"/>
      <c r="C785" s="2028"/>
      <c r="D785" s="2028"/>
      <c r="E785" s="2028"/>
      <c r="F785" s="2028"/>
      <c r="G785" s="2028"/>
      <c r="H785" s="2028"/>
      <c r="I785" s="2028"/>
      <c r="J785" s="2028"/>
      <c r="K785" s="2028"/>
      <c r="L785" s="2028"/>
      <c r="M785" s="2028"/>
      <c r="N785" s="2028"/>
      <c r="O785" s="2028"/>
      <c r="P785" s="2028"/>
      <c r="Q785" s="2028"/>
      <c r="R785" s="2028"/>
      <c r="S785" s="2028"/>
      <c r="T785" s="2028"/>
      <c r="U785" s="2028"/>
      <c r="V785" s="2028"/>
      <c r="W785" s="2028"/>
      <c r="X785" s="2028"/>
      <c r="Y785" s="2028"/>
      <c r="Z785" s="2028"/>
      <c r="AA785" s="2028"/>
      <c r="AB785" s="2028"/>
      <c r="AC785" s="2028"/>
      <c r="AD785" s="2028"/>
      <c r="AE785" s="2028"/>
      <c r="AF785" s="2028"/>
      <c r="AG785" s="2028"/>
      <c r="AH785" s="2028"/>
      <c r="AI785" s="2028"/>
      <c r="AJ785" s="2028"/>
      <c r="AK785" s="2028"/>
      <c r="AL785" s="2028"/>
      <c r="AM785" s="2028"/>
      <c r="AP785" s="843"/>
      <c r="AQ785" s="843"/>
    </row>
    <row r="786" spans="1:81" ht="13">
      <c r="A786" s="2028"/>
      <c r="B786" s="2028"/>
      <c r="C786" s="2028"/>
      <c r="D786" s="2028"/>
      <c r="E786" s="2028"/>
      <c r="F786" s="2028"/>
      <c r="G786" s="2028"/>
      <c r="H786" s="2028"/>
      <c r="I786" s="2028"/>
      <c r="J786" s="2028"/>
      <c r="K786" s="2028"/>
      <c r="L786" s="2028"/>
      <c r="M786" s="2028"/>
      <c r="N786" s="2028"/>
      <c r="O786" s="2028"/>
      <c r="P786" s="2028"/>
      <c r="Q786" s="2028"/>
      <c r="R786" s="2028"/>
      <c r="S786" s="2028"/>
      <c r="T786" s="2028"/>
      <c r="U786" s="2028"/>
      <c r="V786" s="2028"/>
      <c r="W786" s="2028"/>
      <c r="X786" s="2028"/>
      <c r="Y786" s="2028"/>
      <c r="Z786" s="2028"/>
      <c r="AA786" s="2028"/>
      <c r="AB786" s="2028"/>
      <c r="AC786" s="2028"/>
      <c r="AD786" s="2028"/>
      <c r="AE786" s="2028"/>
      <c r="AF786" s="2028"/>
      <c r="AG786" s="2028"/>
      <c r="AH786" s="2028"/>
      <c r="AI786" s="2028"/>
      <c r="AJ786" s="2028"/>
      <c r="AK786" s="2028"/>
      <c r="AL786" s="2028"/>
      <c r="AM786" s="2028"/>
      <c r="AO786" s="843"/>
      <c r="AQ786" s="843"/>
    </row>
    <row r="787" spans="1:81" ht="13">
      <c r="A787" s="844"/>
      <c r="B787" s="693"/>
      <c r="C787" s="693"/>
      <c r="D787" s="693"/>
      <c r="E787" s="693"/>
      <c r="F787" s="693"/>
      <c r="G787" s="693"/>
      <c r="H787" s="693"/>
      <c r="I787" s="693"/>
      <c r="J787" s="693"/>
      <c r="K787" s="693"/>
      <c r="L787" s="693"/>
      <c r="M787" s="693"/>
      <c r="N787" s="693"/>
      <c r="O787" s="693"/>
      <c r="P787" s="693"/>
      <c r="Q787" s="693"/>
      <c r="R787" s="693"/>
      <c r="S787" s="695"/>
      <c r="T787" s="2096" t="s">
        <v>1747</v>
      </c>
      <c r="U787" s="2097"/>
      <c r="V787" s="2097"/>
      <c r="W787" s="2097"/>
      <c r="X787" s="2097"/>
      <c r="Y787" s="2098"/>
      <c r="Z787" s="2096" t="s">
        <v>1748</v>
      </c>
      <c r="AA787" s="2097"/>
      <c r="AB787" s="2097"/>
      <c r="AC787" s="2097"/>
      <c r="AD787" s="2097"/>
      <c r="AE787" s="2098"/>
      <c r="AF787" s="2096" t="s">
        <v>1749</v>
      </c>
      <c r="AG787" s="2097"/>
      <c r="AH787" s="2097"/>
      <c r="AI787" s="2097"/>
      <c r="AJ787" s="2097"/>
      <c r="AK787" s="2098"/>
      <c r="AL787" s="845"/>
      <c r="AM787" s="622"/>
      <c r="AO787" s="843"/>
      <c r="AP787" s="843"/>
      <c r="AQ787" s="843"/>
    </row>
    <row r="788" spans="1:81" ht="13">
      <c r="A788" s="846"/>
      <c r="B788" s="720"/>
      <c r="C788" s="720"/>
      <c r="D788" s="720"/>
      <c r="E788" s="720"/>
      <c r="F788" s="720"/>
      <c r="G788" s="720"/>
      <c r="H788" s="720"/>
      <c r="I788" s="720"/>
      <c r="J788" s="720"/>
      <c r="K788" s="720"/>
      <c r="L788" s="720"/>
      <c r="M788" s="720"/>
      <c r="N788" s="720"/>
      <c r="O788" s="720"/>
      <c r="P788" s="720"/>
      <c r="Q788" s="720"/>
      <c r="R788" s="720"/>
      <c r="S788" s="734"/>
      <c r="T788" s="2099"/>
      <c r="U788" s="2100"/>
      <c r="V788" s="2100"/>
      <c r="W788" s="2100"/>
      <c r="X788" s="2100"/>
      <c r="Y788" s="2101"/>
      <c r="Z788" s="2099"/>
      <c r="AA788" s="2100"/>
      <c r="AB788" s="2100"/>
      <c r="AC788" s="2100"/>
      <c r="AD788" s="2100"/>
      <c r="AE788" s="2101"/>
      <c r="AF788" s="2099"/>
      <c r="AG788" s="2100"/>
      <c r="AH788" s="2100"/>
      <c r="AI788" s="2100"/>
      <c r="AJ788" s="2100"/>
      <c r="AK788" s="2101"/>
      <c r="AL788" s="845"/>
      <c r="AM788" s="622"/>
      <c r="AO788" s="843"/>
      <c r="AP788" s="843"/>
      <c r="AQ788" s="843"/>
    </row>
    <row r="789" spans="1:81" ht="13">
      <c r="A789" s="846" t="s">
        <v>770</v>
      </c>
      <c r="B789" s="2076" t="s">
        <v>1477</v>
      </c>
      <c r="C789" s="2076"/>
      <c r="D789" s="2076"/>
      <c r="E789" s="2076"/>
      <c r="F789" s="2076"/>
      <c r="G789" s="2076"/>
      <c r="H789" s="2076"/>
      <c r="I789" s="2076"/>
      <c r="J789" s="2076"/>
      <c r="K789" s="2076"/>
      <c r="L789" s="2076"/>
      <c r="M789" s="2076"/>
      <c r="N789" s="2076"/>
      <c r="O789" s="2076"/>
      <c r="P789" s="2076"/>
      <c r="Q789" s="2076"/>
      <c r="R789" s="2076"/>
      <c r="S789" s="2077"/>
      <c r="T789" s="2078">
        <f>AK56</f>
        <v>0</v>
      </c>
      <c r="U789" s="2079"/>
      <c r="V789" s="2079"/>
      <c r="W789" s="2079"/>
      <c r="X789" s="2079"/>
      <c r="Y789" s="2080"/>
      <c r="Z789" s="2081">
        <v>20</v>
      </c>
      <c r="AA789" s="2079"/>
      <c r="AB789" s="2079"/>
      <c r="AC789" s="2079"/>
      <c r="AD789" s="2079"/>
      <c r="AE789" s="2080"/>
      <c r="AF789" s="2045">
        <f>IF(T789&gt;Z789,Z789,T789)</f>
        <v>0</v>
      </c>
      <c r="AG789" s="2045"/>
      <c r="AH789" s="2045"/>
      <c r="AI789" s="2045"/>
      <c r="AJ789" s="2045"/>
      <c r="AK789" s="2045"/>
      <c r="AL789" s="845"/>
      <c r="AM789" s="622"/>
      <c r="AO789" s="843"/>
      <c r="AP789" s="843"/>
      <c r="AQ789" s="843"/>
    </row>
    <row r="790" spans="1:81" ht="13">
      <c r="A790" s="846" t="s">
        <v>1719</v>
      </c>
      <c r="B790" s="2076" t="s">
        <v>1486</v>
      </c>
      <c r="C790" s="2076"/>
      <c r="D790" s="2076"/>
      <c r="E790" s="2076"/>
      <c r="F790" s="2076"/>
      <c r="G790" s="2076"/>
      <c r="H790" s="2076"/>
      <c r="I790" s="2076"/>
      <c r="J790" s="2076"/>
      <c r="K790" s="2076"/>
      <c r="L790" s="2076"/>
      <c r="M790" s="2076"/>
      <c r="N790" s="2076"/>
      <c r="O790" s="2076"/>
      <c r="P790" s="2076"/>
      <c r="Q790" s="2076"/>
      <c r="R790" s="2076"/>
      <c r="S790" s="2077"/>
      <c r="T790" s="2078">
        <f>AK78</f>
        <v>10</v>
      </c>
      <c r="U790" s="2079"/>
      <c r="V790" s="2079"/>
      <c r="W790" s="2079"/>
      <c r="X790" s="2079"/>
      <c r="Y790" s="2080"/>
      <c r="Z790" s="2081">
        <v>10</v>
      </c>
      <c r="AA790" s="2079"/>
      <c r="AB790" s="2079"/>
      <c r="AC790" s="2079"/>
      <c r="AD790" s="2079"/>
      <c r="AE790" s="2080"/>
      <c r="AF790" s="2045">
        <f>IF(T790&gt;Z790,Z790,T790)</f>
        <v>10</v>
      </c>
      <c r="AG790" s="2045"/>
      <c r="AH790" s="2045"/>
      <c r="AI790" s="2045"/>
      <c r="AJ790" s="2045"/>
      <c r="AK790" s="2045"/>
      <c r="AL790" s="845"/>
      <c r="AM790" s="622"/>
      <c r="AO790" s="843"/>
      <c r="AP790" s="843"/>
      <c r="AQ790" s="843"/>
    </row>
    <row r="791" spans="1:81" ht="13">
      <c r="A791" s="846" t="s">
        <v>1728</v>
      </c>
      <c r="B791" s="2076" t="s">
        <v>1496</v>
      </c>
      <c r="C791" s="2076"/>
      <c r="D791" s="2076"/>
      <c r="E791" s="2076"/>
      <c r="F791" s="2076"/>
      <c r="G791" s="2076"/>
      <c r="H791" s="2076"/>
      <c r="I791" s="2076"/>
      <c r="J791" s="2076"/>
      <c r="K791" s="2076"/>
      <c r="L791" s="2076"/>
      <c r="M791" s="2076"/>
      <c r="N791" s="2076"/>
      <c r="O791" s="2076"/>
      <c r="P791" s="2076"/>
      <c r="Q791" s="2076"/>
      <c r="R791" s="2076"/>
      <c r="S791" s="2077"/>
      <c r="T791" s="2078">
        <f ca="1">AK103</f>
        <v>20</v>
      </c>
      <c r="U791" s="2079"/>
      <c r="V791" s="2079"/>
      <c r="W791" s="2079"/>
      <c r="X791" s="2079"/>
      <c r="Y791" s="2080"/>
      <c r="Z791" s="2081">
        <v>20</v>
      </c>
      <c r="AA791" s="2079"/>
      <c r="AB791" s="2079"/>
      <c r="AC791" s="2079"/>
      <c r="AD791" s="2079"/>
      <c r="AE791" s="2080"/>
      <c r="AF791" s="2045">
        <f ca="1">IF(T791&gt;Z791,Z791,T791)</f>
        <v>20</v>
      </c>
      <c r="AG791" s="2045"/>
      <c r="AH791" s="2045"/>
      <c r="AI791" s="2045"/>
      <c r="AJ791" s="2045"/>
      <c r="AK791" s="2045"/>
      <c r="AL791" s="845"/>
      <c r="AM791" s="622"/>
      <c r="AO791" s="843"/>
      <c r="AP791" s="843"/>
      <c r="AQ791" s="843"/>
    </row>
    <row r="792" spans="1:81" ht="13">
      <c r="A792" s="846" t="s">
        <v>1750</v>
      </c>
      <c r="B792" s="2076" t="s">
        <v>1506</v>
      </c>
      <c r="C792" s="2076"/>
      <c r="D792" s="2076"/>
      <c r="E792" s="2076"/>
      <c r="F792" s="2076"/>
      <c r="G792" s="2076"/>
      <c r="H792" s="2076"/>
      <c r="I792" s="2076"/>
      <c r="J792" s="2076"/>
      <c r="K792" s="2076"/>
      <c r="L792" s="2076"/>
      <c r="M792" s="2076"/>
      <c r="N792" s="2076"/>
      <c r="O792" s="2076"/>
      <c r="P792" s="2076"/>
      <c r="Q792" s="2076"/>
      <c r="R792" s="2076"/>
      <c r="S792" s="2077"/>
      <c r="T792" s="2078">
        <f>AK137</f>
        <v>10</v>
      </c>
      <c r="U792" s="2079"/>
      <c r="V792" s="2079"/>
      <c r="W792" s="2079"/>
      <c r="X792" s="2079"/>
      <c r="Y792" s="2080"/>
      <c r="Z792" s="2081">
        <v>10</v>
      </c>
      <c r="AA792" s="2079"/>
      <c r="AB792" s="2079"/>
      <c r="AC792" s="2079"/>
      <c r="AD792" s="2079"/>
      <c r="AE792" s="2080"/>
      <c r="AF792" s="2045">
        <f>IF(T792&gt;Z792,Z792,T792)</f>
        <v>10</v>
      </c>
      <c r="AG792" s="2045"/>
      <c r="AH792" s="2045"/>
      <c r="AI792" s="2045"/>
      <c r="AJ792" s="2045"/>
      <c r="AK792" s="2045"/>
      <c r="AL792" s="845"/>
      <c r="AM792" s="622"/>
      <c r="AO792" s="843"/>
      <c r="AP792" s="843"/>
      <c r="AQ792" s="843"/>
    </row>
    <row r="793" spans="1:81" ht="13">
      <c r="A793" s="847" t="s">
        <v>1751</v>
      </c>
      <c r="B793" s="2076" t="s">
        <v>1752</v>
      </c>
      <c r="C793" s="2076"/>
      <c r="D793" s="2076"/>
      <c r="E793" s="2076"/>
      <c r="F793" s="2076"/>
      <c r="G793" s="2076"/>
      <c r="H793" s="2076"/>
      <c r="I793" s="2076"/>
      <c r="J793" s="2076"/>
      <c r="K793" s="2076"/>
      <c r="L793" s="2076"/>
      <c r="M793" s="2076"/>
      <c r="N793" s="2076"/>
      <c r="O793" s="2076"/>
      <c r="P793" s="2076"/>
      <c r="Q793" s="2076"/>
      <c r="R793" s="2076"/>
      <c r="S793" s="2077"/>
      <c r="T793" s="2102">
        <f>SUM(T794:Y795)</f>
        <v>10</v>
      </c>
      <c r="U793" s="2102"/>
      <c r="V793" s="2102"/>
      <c r="W793" s="2102"/>
      <c r="X793" s="2102"/>
      <c r="Y793" s="2102"/>
      <c r="Z793" s="2045">
        <v>10</v>
      </c>
      <c r="AA793" s="2045"/>
      <c r="AB793" s="2045"/>
      <c r="AC793" s="2045"/>
      <c r="AD793" s="2045"/>
      <c r="AE793" s="2045"/>
      <c r="AF793" s="2045">
        <f>IF(T793&gt;Z793,Z793,T793)</f>
        <v>10</v>
      </c>
      <c r="AG793" s="2045"/>
      <c r="AH793" s="2045"/>
      <c r="AI793" s="2045"/>
      <c r="AJ793" s="2045"/>
      <c r="AK793" s="2045"/>
      <c r="AL793" s="845"/>
      <c r="AM793" s="622"/>
    </row>
    <row r="794" spans="1:81" ht="13">
      <c r="A794" s="561"/>
      <c r="B794" s="627"/>
      <c r="C794" s="2103" t="s">
        <v>1753</v>
      </c>
      <c r="D794" s="2103"/>
      <c r="E794" s="2103"/>
      <c r="F794" s="2103"/>
      <c r="G794" s="2103"/>
      <c r="H794" s="2103"/>
      <c r="I794" s="2103"/>
      <c r="J794" s="2103"/>
      <c r="K794" s="2103"/>
      <c r="L794" s="2103"/>
      <c r="M794" s="2103"/>
      <c r="N794" s="2103"/>
      <c r="O794" s="2103"/>
      <c r="P794" s="2103"/>
      <c r="Q794" s="2103"/>
      <c r="R794" s="2103"/>
      <c r="S794" s="2104"/>
      <c r="T794" s="1982">
        <f>AJ155</f>
        <v>7</v>
      </c>
      <c r="U794" s="1982"/>
      <c r="V794" s="1982"/>
      <c r="W794" s="1982"/>
      <c r="X794" s="1982"/>
      <c r="Y794" s="1982"/>
      <c r="Z794" s="1983">
        <v>7</v>
      </c>
      <c r="AA794" s="1983"/>
      <c r="AB794" s="1983"/>
      <c r="AC794" s="1983"/>
      <c r="AD794" s="1983"/>
      <c r="AE794" s="1983"/>
      <c r="AF794" s="2105"/>
      <c r="AG794" s="2105"/>
      <c r="AH794" s="2105"/>
      <c r="AI794" s="2105"/>
      <c r="AJ794" s="2105"/>
      <c r="AK794" s="2105"/>
      <c r="AL794" s="845"/>
      <c r="AM794" s="622"/>
    </row>
    <row r="795" spans="1:81" ht="13">
      <c r="A795" s="626"/>
      <c r="B795" s="627"/>
      <c r="C795" s="2103" t="s">
        <v>1754</v>
      </c>
      <c r="D795" s="2103"/>
      <c r="E795" s="2103"/>
      <c r="F795" s="2103"/>
      <c r="G795" s="2103"/>
      <c r="H795" s="2103"/>
      <c r="I795" s="2103"/>
      <c r="J795" s="2103"/>
      <c r="K795" s="2103"/>
      <c r="L795" s="2103"/>
      <c r="M795" s="2103"/>
      <c r="N795" s="2103"/>
      <c r="O795" s="2103"/>
      <c r="P795" s="2103"/>
      <c r="Q795" s="2103"/>
      <c r="R795" s="2103"/>
      <c r="S795" s="2104"/>
      <c r="T795" s="1982">
        <f>AJ169</f>
        <v>3</v>
      </c>
      <c r="U795" s="1982"/>
      <c r="V795" s="1982"/>
      <c r="W795" s="1982"/>
      <c r="X795" s="1982"/>
      <c r="Y795" s="1982"/>
      <c r="Z795" s="1983">
        <v>3</v>
      </c>
      <c r="AA795" s="1983"/>
      <c r="AB795" s="1983"/>
      <c r="AC795" s="1983"/>
      <c r="AD795" s="1983"/>
      <c r="AE795" s="1983"/>
      <c r="AF795" s="2105"/>
      <c r="AG795" s="2105"/>
      <c r="AH795" s="2105"/>
      <c r="AI795" s="2105"/>
      <c r="AJ795" s="2105"/>
      <c r="AK795" s="2105"/>
      <c r="AL795" s="845"/>
      <c r="AM795" s="622"/>
      <c r="AO795" s="576"/>
    </row>
    <row r="796" spans="1:81" ht="13">
      <c r="A796" s="847" t="s">
        <v>1534</v>
      </c>
      <c r="B796" s="2076" t="s">
        <v>1755</v>
      </c>
      <c r="C796" s="2076"/>
      <c r="D796" s="2076"/>
      <c r="E796" s="2076"/>
      <c r="F796" s="2076"/>
      <c r="G796" s="2076"/>
      <c r="H796" s="2076"/>
      <c r="I796" s="2076"/>
      <c r="J796" s="2076"/>
      <c r="K796" s="2076"/>
      <c r="L796" s="2076"/>
      <c r="M796" s="2076"/>
      <c r="N796" s="2076"/>
      <c r="O796" s="2076"/>
      <c r="P796" s="2076"/>
      <c r="Q796" s="2076"/>
      <c r="R796" s="2076"/>
      <c r="S796" s="2077"/>
      <c r="T796" s="2102">
        <f>AK180</f>
        <v>10</v>
      </c>
      <c r="U796" s="2102"/>
      <c r="V796" s="2102"/>
      <c r="W796" s="2102"/>
      <c r="X796" s="2102"/>
      <c r="Y796" s="2102"/>
      <c r="Z796" s="2045">
        <v>10</v>
      </c>
      <c r="AA796" s="2045"/>
      <c r="AB796" s="2045"/>
      <c r="AC796" s="2045"/>
      <c r="AD796" s="2045"/>
      <c r="AE796" s="2045"/>
      <c r="AF796" s="2045">
        <f>IF(T796&gt;Z796,Z796,T796)</f>
        <v>10</v>
      </c>
      <c r="AG796" s="2045"/>
      <c r="AH796" s="2045"/>
      <c r="AI796" s="2045"/>
      <c r="AJ796" s="2045"/>
      <c r="AK796" s="2045"/>
      <c r="AL796" s="845"/>
      <c r="AM796" s="622"/>
    </row>
    <row r="797" spans="1:81" ht="13">
      <c r="A797" s="846" t="s">
        <v>1543</v>
      </c>
      <c r="B797" s="2076" t="s">
        <v>1544</v>
      </c>
      <c r="C797" s="2076"/>
      <c r="D797" s="2076"/>
      <c r="E797" s="2076"/>
      <c r="F797" s="2076"/>
      <c r="G797" s="2076"/>
      <c r="H797" s="2076"/>
      <c r="I797" s="2076"/>
      <c r="J797" s="2076"/>
      <c r="K797" s="2076"/>
      <c r="L797" s="2076"/>
      <c r="M797" s="2076"/>
      <c r="N797" s="2076"/>
      <c r="O797" s="2076"/>
      <c r="P797" s="2076"/>
      <c r="Q797" s="2076"/>
      <c r="R797" s="2076"/>
      <c r="S797" s="2077"/>
      <c r="T797" s="2102">
        <f>AK262</f>
        <v>8</v>
      </c>
      <c r="U797" s="2102"/>
      <c r="V797" s="2102"/>
      <c r="W797" s="2102"/>
      <c r="X797" s="2102"/>
      <c r="Y797" s="2102"/>
      <c r="Z797" s="2081">
        <v>8</v>
      </c>
      <c r="AA797" s="2079"/>
      <c r="AB797" s="2079"/>
      <c r="AC797" s="2079"/>
      <c r="AD797" s="2079"/>
      <c r="AE797" s="2080"/>
      <c r="AF797" s="2045">
        <f>IF(T797&gt;Z797,Z797,T797)</f>
        <v>8</v>
      </c>
      <c r="AG797" s="2045"/>
      <c r="AH797" s="2045"/>
      <c r="AI797" s="2045"/>
      <c r="AJ797" s="2045"/>
      <c r="AK797" s="2045"/>
      <c r="AL797" s="845"/>
      <c r="AM797" s="622"/>
    </row>
    <row r="798" spans="1:81" s="560" customFormat="1" ht="13" hidden="1">
      <c r="A798" s="847" t="s">
        <v>599</v>
      </c>
      <c r="B798" s="2076" t="s">
        <v>1756</v>
      </c>
      <c r="C798" s="2076"/>
      <c r="D798" s="2076"/>
      <c r="E798" s="2076"/>
      <c r="F798" s="2076"/>
      <c r="G798" s="2076"/>
      <c r="H798" s="2076"/>
      <c r="I798" s="2076"/>
      <c r="J798" s="2076"/>
      <c r="K798" s="2076"/>
      <c r="L798" s="2076"/>
      <c r="M798" s="2076"/>
      <c r="N798" s="2076"/>
      <c r="O798" s="2076"/>
      <c r="P798" s="2076"/>
      <c r="Q798" s="2076"/>
      <c r="R798" s="2076"/>
      <c r="S798" s="2077"/>
      <c r="T798" s="2102">
        <f>IF(AK524&gt;5,5,AK524)</f>
        <v>0</v>
      </c>
      <c r="U798" s="2102"/>
      <c r="V798" s="2102"/>
      <c r="W798" s="2102"/>
      <c r="X798" s="2102"/>
      <c r="Y798" s="2102"/>
      <c r="Z798" s="2045">
        <v>5</v>
      </c>
      <c r="AA798" s="2045"/>
      <c r="AB798" s="2045"/>
      <c r="AC798" s="2045"/>
      <c r="AD798" s="2045"/>
      <c r="AE798" s="2045"/>
      <c r="AF798" s="2045">
        <f>IF(T798&gt;Z798,5,T798)</f>
        <v>0</v>
      </c>
      <c r="AG798" s="2045"/>
      <c r="AH798" s="2045"/>
      <c r="AI798" s="2045"/>
      <c r="AJ798" s="2045"/>
      <c r="AK798" s="2045"/>
      <c r="AL798" s="845"/>
      <c r="AM798" s="622"/>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0" customFormat="1" ht="13">
      <c r="A799" s="846" t="s">
        <v>1549</v>
      </c>
      <c r="B799" s="2076" t="s">
        <v>1757</v>
      </c>
      <c r="C799" s="2076"/>
      <c r="D799" s="2076"/>
      <c r="E799" s="2076"/>
      <c r="F799" s="2076"/>
      <c r="G799" s="2076"/>
      <c r="H799" s="2076"/>
      <c r="I799" s="2076"/>
      <c r="J799" s="2076"/>
      <c r="K799" s="2076"/>
      <c r="L799" s="2076"/>
      <c r="M799" s="2076"/>
      <c r="N799" s="2076"/>
      <c r="O799" s="2076"/>
      <c r="P799" s="2076"/>
      <c r="Q799" s="2076"/>
      <c r="R799" s="2076"/>
      <c r="S799" s="2077"/>
      <c r="T799" s="2102">
        <f>AK274</f>
        <v>10</v>
      </c>
      <c r="U799" s="2102"/>
      <c r="V799" s="2102"/>
      <c r="W799" s="2102"/>
      <c r="X799" s="2102"/>
      <c r="Y799" s="2102"/>
      <c r="Z799" s="2045">
        <v>10</v>
      </c>
      <c r="AA799" s="2045"/>
      <c r="AB799" s="2045"/>
      <c r="AC799" s="2045"/>
      <c r="AD799" s="2045"/>
      <c r="AE799" s="2045"/>
      <c r="AF799" s="2108">
        <f>IF(T799&gt;Z799,Z799,T799)</f>
        <v>10</v>
      </c>
      <c r="AG799" s="2109"/>
      <c r="AH799" s="2109"/>
      <c r="AI799" s="2109"/>
      <c r="AJ799" s="2109"/>
      <c r="AK799" s="2110"/>
      <c r="AL799" s="845"/>
      <c r="AM799" s="622"/>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0" customFormat="1" ht="13">
      <c r="A800" s="847" t="s">
        <v>1553</v>
      </c>
      <c r="B800" s="2076" t="s">
        <v>1554</v>
      </c>
      <c r="C800" s="2076"/>
      <c r="D800" s="2076"/>
      <c r="E800" s="2076"/>
      <c r="F800" s="2076"/>
      <c r="G800" s="2076"/>
      <c r="H800" s="2076"/>
      <c r="I800" s="2076"/>
      <c r="J800" s="2076"/>
      <c r="K800" s="2076"/>
      <c r="L800" s="2076"/>
      <c r="M800" s="2076"/>
      <c r="N800" s="2076"/>
      <c r="O800" s="2076"/>
      <c r="P800" s="2076"/>
      <c r="Q800" s="2076"/>
      <c r="R800" s="2076"/>
      <c r="S800" s="2077"/>
      <c r="T800" s="2102">
        <f>AK327</f>
        <v>9</v>
      </c>
      <c r="U800" s="2102"/>
      <c r="V800" s="2102"/>
      <c r="W800" s="2102"/>
      <c r="X800" s="2102"/>
      <c r="Y800" s="2102"/>
      <c r="Z800" s="2108">
        <v>10</v>
      </c>
      <c r="AA800" s="2109"/>
      <c r="AB800" s="2109"/>
      <c r="AC800" s="2109"/>
      <c r="AD800" s="2109"/>
      <c r="AE800" s="2110"/>
      <c r="AF800" s="2108">
        <f>IF(T800&gt;Z800,Z800,T800)</f>
        <v>9</v>
      </c>
      <c r="AG800" s="2109"/>
      <c r="AH800" s="2109"/>
      <c r="AI800" s="2109"/>
      <c r="AJ800" s="2109"/>
      <c r="AK800" s="2110"/>
      <c r="AL800" s="565"/>
      <c r="AM800" s="622"/>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0" customFormat="1" ht="13" hidden="1">
      <c r="A801" s="847"/>
      <c r="B801" s="848"/>
      <c r="C801" s="849" t="s">
        <v>1758</v>
      </c>
      <c r="D801" s="850"/>
      <c r="E801" s="850"/>
      <c r="F801" s="850"/>
      <c r="G801" s="850"/>
      <c r="H801" s="850"/>
      <c r="I801" s="850"/>
      <c r="J801" s="850"/>
      <c r="K801" s="850"/>
      <c r="L801" s="850"/>
      <c r="M801" s="850"/>
      <c r="N801" s="850"/>
      <c r="O801" s="850"/>
      <c r="P801" s="850"/>
      <c r="Q801" s="850"/>
      <c r="R801" s="848"/>
      <c r="S801" s="851"/>
      <c r="T801" s="1982">
        <f>AK327</f>
        <v>9</v>
      </c>
      <c r="U801" s="1982"/>
      <c r="V801" s="1982"/>
      <c r="W801" s="1982"/>
      <c r="X801" s="1982"/>
      <c r="Y801" s="1982"/>
      <c r="Z801" s="1987">
        <v>20</v>
      </c>
      <c r="AA801" s="1988"/>
      <c r="AB801" s="1988"/>
      <c r="AC801" s="1988"/>
      <c r="AD801" s="1988"/>
      <c r="AE801" s="1989"/>
      <c r="AF801" s="2105"/>
      <c r="AG801" s="2105"/>
      <c r="AH801" s="2105"/>
      <c r="AI801" s="2105"/>
      <c r="AJ801" s="2105"/>
      <c r="AK801" s="2105"/>
      <c r="AL801" s="565"/>
      <c r="AM801" s="622"/>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0" customFormat="1" ht="13">
      <c r="A802" s="847" t="s">
        <v>1626</v>
      </c>
      <c r="B802" s="2076" t="s">
        <v>874</v>
      </c>
      <c r="C802" s="2076"/>
      <c r="D802" s="2076"/>
      <c r="E802" s="2076"/>
      <c r="F802" s="2076"/>
      <c r="G802" s="2076"/>
      <c r="H802" s="2076"/>
      <c r="I802" s="2076"/>
      <c r="J802" s="2076"/>
      <c r="K802" s="2076"/>
      <c r="L802" s="2076"/>
      <c r="M802" s="2076"/>
      <c r="N802" s="2076"/>
      <c r="O802" s="2076"/>
      <c r="P802" s="2076"/>
      <c r="Q802" s="2076"/>
      <c r="R802" s="2076"/>
      <c r="S802" s="2077"/>
      <c r="T802" s="2102">
        <f>AK458</f>
        <v>10</v>
      </c>
      <c r="U802" s="2102"/>
      <c r="V802" s="2102"/>
      <c r="W802" s="2102"/>
      <c r="X802" s="2102"/>
      <c r="Y802" s="2102"/>
      <c r="Z802" s="2108">
        <v>10</v>
      </c>
      <c r="AA802" s="2109"/>
      <c r="AB802" s="2109"/>
      <c r="AC802" s="2109"/>
      <c r="AD802" s="2109"/>
      <c r="AE802" s="2110"/>
      <c r="AF802" s="2045">
        <f>IF(T802&gt;Z802,Z802,T802)</f>
        <v>10</v>
      </c>
      <c r="AG802" s="2045"/>
      <c r="AH802" s="2045"/>
      <c r="AI802" s="2045"/>
      <c r="AJ802" s="2045"/>
      <c r="AK802" s="2045"/>
      <c r="AL802" s="565"/>
      <c r="AM802" s="622"/>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0" customFormat="1" ht="13">
      <c r="A803" s="847" t="s">
        <v>1736</v>
      </c>
      <c r="B803" s="2076" t="s">
        <v>1737</v>
      </c>
      <c r="C803" s="2076"/>
      <c r="D803" s="2076"/>
      <c r="E803" s="2076"/>
      <c r="F803" s="2076"/>
      <c r="G803" s="2076"/>
      <c r="H803" s="2076"/>
      <c r="I803" s="2076"/>
      <c r="J803" s="2076"/>
      <c r="K803" s="2076"/>
      <c r="L803" s="2076"/>
      <c r="M803" s="2076"/>
      <c r="N803" s="2076"/>
      <c r="O803" s="2076"/>
      <c r="P803" s="2076"/>
      <c r="Q803" s="2076"/>
      <c r="R803" s="2076"/>
      <c r="S803" s="2077"/>
      <c r="T803" s="2102">
        <f>AK548</f>
        <v>12</v>
      </c>
      <c r="U803" s="2102"/>
      <c r="V803" s="2102"/>
      <c r="W803" s="2102"/>
      <c r="X803" s="2102"/>
      <c r="Y803" s="2102"/>
      <c r="Z803" s="2108">
        <v>12</v>
      </c>
      <c r="AA803" s="2109"/>
      <c r="AB803" s="2109"/>
      <c r="AC803" s="2109"/>
      <c r="AD803" s="2109"/>
      <c r="AE803" s="2110"/>
      <c r="AF803" s="2045">
        <f>IF(T803&gt;Z803,Z803,T803)</f>
        <v>12</v>
      </c>
      <c r="AG803" s="2045"/>
      <c r="AH803" s="2045"/>
      <c r="AI803" s="2045"/>
      <c r="AJ803" s="2045"/>
      <c r="AK803" s="2045"/>
      <c r="AL803" s="565"/>
      <c r="AM803" s="622"/>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0" customFormat="1" ht="13">
      <c r="A804" s="847" t="s">
        <v>2419</v>
      </c>
      <c r="B804" s="2076" t="s">
        <v>1759</v>
      </c>
      <c r="C804" s="2076"/>
      <c r="D804" s="2076"/>
      <c r="E804" s="2076"/>
      <c r="F804" s="2076"/>
      <c r="G804" s="2076"/>
      <c r="H804" s="2076"/>
      <c r="I804" s="2076"/>
      <c r="J804" s="2076"/>
      <c r="K804" s="2076"/>
      <c r="L804" s="2076"/>
      <c r="M804" s="2076"/>
      <c r="N804" s="2076"/>
      <c r="O804" s="2076"/>
      <c r="P804" s="2076"/>
      <c r="Q804" s="2076"/>
      <c r="R804" s="2076"/>
      <c r="S804" s="2077"/>
      <c r="T804" s="2102">
        <f>AK779</f>
        <v>10</v>
      </c>
      <c r="U804" s="2102"/>
      <c r="V804" s="2102"/>
      <c r="W804" s="2102"/>
      <c r="X804" s="2102"/>
      <c r="Y804" s="2102"/>
      <c r="Z804" s="2108">
        <v>10</v>
      </c>
      <c r="AA804" s="2109"/>
      <c r="AB804" s="2109"/>
      <c r="AC804" s="2109"/>
      <c r="AD804" s="2109"/>
      <c r="AE804" s="2110"/>
      <c r="AF804" s="2045">
        <f>IF(T804&gt;Z804,Z804,T804)</f>
        <v>10</v>
      </c>
      <c r="AG804" s="2045"/>
      <c r="AH804" s="2045"/>
      <c r="AI804" s="2045"/>
      <c r="AJ804" s="2045"/>
      <c r="AK804" s="2045"/>
      <c r="AL804" s="565"/>
      <c r="AM804" s="622"/>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0" customFormat="1" ht="13">
      <c r="A805" s="2106" t="s">
        <v>1760</v>
      </c>
      <c r="B805" s="2076"/>
      <c r="C805" s="2076"/>
      <c r="D805" s="2076"/>
      <c r="E805" s="2076"/>
      <c r="F805" s="2076"/>
      <c r="G805" s="2076"/>
      <c r="H805" s="2076"/>
      <c r="I805" s="2076"/>
      <c r="J805" s="2076"/>
      <c r="K805" s="2076"/>
      <c r="L805" s="2076"/>
      <c r="M805" s="2076"/>
      <c r="N805" s="2076"/>
      <c r="O805" s="2076"/>
      <c r="P805" s="2076"/>
      <c r="Q805" s="2076"/>
      <c r="R805" s="2076"/>
      <c r="S805" s="2077"/>
      <c r="T805" s="2107"/>
      <c r="U805" s="2107"/>
      <c r="V805" s="2107"/>
      <c r="W805" s="2107"/>
      <c r="X805" s="2107"/>
      <c r="Y805" s="2107"/>
      <c r="Z805" s="1983" t="s">
        <v>1761</v>
      </c>
      <c r="AA805" s="1983"/>
      <c r="AB805" s="1983"/>
      <c r="AC805" s="1983"/>
      <c r="AD805" s="1983"/>
      <c r="AE805" s="1983"/>
      <c r="AF805" s="2108">
        <f>IF(T805&gt;0,T805,0)</f>
        <v>0</v>
      </c>
      <c r="AG805" s="2109"/>
      <c r="AH805" s="2109"/>
      <c r="AI805" s="2109"/>
      <c r="AJ805" s="2109"/>
      <c r="AK805" s="2110"/>
      <c r="AL805" s="617"/>
      <c r="AM805" s="622"/>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0" customFormat="1" ht="15.5">
      <c r="A806" s="2111" t="s">
        <v>1762</v>
      </c>
      <c r="B806" s="2112"/>
      <c r="C806" s="2112"/>
      <c r="D806" s="2112"/>
      <c r="E806" s="2112"/>
      <c r="F806" s="2112"/>
      <c r="G806" s="2112"/>
      <c r="H806" s="2112"/>
      <c r="I806" s="2112"/>
      <c r="J806" s="2112"/>
      <c r="K806" s="2112"/>
      <c r="L806" s="2112"/>
      <c r="M806" s="2112"/>
      <c r="N806" s="2112"/>
      <c r="O806" s="2112"/>
      <c r="P806" s="2112"/>
      <c r="Q806" s="2112"/>
      <c r="R806" s="2112"/>
      <c r="S806" s="2112"/>
      <c r="T806" s="2112"/>
      <c r="U806" s="2112"/>
      <c r="V806" s="2112"/>
      <c r="W806" s="2112"/>
      <c r="X806" s="2112"/>
      <c r="Y806" s="2112"/>
      <c r="Z806" s="2112"/>
      <c r="AA806" s="2112"/>
      <c r="AB806" s="2112"/>
      <c r="AC806" s="2112"/>
      <c r="AD806" s="2112"/>
      <c r="AE806" s="2113"/>
      <c r="AF806" s="2117">
        <f ca="1">SUM(AF789:AK804)-AF805</f>
        <v>119</v>
      </c>
      <c r="AG806" s="2118"/>
      <c r="AH806" s="2118"/>
      <c r="AI806" s="2118"/>
      <c r="AJ806" s="2118"/>
      <c r="AK806" s="2119"/>
      <c r="AL806" s="852"/>
      <c r="AM806" s="576"/>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0" customFormat="1" ht="15.5">
      <c r="A807" s="2114"/>
      <c r="B807" s="2115"/>
      <c r="C807" s="2115"/>
      <c r="D807" s="2115"/>
      <c r="E807" s="2115"/>
      <c r="F807" s="2115"/>
      <c r="G807" s="2115"/>
      <c r="H807" s="2115"/>
      <c r="I807" s="2115"/>
      <c r="J807" s="2115"/>
      <c r="K807" s="2115"/>
      <c r="L807" s="2115"/>
      <c r="M807" s="2115"/>
      <c r="N807" s="2115"/>
      <c r="O807" s="2115"/>
      <c r="P807" s="2115"/>
      <c r="Q807" s="2115"/>
      <c r="R807" s="2115"/>
      <c r="S807" s="2115"/>
      <c r="T807" s="2115"/>
      <c r="U807" s="2115"/>
      <c r="V807" s="2115"/>
      <c r="W807" s="2115"/>
      <c r="X807" s="2115"/>
      <c r="Y807" s="2115"/>
      <c r="Z807" s="2115"/>
      <c r="AA807" s="2115"/>
      <c r="AB807" s="2115"/>
      <c r="AC807" s="2115"/>
      <c r="AD807" s="2115"/>
      <c r="AE807" s="2116"/>
      <c r="AF807" s="2120"/>
      <c r="AG807" s="2121"/>
      <c r="AH807" s="2121"/>
      <c r="AI807" s="2121"/>
      <c r="AJ807" s="2121"/>
      <c r="AK807" s="2122"/>
      <c r="AL807" s="852"/>
      <c r="AM807" s="576"/>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0" customFormat="1">
      <c r="A808" s="689"/>
      <c r="B808" s="689"/>
      <c r="C808" s="689"/>
      <c r="D808" s="689"/>
      <c r="E808" s="689"/>
      <c r="F808" s="689"/>
      <c r="G808" s="689"/>
      <c r="H808" s="689"/>
      <c r="I808" s="689"/>
      <c r="J808" s="689"/>
      <c r="K808" s="689"/>
      <c r="L808" s="689"/>
      <c r="M808" s="689"/>
      <c r="N808" s="689"/>
      <c r="O808" s="689"/>
      <c r="P808" s="689"/>
      <c r="Q808" s="689"/>
      <c r="R808" s="689"/>
      <c r="S808" s="689"/>
      <c r="T808" s="689"/>
      <c r="U808" s="689"/>
      <c r="V808" s="689"/>
      <c r="W808" s="689"/>
      <c r="X808" s="689"/>
      <c r="Y808" s="689"/>
      <c r="Z808" s="689"/>
      <c r="AA808" s="689"/>
      <c r="AB808" s="689"/>
      <c r="AC808" s="689"/>
      <c r="AD808" s="689"/>
      <c r="AE808" s="689"/>
      <c r="AF808" s="689"/>
      <c r="AG808" s="689"/>
      <c r="AH808" s="689"/>
      <c r="AI808" s="689"/>
      <c r="AJ808" s="689"/>
      <c r="AK808" s="689"/>
      <c r="AL808" s="689"/>
      <c r="AM808" s="853"/>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18" priority="13" stopIfTrue="1">
      <formula>ISERROR(T434)</formula>
    </cfRule>
  </conditionalFormatting>
  <conditionalFormatting sqref="AP460">
    <cfRule type="expression" dxfId="17" priority="12" stopIfTrue="1">
      <formula>ISERROR(AP460)</formula>
    </cfRule>
  </conditionalFormatting>
  <conditionalFormatting sqref="AF802:AK802">
    <cfRule type="expression" dxfId="16" priority="11" stopIfTrue="1">
      <formula>ISERROR(AF802)</formula>
    </cfRule>
  </conditionalFormatting>
  <conditionalFormatting sqref="T803:Y804">
    <cfRule type="expression" dxfId="15" priority="10" stopIfTrue="1">
      <formula>ISERROR(T803)</formula>
    </cfRule>
  </conditionalFormatting>
  <conditionalFormatting sqref="AF803:AK804">
    <cfRule type="expression" dxfId="14" priority="9" stopIfTrue="1">
      <formula>ISERROR(AF803)</formula>
    </cfRule>
  </conditionalFormatting>
  <conditionalFormatting sqref="AF797:AK797">
    <cfRule type="expression" dxfId="13" priority="8" stopIfTrue="1">
      <formula>ISERROR(AF797)</formula>
    </cfRule>
  </conditionalFormatting>
  <conditionalFormatting sqref="T797:Y797">
    <cfRule type="expression" dxfId="12" priority="7" stopIfTrue="1">
      <formula>ISERROR(T797)</formula>
    </cfRule>
  </conditionalFormatting>
  <conditionalFormatting sqref="AF792:AK792">
    <cfRule type="expression" dxfId="11" priority="6" stopIfTrue="1">
      <formula>ISERROR(AF792)</formula>
    </cfRule>
  </conditionalFormatting>
  <conditionalFormatting sqref="AF791:AK791">
    <cfRule type="expression" dxfId="10" priority="5" stopIfTrue="1">
      <formula>ISERROR(AF791)</formula>
    </cfRule>
  </conditionalFormatting>
  <conditionalFormatting sqref="AF790:AK790">
    <cfRule type="expression" dxfId="9" priority="4" stopIfTrue="1">
      <formula>ISERROR(AF790)</formula>
    </cfRule>
  </conditionalFormatting>
  <conditionalFormatting sqref="AF789:AK789">
    <cfRule type="expression" dxfId="8" priority="3" stopIfTrue="1">
      <formula>ISERROR(AF789)</formula>
    </cfRule>
  </conditionalFormatting>
  <conditionalFormatting sqref="Z804">
    <cfRule type="expression" dxfId="7"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Tie Breaker</vt:lpstr>
      <vt:lpstr>Points System</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White, Nicholas</cp:lastModifiedBy>
  <cp:lastPrinted>2022-06-02T00:41:49Z</cp:lastPrinted>
  <dcterms:created xsi:type="dcterms:W3CDTF">2007-12-27T18:26:28Z</dcterms:created>
  <dcterms:modified xsi:type="dcterms:W3CDTF">2023-02-22T21:22:22Z</dcterms:modified>
</cp:coreProperties>
</file>